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BA8B6E10-599B-4502-A387-FFA8820AB2F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Folha1" sheetId="1" r:id="rId1"/>
  </sheets>
  <calcPr calcId="191029" iterate="1" iterateCount="200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5" i="1"/>
  <c r="E16" i="1"/>
  <c r="F16" i="1"/>
  <c r="G16" i="1"/>
  <c r="H16" i="1"/>
  <c r="I16" i="1"/>
  <c r="J16" i="1"/>
  <c r="D16" i="1"/>
  <c r="E33" i="1"/>
  <c r="F33" i="1" s="1"/>
  <c r="G33" i="1" s="1"/>
  <c r="H33" i="1" s="1"/>
  <c r="I33" i="1" s="1"/>
  <c r="J33" i="1" s="1"/>
  <c r="D33" i="1"/>
  <c r="D39" i="1"/>
  <c r="D6" i="1"/>
  <c r="D26" i="1" s="1"/>
  <c r="R7" i="1"/>
  <c r="R9" i="1" s="1"/>
  <c r="F7" i="1"/>
  <c r="G7" i="1"/>
  <c r="H7" i="1"/>
  <c r="I7" i="1"/>
  <c r="J7" i="1"/>
  <c r="E7" i="1"/>
  <c r="D7" i="1"/>
  <c r="F6" i="1"/>
  <c r="F26" i="1" s="1"/>
  <c r="G6" i="1"/>
  <c r="G26" i="1" s="1"/>
  <c r="H6" i="1"/>
  <c r="H26" i="1" s="1"/>
  <c r="I6" i="1"/>
  <c r="I26" i="1" s="1"/>
  <c r="J6" i="1"/>
  <c r="J26" i="1" s="1"/>
  <c r="E6" i="1"/>
  <c r="E26" i="1" s="1"/>
  <c r="H21" i="1" l="1"/>
  <c r="K16" i="1"/>
  <c r="K7" i="1"/>
  <c r="K26" i="1"/>
  <c r="D21" i="1"/>
  <c r="K6" i="1"/>
  <c r="E21" i="1"/>
  <c r="F21" i="1"/>
  <c r="J21" i="1"/>
  <c r="I21" i="1"/>
  <c r="G21" i="1"/>
  <c r="K33" i="1"/>
  <c r="D32" i="1"/>
  <c r="E32" i="1" s="1"/>
  <c r="F22" i="1"/>
  <c r="G22" i="1"/>
  <c r="H22" i="1"/>
  <c r="I22" i="1"/>
  <c r="J22" i="1"/>
  <c r="E22" i="1"/>
  <c r="D22" i="1"/>
  <c r="E19" i="1"/>
  <c r="F19" i="1"/>
  <c r="G19" i="1"/>
  <c r="H19" i="1"/>
  <c r="I19" i="1"/>
  <c r="J19" i="1"/>
  <c r="D19" i="1"/>
  <c r="J29" i="1"/>
  <c r="I29" i="1"/>
  <c r="H29" i="1"/>
  <c r="G29" i="1"/>
  <c r="F29" i="1"/>
  <c r="E29" i="1"/>
  <c r="D29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K19" i="1" l="1"/>
  <c r="K23" i="1"/>
  <c r="K21" i="1"/>
  <c r="K22" i="1"/>
  <c r="K29" i="1"/>
  <c r="K24" i="1"/>
  <c r="F32" i="1"/>
  <c r="G32" i="1" s="1"/>
  <c r="H32" i="1" s="1"/>
  <c r="I32" i="1" s="1"/>
  <c r="J32" i="1" s="1"/>
  <c r="F31" i="1"/>
  <c r="E30" i="1"/>
  <c r="D30" i="1"/>
  <c r="D25" i="1"/>
  <c r="D31" i="1"/>
  <c r="D20" i="1"/>
  <c r="E31" i="1"/>
  <c r="E20" i="1"/>
  <c r="E25" i="1"/>
  <c r="K32" i="1" l="1"/>
  <c r="D27" i="1"/>
  <c r="F20" i="1"/>
  <c r="F25" i="1"/>
  <c r="G31" i="1"/>
  <c r="F30" i="1"/>
  <c r="F34" i="1" s="1"/>
  <c r="G25" i="1"/>
  <c r="D34" i="1"/>
  <c r="E34" i="1"/>
  <c r="E38" i="1" l="1"/>
  <c r="D35" i="1"/>
  <c r="D38" i="1"/>
  <c r="F38" i="1"/>
  <c r="G20" i="1"/>
  <c r="G30" i="1"/>
  <c r="D36" i="1" l="1"/>
  <c r="D40" i="1" s="1"/>
  <c r="G34" i="1"/>
  <c r="G38" i="1" s="1"/>
  <c r="D37" i="1"/>
  <c r="E15" i="1"/>
  <c r="I31" i="1"/>
  <c r="H30" i="1"/>
  <c r="H20" i="1"/>
  <c r="H25" i="1"/>
  <c r="H31" i="1"/>
  <c r="E27" i="1" l="1"/>
  <c r="E39" i="1"/>
  <c r="I30" i="1"/>
  <c r="I20" i="1"/>
  <c r="I25" i="1"/>
  <c r="H34" i="1"/>
  <c r="I34" i="1" l="1"/>
  <c r="I38" i="1" s="1"/>
  <c r="E35" i="1"/>
  <c r="H38" i="1"/>
  <c r="J30" i="1"/>
  <c r="K30" i="1" s="1"/>
  <c r="J20" i="1"/>
  <c r="K20" i="1" s="1"/>
  <c r="J25" i="1"/>
  <c r="K25" i="1" s="1"/>
  <c r="J31" i="1"/>
  <c r="J34" i="1" l="1"/>
  <c r="K34" i="1" s="1"/>
  <c r="K31" i="1"/>
  <c r="E36" i="1"/>
  <c r="F15" i="1"/>
  <c r="J38" i="1" l="1"/>
  <c r="K38" i="1" s="1"/>
  <c r="F27" i="1"/>
  <c r="F39" i="1"/>
  <c r="E40" i="1"/>
  <c r="E37" i="1"/>
  <c r="F35" i="1" l="1"/>
  <c r="F36" i="1" l="1"/>
  <c r="G15" i="1"/>
  <c r="G27" i="1" l="1"/>
  <c r="G39" i="1"/>
  <c r="F40" i="1"/>
  <c r="F37" i="1"/>
  <c r="G35" i="1" l="1"/>
  <c r="G36" i="1" l="1"/>
  <c r="H15" i="1"/>
  <c r="H39" i="1" l="1"/>
  <c r="H27" i="1"/>
  <c r="H35" i="1" s="1"/>
  <c r="G40" i="1"/>
  <c r="G37" i="1"/>
  <c r="H36" i="1" l="1"/>
  <c r="H40" i="1" s="1"/>
  <c r="I15" i="1"/>
  <c r="I39" i="1" l="1"/>
  <c r="I27" i="1"/>
  <c r="I35" i="1" s="1"/>
  <c r="H37" i="1"/>
  <c r="I36" i="1" l="1"/>
  <c r="I40" i="1" s="1"/>
  <c r="J15" i="1"/>
  <c r="J27" i="1" l="1"/>
  <c r="J39" i="1"/>
  <c r="K39" i="1" s="1"/>
  <c r="K15" i="1"/>
  <c r="I37" i="1"/>
  <c r="J35" i="1" l="1"/>
  <c r="K27" i="1"/>
  <c r="J36" i="1" l="1"/>
  <c r="K35" i="1"/>
  <c r="J37" i="1"/>
  <c r="K37" i="1" s="1"/>
  <c r="J40" i="1" l="1"/>
  <c r="K36" i="1"/>
  <c r="K40" i="1" l="1"/>
  <c r="R11" i="1"/>
</calcChain>
</file>

<file path=xl/sharedStrings.xml><?xml version="1.0" encoding="utf-8"?>
<sst xmlns="http://schemas.openxmlformats.org/spreadsheetml/2006/main" count="51" uniqueCount="50">
  <si>
    <t>Fabrico dos moldes</t>
  </si>
  <si>
    <t>Aluguer dos Armazém</t>
  </si>
  <si>
    <t>Salários</t>
  </si>
  <si>
    <t>Despesas do Armazém</t>
  </si>
  <si>
    <t>Custos Variaveis</t>
  </si>
  <si>
    <t>Distribuição</t>
  </si>
  <si>
    <t>Retorno</t>
  </si>
  <si>
    <t>Ano 0</t>
  </si>
  <si>
    <t>Ano 1</t>
  </si>
  <si>
    <t>Ano 2</t>
  </si>
  <si>
    <t>Ano 3</t>
  </si>
  <si>
    <t>Ano 4</t>
  </si>
  <si>
    <t>Ano 5</t>
  </si>
  <si>
    <t>Ano  6</t>
  </si>
  <si>
    <t>Estudos e Desenvolvimentos</t>
  </si>
  <si>
    <t>Total Retorno</t>
  </si>
  <si>
    <t>Manutenção da Aplicação</t>
  </si>
  <si>
    <t>Break-even</t>
  </si>
  <si>
    <t>NET PROFIT</t>
  </si>
  <si>
    <t>Margin of contribution</t>
  </si>
  <si>
    <t>Unit Margin of contribution</t>
  </si>
  <si>
    <t xml:space="preserve">Gross Margin </t>
  </si>
  <si>
    <t>CAC</t>
  </si>
  <si>
    <t>NPV</t>
  </si>
  <si>
    <t>IRR</t>
  </si>
  <si>
    <t>Vendas Expectáveis por ano</t>
  </si>
  <si>
    <t xml:space="preserve">     Módulos</t>
  </si>
  <si>
    <t>Total Despesas</t>
  </si>
  <si>
    <t>Markting Inicial</t>
  </si>
  <si>
    <t>Modulos produzidos</t>
  </si>
  <si>
    <t xml:space="preserve">Cash flow gross </t>
  </si>
  <si>
    <t>LTV (Primeiros 24 meses)</t>
  </si>
  <si>
    <t>NET CASHFLOW</t>
  </si>
  <si>
    <t>Anos do projeto</t>
  </si>
  <si>
    <t>Estufas</t>
  </si>
  <si>
    <t>Investimento inicial</t>
  </si>
  <si>
    <t xml:space="preserve">     Estufa €/Uni</t>
  </si>
  <si>
    <t xml:space="preserve">     Modulos €/Uni</t>
  </si>
  <si>
    <t xml:space="preserve">     Sementes e Nutrientes €/Uni</t>
  </si>
  <si>
    <t>Distribuição até ao armazém das estufas/modulos €/Uni</t>
  </si>
  <si>
    <t xml:space="preserve">     Estufas €/Uni</t>
  </si>
  <si>
    <t xml:space="preserve">     Sementes €/Uni</t>
  </si>
  <si>
    <t xml:space="preserve">     Solução de Nutrientes €/Uni</t>
  </si>
  <si>
    <t>Estufa €/Uni</t>
  </si>
  <si>
    <t>Modulo €/Uni</t>
  </si>
  <si>
    <t>Sementes €/Uni</t>
  </si>
  <si>
    <t>Solução de Nutrientes €/Uni</t>
  </si>
  <si>
    <t>Aplicação €/Uni</t>
  </si>
  <si>
    <t>TOTAL 6  anos</t>
  </si>
  <si>
    <t>Marketing (% lucro)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</si>
</sst>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4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4" fontId="1" fillId="0" borderId="21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3" borderId="9" xfId="0" applyFill="1" applyBorder="1" applyAlignment="1"/>
    <xf numFmtId="0" fontId="3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4" fontId="1" fillId="0" borderId="12" xfId="0" applyNumberFormat="1" applyFont="1" applyBorder="1" applyAlignment="1">
      <alignment horizontal="center"/>
    </xf>
    <xf numFmtId="0" fontId="0" fillId="3" borderId="1" xfId="0" applyFill="1" applyBorder="1" applyAlignment="1"/>
    <xf numFmtId="164" fontId="1" fillId="0" borderId="7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4" fontId="1" fillId="0" borderId="15" xfId="0" applyNumberFormat="1" applyFont="1" applyBorder="1" applyAlignment="1">
      <alignment horizontal="center"/>
    </xf>
    <xf numFmtId="4" fontId="1" fillId="0" borderId="27" xfId="0" applyNumberFormat="1" applyFont="1" applyBorder="1" applyAlignment="1">
      <alignment horizontal="center"/>
    </xf>
    <xf numFmtId="4" fontId="1" fillId="0" borderId="24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zoomScale="57" zoomScaleNormal="85" workbookViewId="0">
      <selection activeCell="P33" sqref="P33"/>
    </sheetView>
  </sheetViews>
  <sheetFormatPr defaultRowHeight="14.4" x14ac:dyDescent="0.55000000000000004"/>
  <cols>
    <col min="1" max="1" width="40.578125" customWidth="1"/>
    <col min="2" max="2" width="67.41796875" customWidth="1"/>
    <col min="3" max="3" width="12.578125" customWidth="1"/>
    <col min="4" max="4" width="15.83984375" customWidth="1"/>
    <col min="5" max="5" width="13.68359375" customWidth="1"/>
    <col min="6" max="6" width="12.68359375" customWidth="1"/>
    <col min="7" max="7" width="17.83984375" customWidth="1"/>
    <col min="8" max="8" width="12.578125" customWidth="1"/>
    <col min="9" max="9" width="14.41796875" customWidth="1"/>
    <col min="10" max="10" width="16.15625" customWidth="1"/>
    <col min="11" max="11" width="21.41796875" customWidth="1"/>
  </cols>
  <sheetData>
    <row r="1" spans="1:18" ht="30.6" customHeight="1" thickTop="1" x14ac:dyDescent="0.55000000000000004">
      <c r="A1" s="1"/>
      <c r="B1" s="1"/>
      <c r="C1" s="1"/>
      <c r="D1" s="35" t="s">
        <v>33</v>
      </c>
      <c r="E1" s="36"/>
      <c r="F1" s="36"/>
      <c r="G1" s="36"/>
      <c r="H1" s="36"/>
      <c r="I1" s="36"/>
      <c r="J1" s="37"/>
      <c r="K1" s="1"/>
      <c r="L1" s="1"/>
      <c r="M1" s="1"/>
    </row>
    <row r="2" spans="1:18" ht="14.7" customHeight="1" thickBot="1" x14ac:dyDescent="0.6">
      <c r="A2" s="1"/>
      <c r="B2" s="1"/>
      <c r="C2" s="1"/>
      <c r="D2" s="38"/>
      <c r="E2" s="39"/>
      <c r="F2" s="39"/>
      <c r="G2" s="39"/>
      <c r="H2" s="39"/>
      <c r="I2" s="39"/>
      <c r="J2" s="40"/>
      <c r="K2" s="1"/>
      <c r="L2" s="1"/>
      <c r="M2" s="1"/>
    </row>
    <row r="3" spans="1:18" ht="15" thickTop="1" thickBot="1" x14ac:dyDescent="0.6">
      <c r="A3" s="1"/>
      <c r="B3" s="1"/>
      <c r="C3" s="1"/>
      <c r="D3" s="45" t="s">
        <v>7</v>
      </c>
      <c r="E3" s="47" t="s">
        <v>8</v>
      </c>
      <c r="F3" s="48" t="s">
        <v>9</v>
      </c>
      <c r="G3" s="48" t="s">
        <v>10</v>
      </c>
      <c r="H3" s="48" t="s">
        <v>11</v>
      </c>
      <c r="I3" s="48" t="s">
        <v>12</v>
      </c>
      <c r="J3" s="48" t="s">
        <v>13</v>
      </c>
      <c r="K3" s="48" t="s">
        <v>48</v>
      </c>
      <c r="L3" s="1"/>
      <c r="M3" s="1"/>
    </row>
    <row r="4" spans="1:18" ht="20.399999999999999" thickTop="1" thickBot="1" x14ac:dyDescent="0.7">
      <c r="A4" s="14"/>
      <c r="B4" s="25" t="s">
        <v>25</v>
      </c>
      <c r="C4" s="30"/>
      <c r="D4" s="46"/>
      <c r="E4" s="47"/>
      <c r="F4" s="48"/>
      <c r="G4" s="48"/>
      <c r="H4" s="48"/>
      <c r="I4" s="48"/>
      <c r="J4" s="48"/>
      <c r="K4" s="48"/>
      <c r="L4" s="1"/>
      <c r="M4" s="1"/>
    </row>
    <row r="5" spans="1:18" ht="17.7" thickTop="1" x14ac:dyDescent="0.55000000000000004">
      <c r="B5" s="31" t="s">
        <v>34</v>
      </c>
      <c r="C5" s="32"/>
      <c r="D5" s="5">
        <v>2500</v>
      </c>
      <c r="E5" s="3">
        <v>5500</v>
      </c>
      <c r="F5" s="3">
        <v>12000</v>
      </c>
      <c r="G5" s="3">
        <v>19000</v>
      </c>
      <c r="H5" s="3">
        <v>22000</v>
      </c>
      <c r="I5" s="2">
        <v>20500</v>
      </c>
      <c r="J5" s="2">
        <v>18000</v>
      </c>
      <c r="K5" s="22">
        <f>SUM(D5:J5)</f>
        <v>99500</v>
      </c>
      <c r="L5" s="1"/>
      <c r="M5" s="1"/>
    </row>
    <row r="6" spans="1:18" ht="17.7" thickBot="1" x14ac:dyDescent="0.6">
      <c r="B6" s="41" t="s">
        <v>26</v>
      </c>
      <c r="C6" s="42"/>
      <c r="D6" s="5">
        <f>D5*0.35</f>
        <v>875</v>
      </c>
      <c r="E6" s="3">
        <f>E5*0.35</f>
        <v>1924.9999999999998</v>
      </c>
      <c r="F6" s="3">
        <f t="shared" ref="F6:J6" si="0">F5*0.35</f>
        <v>4200</v>
      </c>
      <c r="G6" s="3">
        <f t="shared" si="0"/>
        <v>6650</v>
      </c>
      <c r="H6" s="3">
        <f t="shared" si="0"/>
        <v>7699.9999999999991</v>
      </c>
      <c r="I6" s="3">
        <f t="shared" si="0"/>
        <v>7174.9999999999991</v>
      </c>
      <c r="J6" s="3">
        <f t="shared" si="0"/>
        <v>6300</v>
      </c>
      <c r="K6" s="7">
        <f t="shared" ref="K6:K39" si="1">SUM(D6:J6)</f>
        <v>34825</v>
      </c>
      <c r="L6" s="1"/>
      <c r="M6" s="1"/>
    </row>
    <row r="7" spans="1:18" ht="20.05" customHeight="1" thickTop="1" thickBot="1" x14ac:dyDescent="0.7">
      <c r="B7" s="41" t="s">
        <v>29</v>
      </c>
      <c r="C7" s="42"/>
      <c r="D7" s="5">
        <f>D5</f>
        <v>2500</v>
      </c>
      <c r="E7" s="3">
        <f>E5</f>
        <v>5500</v>
      </c>
      <c r="F7" s="3">
        <f t="shared" ref="F7:J7" si="2">F5</f>
        <v>12000</v>
      </c>
      <c r="G7" s="3">
        <f t="shared" si="2"/>
        <v>19000</v>
      </c>
      <c r="H7" s="3">
        <f t="shared" si="2"/>
        <v>22000</v>
      </c>
      <c r="I7" s="3">
        <f t="shared" si="2"/>
        <v>20500</v>
      </c>
      <c r="J7" s="3">
        <f t="shared" si="2"/>
        <v>18000</v>
      </c>
      <c r="K7" s="7">
        <f t="shared" si="1"/>
        <v>99500</v>
      </c>
      <c r="L7" s="1"/>
      <c r="M7" s="25" t="s">
        <v>20</v>
      </c>
      <c r="N7" s="26"/>
      <c r="O7" s="26"/>
      <c r="P7" s="26"/>
      <c r="Q7" s="26"/>
      <c r="R7" s="17">
        <f>SUM(C29:C33)-SUM(C19:C26)</f>
        <v>403.6</v>
      </c>
    </row>
    <row r="8" spans="1:18" ht="20.05" customHeight="1" thickTop="1" thickBot="1" x14ac:dyDescent="0.7">
      <c r="B8" s="43" t="s">
        <v>35</v>
      </c>
      <c r="C8" s="44"/>
      <c r="D8" s="16"/>
      <c r="E8" s="16"/>
      <c r="F8" s="16"/>
      <c r="G8" s="16"/>
      <c r="H8" s="16"/>
      <c r="I8" s="16"/>
      <c r="J8" s="16"/>
      <c r="K8" s="16"/>
      <c r="L8" s="1"/>
      <c r="M8" s="25" t="s">
        <v>17</v>
      </c>
      <c r="N8" s="26"/>
      <c r="O8" s="26"/>
      <c r="P8" s="26"/>
      <c r="Q8" s="26"/>
      <c r="R8" s="18">
        <v>1184</v>
      </c>
    </row>
    <row r="9" spans="1:18" ht="20.05" customHeight="1" thickTop="1" thickBot="1" x14ac:dyDescent="0.7">
      <c r="A9" s="1"/>
      <c r="B9" s="23" t="s">
        <v>0</v>
      </c>
      <c r="C9" s="24"/>
      <c r="D9" s="5">
        <v>85000</v>
      </c>
      <c r="E9" s="16"/>
      <c r="F9" s="16"/>
      <c r="G9" s="16"/>
      <c r="H9" s="16"/>
      <c r="I9" s="16"/>
      <c r="J9" s="16"/>
      <c r="K9" s="7">
        <f t="shared" si="1"/>
        <v>85000</v>
      </c>
      <c r="L9" s="1"/>
      <c r="M9" s="25" t="s">
        <v>21</v>
      </c>
      <c r="N9" s="26"/>
      <c r="O9" s="26"/>
      <c r="P9" s="26"/>
      <c r="Q9" s="26"/>
      <c r="R9" s="18">
        <f>R7/(SUM(C29:C33))*100</f>
        <v>48.048763065787284</v>
      </c>
    </row>
    <row r="10" spans="1:18" ht="20.05" customHeight="1" thickTop="1" thickBot="1" x14ac:dyDescent="0.7">
      <c r="A10" s="1"/>
      <c r="B10" s="23" t="s">
        <v>28</v>
      </c>
      <c r="C10" s="24"/>
      <c r="D10" s="5">
        <v>15000</v>
      </c>
      <c r="E10" s="16"/>
      <c r="F10" s="16"/>
      <c r="G10" s="16"/>
      <c r="H10" s="16"/>
      <c r="I10" s="16"/>
      <c r="J10" s="16"/>
      <c r="K10" s="7">
        <f t="shared" si="1"/>
        <v>15000</v>
      </c>
      <c r="L10" s="1"/>
      <c r="M10" s="25" t="s">
        <v>31</v>
      </c>
      <c r="N10" s="26"/>
      <c r="O10" s="26"/>
      <c r="P10" s="26"/>
      <c r="Q10" s="26"/>
      <c r="R10" s="18">
        <v>922.7</v>
      </c>
    </row>
    <row r="11" spans="1:18" ht="20.05" customHeight="1" thickTop="1" thickBot="1" x14ac:dyDescent="0.7">
      <c r="A11" s="1"/>
      <c r="B11" s="23" t="s">
        <v>14</v>
      </c>
      <c r="C11" s="24"/>
      <c r="D11" s="5">
        <v>4410000</v>
      </c>
      <c r="E11" s="16"/>
      <c r="F11" s="16"/>
      <c r="G11" s="16"/>
      <c r="H11" s="16"/>
      <c r="I11" s="16"/>
      <c r="J11" s="16"/>
      <c r="K11" s="7">
        <f t="shared" si="1"/>
        <v>4410000</v>
      </c>
      <c r="L11" s="1"/>
      <c r="M11" s="25" t="s">
        <v>24</v>
      </c>
      <c r="N11" s="26"/>
      <c r="O11" s="26"/>
      <c r="P11" s="26"/>
      <c r="Q11" s="26"/>
      <c r="R11" s="19">
        <f>IRR(D40:J40)</f>
        <v>1.1450453406082564</v>
      </c>
    </row>
    <row r="12" spans="1:18" ht="17.399999999999999" x14ac:dyDescent="0.55000000000000004">
      <c r="A12" s="1"/>
      <c r="B12" s="23" t="s">
        <v>1</v>
      </c>
      <c r="C12" s="24"/>
      <c r="D12" s="5">
        <v>42000</v>
      </c>
      <c r="E12" s="3">
        <v>42000</v>
      </c>
      <c r="F12" s="3">
        <v>42000</v>
      </c>
      <c r="G12" s="3">
        <v>42000</v>
      </c>
      <c r="H12" s="3">
        <v>42000</v>
      </c>
      <c r="I12" s="3">
        <v>42000</v>
      </c>
      <c r="J12" s="3">
        <v>42000</v>
      </c>
      <c r="K12" s="7">
        <f t="shared" si="1"/>
        <v>294000</v>
      </c>
      <c r="L12" s="1"/>
      <c r="M12" s="1"/>
    </row>
    <row r="13" spans="1:18" ht="17.399999999999999" x14ac:dyDescent="0.55000000000000004">
      <c r="A13" s="1"/>
      <c r="B13" s="23" t="s">
        <v>3</v>
      </c>
      <c r="C13" s="24"/>
      <c r="D13" s="5">
        <v>1962.24</v>
      </c>
      <c r="E13" s="3">
        <v>1962.24</v>
      </c>
      <c r="F13" s="3">
        <v>1962.24</v>
      </c>
      <c r="G13" s="3">
        <v>1962.24</v>
      </c>
      <c r="H13" s="3">
        <v>1962.24</v>
      </c>
      <c r="I13" s="3">
        <v>1962.24</v>
      </c>
      <c r="J13" s="3">
        <v>1962.24</v>
      </c>
      <c r="K13" s="7">
        <f t="shared" si="1"/>
        <v>13735.68</v>
      </c>
      <c r="L13" s="1"/>
      <c r="M13" s="1"/>
    </row>
    <row r="14" spans="1:18" ht="17.399999999999999" x14ac:dyDescent="0.55000000000000004">
      <c r="A14" s="1"/>
      <c r="B14" s="23" t="s">
        <v>2</v>
      </c>
      <c r="C14" s="24"/>
      <c r="D14" s="5">
        <v>194600</v>
      </c>
      <c r="E14" s="3">
        <v>194600</v>
      </c>
      <c r="F14" s="3">
        <v>194600</v>
      </c>
      <c r="G14" s="3">
        <v>207900</v>
      </c>
      <c r="H14" s="3">
        <v>207900</v>
      </c>
      <c r="I14" s="3">
        <v>207900</v>
      </c>
      <c r="J14" s="3">
        <v>207900</v>
      </c>
      <c r="K14" s="7">
        <f t="shared" si="1"/>
        <v>1415400</v>
      </c>
      <c r="L14" s="1"/>
      <c r="M14" s="1"/>
    </row>
    <row r="15" spans="1:18" ht="17.399999999999999" x14ac:dyDescent="0.55000000000000004">
      <c r="A15" s="1"/>
      <c r="B15" s="23" t="s">
        <v>49</v>
      </c>
      <c r="C15" s="24"/>
      <c r="D15" s="5">
        <v>0</v>
      </c>
      <c r="E15" s="3">
        <f>0.01*(D35)</f>
        <v>-38526.604900000006</v>
      </c>
      <c r="F15" s="3">
        <f>0.008*E35</f>
        <v>19093.9649192</v>
      </c>
      <c r="G15" s="3">
        <f>0.006 *F35</f>
        <v>36075.0587704848</v>
      </c>
      <c r="H15" s="3">
        <f>0.004*G35</f>
        <v>45574.956804918067</v>
      </c>
      <c r="I15" s="3">
        <f>0.002 *H35</f>
        <v>30134.987606390165</v>
      </c>
      <c r="J15" s="3">
        <f>0.001 *I35</f>
        <v>19765.18152239361</v>
      </c>
      <c r="K15" s="7">
        <f t="shared" si="1"/>
        <v>112117.54472338664</v>
      </c>
      <c r="L15" s="1"/>
      <c r="M15" s="1"/>
    </row>
    <row r="16" spans="1:18" ht="17.7" thickBot="1" x14ac:dyDescent="0.6">
      <c r="A16" s="1"/>
      <c r="B16" s="33" t="s">
        <v>16</v>
      </c>
      <c r="C16" s="34"/>
      <c r="D16" s="5">
        <f>1052 + 60*14*20</f>
        <v>17852</v>
      </c>
      <c r="E16" s="3">
        <f t="shared" ref="E16:J16" si="3">1052 + 60*14*20</f>
        <v>17852</v>
      </c>
      <c r="F16" s="3">
        <f t="shared" si="3"/>
        <v>17852</v>
      </c>
      <c r="G16" s="3">
        <f t="shared" si="3"/>
        <v>17852</v>
      </c>
      <c r="H16" s="3">
        <f t="shared" si="3"/>
        <v>17852</v>
      </c>
      <c r="I16" s="3">
        <f t="shared" si="3"/>
        <v>17852</v>
      </c>
      <c r="J16" s="3">
        <f t="shared" si="3"/>
        <v>17852</v>
      </c>
      <c r="K16" s="7">
        <f t="shared" si="1"/>
        <v>124964</v>
      </c>
      <c r="L16" s="1"/>
      <c r="M16" s="1"/>
    </row>
    <row r="17" spans="1:13" ht="20.399999999999999" thickTop="1" thickBot="1" x14ac:dyDescent="0.7">
      <c r="B17" s="28" t="s">
        <v>4</v>
      </c>
      <c r="C17" s="29"/>
      <c r="D17" s="16"/>
      <c r="E17" s="16"/>
      <c r="F17" s="16"/>
      <c r="G17" s="16"/>
      <c r="H17" s="16"/>
      <c r="I17" s="16"/>
      <c r="J17" s="16"/>
      <c r="K17" s="16"/>
      <c r="L17" s="1"/>
      <c r="M17" s="1"/>
    </row>
    <row r="18" spans="1:13" ht="18" thickTop="1" thickBot="1" x14ac:dyDescent="0.6">
      <c r="A18" s="1"/>
      <c r="B18" s="12" t="s">
        <v>5</v>
      </c>
      <c r="C18" s="11"/>
      <c r="D18" s="16"/>
      <c r="E18" s="16"/>
      <c r="F18" s="16"/>
      <c r="G18" s="16"/>
      <c r="H18" s="16"/>
      <c r="I18" s="16"/>
      <c r="J18" s="16"/>
      <c r="K18" s="16"/>
      <c r="L18" s="1"/>
      <c r="M18" s="1"/>
    </row>
    <row r="19" spans="1:13" ht="17.399999999999999" x14ac:dyDescent="0.55000000000000004">
      <c r="A19" s="1"/>
      <c r="B19" s="9" t="s">
        <v>36</v>
      </c>
      <c r="C19" s="13">
        <v>25</v>
      </c>
      <c r="D19" s="5">
        <f t="shared" ref="D19:J20" si="4">D5*$C19</f>
        <v>62500</v>
      </c>
      <c r="E19" s="3">
        <f t="shared" si="4"/>
        <v>137500</v>
      </c>
      <c r="F19" s="3">
        <f t="shared" si="4"/>
        <v>300000</v>
      </c>
      <c r="G19" s="3">
        <f t="shared" si="4"/>
        <v>475000</v>
      </c>
      <c r="H19" s="3">
        <f t="shared" si="4"/>
        <v>550000</v>
      </c>
      <c r="I19" s="3">
        <f t="shared" si="4"/>
        <v>512500</v>
      </c>
      <c r="J19" s="3">
        <f t="shared" si="4"/>
        <v>450000</v>
      </c>
      <c r="K19" s="7">
        <f t="shared" si="1"/>
        <v>2487500</v>
      </c>
      <c r="L19" s="1"/>
      <c r="M19" s="1"/>
    </row>
    <row r="20" spans="1:13" ht="17.399999999999999" x14ac:dyDescent="0.55000000000000004">
      <c r="A20" s="1"/>
      <c r="B20" s="9" t="s">
        <v>37</v>
      </c>
      <c r="C20" s="13">
        <v>25</v>
      </c>
      <c r="D20" s="5">
        <f t="shared" si="4"/>
        <v>21875</v>
      </c>
      <c r="E20" s="3">
        <f t="shared" si="4"/>
        <v>48124.999999999993</v>
      </c>
      <c r="F20" s="3">
        <f t="shared" si="4"/>
        <v>105000</v>
      </c>
      <c r="G20" s="3">
        <f t="shared" si="4"/>
        <v>166250</v>
      </c>
      <c r="H20" s="3">
        <f t="shared" si="4"/>
        <v>192499.99999999997</v>
      </c>
      <c r="I20" s="3">
        <f t="shared" si="4"/>
        <v>179374.99999999997</v>
      </c>
      <c r="J20" s="3">
        <f t="shared" si="4"/>
        <v>157500</v>
      </c>
      <c r="K20" s="7">
        <f t="shared" si="1"/>
        <v>870625</v>
      </c>
      <c r="L20" s="1"/>
      <c r="M20" s="1"/>
    </row>
    <row r="21" spans="1:13" ht="17.399999999999999" x14ac:dyDescent="0.55000000000000004">
      <c r="A21" s="1"/>
      <c r="B21" s="9" t="s">
        <v>38</v>
      </c>
      <c r="C21" s="13">
        <v>15</v>
      </c>
      <c r="D21" s="5">
        <f t="shared" ref="D21:J21" si="5">(D5+D6)*$C21</f>
        <v>50625</v>
      </c>
      <c r="E21" s="3">
        <f t="shared" si="5"/>
        <v>111375</v>
      </c>
      <c r="F21" s="3">
        <f t="shared" si="5"/>
        <v>243000</v>
      </c>
      <c r="G21" s="3">
        <f t="shared" si="5"/>
        <v>384750</v>
      </c>
      <c r="H21" s="3">
        <f t="shared" si="5"/>
        <v>445500</v>
      </c>
      <c r="I21" s="3">
        <f t="shared" si="5"/>
        <v>415125</v>
      </c>
      <c r="J21" s="3">
        <f t="shared" si="5"/>
        <v>364500</v>
      </c>
      <c r="K21" s="7">
        <f t="shared" si="1"/>
        <v>2014875</v>
      </c>
      <c r="L21" s="1"/>
      <c r="M21" s="1"/>
    </row>
    <row r="22" spans="1:13" ht="17.399999999999999" x14ac:dyDescent="0.55000000000000004">
      <c r="A22" s="1"/>
      <c r="B22" s="9" t="s">
        <v>39</v>
      </c>
      <c r="C22" s="13">
        <v>5</v>
      </c>
      <c r="D22" s="5">
        <f t="shared" ref="D22:J22" si="6">D5*$C22</f>
        <v>12500</v>
      </c>
      <c r="E22" s="3">
        <f t="shared" si="6"/>
        <v>27500</v>
      </c>
      <c r="F22" s="3">
        <f t="shared" si="6"/>
        <v>60000</v>
      </c>
      <c r="G22" s="3">
        <f t="shared" si="6"/>
        <v>95000</v>
      </c>
      <c r="H22" s="3">
        <f t="shared" si="6"/>
        <v>110000</v>
      </c>
      <c r="I22" s="3">
        <f t="shared" si="6"/>
        <v>102500</v>
      </c>
      <c r="J22" s="3">
        <f t="shared" si="6"/>
        <v>90000</v>
      </c>
      <c r="K22" s="7">
        <f t="shared" si="1"/>
        <v>497500</v>
      </c>
      <c r="L22" s="1"/>
      <c r="M22" s="1"/>
    </row>
    <row r="23" spans="1:13" ht="17.399999999999999" x14ac:dyDescent="0.55000000000000004">
      <c r="A23" s="1"/>
      <c r="B23" s="9" t="s">
        <v>40</v>
      </c>
      <c r="C23" s="13">
        <v>165.32</v>
      </c>
      <c r="D23" s="5">
        <f>D5*C23</f>
        <v>413300</v>
      </c>
      <c r="E23" s="3">
        <f>E5*C23</f>
        <v>909260</v>
      </c>
      <c r="F23" s="3">
        <f>F5*C23</f>
        <v>1983840</v>
      </c>
      <c r="G23" s="3">
        <f>G5*C23</f>
        <v>3141080</v>
      </c>
      <c r="H23" s="3">
        <f>H5*C23</f>
        <v>3637040</v>
      </c>
      <c r="I23" s="3">
        <f>I5*C23</f>
        <v>3389060</v>
      </c>
      <c r="J23" s="3">
        <f>J5*C23</f>
        <v>2975760</v>
      </c>
      <c r="K23" s="7">
        <f t="shared" si="1"/>
        <v>16449340</v>
      </c>
      <c r="L23" s="1"/>
      <c r="M23" s="1"/>
    </row>
    <row r="24" spans="1:13" ht="17.399999999999999" x14ac:dyDescent="0.55000000000000004">
      <c r="A24" s="1"/>
      <c r="B24" s="9" t="s">
        <v>37</v>
      </c>
      <c r="C24" s="13">
        <v>50.76</v>
      </c>
      <c r="D24" s="5">
        <f>D7*C24</f>
        <v>126900</v>
      </c>
      <c r="E24" s="3">
        <f>E7*C24</f>
        <v>279180</v>
      </c>
      <c r="F24" s="3">
        <f>F7*C24</f>
        <v>609120</v>
      </c>
      <c r="G24" s="3">
        <f>G7*C24</f>
        <v>964440</v>
      </c>
      <c r="H24" s="3">
        <f>H7*C24</f>
        <v>1116720</v>
      </c>
      <c r="I24" s="3">
        <f>I7*C24</f>
        <v>1040580</v>
      </c>
      <c r="J24" s="3">
        <f>J7*C24</f>
        <v>913680</v>
      </c>
      <c r="K24" s="7">
        <f t="shared" si="1"/>
        <v>5050620</v>
      </c>
      <c r="L24" s="1"/>
      <c r="M24" s="1"/>
    </row>
    <row r="25" spans="1:13" ht="17.399999999999999" x14ac:dyDescent="0.55000000000000004">
      <c r="A25" s="1"/>
      <c r="B25" s="9" t="s">
        <v>41</v>
      </c>
      <c r="C25" s="13">
        <v>135</v>
      </c>
      <c r="D25" s="5">
        <f>(D6+D5)*C25</f>
        <v>455625</v>
      </c>
      <c r="E25" s="3">
        <f>((E6+E5)+(D6+D5))*C25</f>
        <v>1458000</v>
      </c>
      <c r="F25" s="3">
        <f>((E6+E5)+(D6+D5)+(F6+F5))*C25</f>
        <v>3645000</v>
      </c>
      <c r="G25" s="3">
        <f>((E6+E5)+(D6+D5)+(F6+F5)+(G6+G5))*C25</f>
        <v>7107750</v>
      </c>
      <c r="H25" s="3">
        <f>((E6+E5)+(D6+D5)+(F6+F5)+(G6+G5)+(H6+H6))*C25</f>
        <v>9186750</v>
      </c>
      <c r="I25" s="3">
        <f>((E6+E5)+(D6+D5)+(F6+F5)+(G6+G5)+(H6+H6)+(I6+I5))*C25</f>
        <v>12922875</v>
      </c>
      <c r="J25" s="3">
        <f>((E6+E5)+(D6+D5)+(F6+F5)+(G6+G5)+(H6+H6)+(I6+I5)+(J6+J5))*C25</f>
        <v>16203375</v>
      </c>
      <c r="K25" s="7">
        <f t="shared" si="1"/>
        <v>50979375</v>
      </c>
      <c r="L25" s="1"/>
      <c r="M25" s="1"/>
    </row>
    <row r="26" spans="1:13" ht="17.7" thickBot="1" x14ac:dyDescent="0.6">
      <c r="A26" s="1"/>
      <c r="B26" s="10" t="s">
        <v>42</v>
      </c>
      <c r="C26" s="13">
        <v>15.3</v>
      </c>
      <c r="D26" s="5">
        <f t="shared" ref="D26:J26" si="7">(D5+D6)*$C26</f>
        <v>51637.5</v>
      </c>
      <c r="E26" s="3">
        <f t="shared" si="7"/>
        <v>113602.5</v>
      </c>
      <c r="F26" s="3">
        <f t="shared" si="7"/>
        <v>247860</v>
      </c>
      <c r="G26" s="3">
        <f t="shared" si="7"/>
        <v>392445</v>
      </c>
      <c r="H26" s="3">
        <f t="shared" si="7"/>
        <v>454410</v>
      </c>
      <c r="I26" s="3">
        <f t="shared" si="7"/>
        <v>423427.5</v>
      </c>
      <c r="J26" s="3">
        <f t="shared" si="7"/>
        <v>371790</v>
      </c>
      <c r="K26" s="7">
        <f t="shared" si="1"/>
        <v>2055172.5</v>
      </c>
      <c r="L26" s="1"/>
      <c r="M26" s="1"/>
    </row>
    <row r="27" spans="1:13" ht="20.399999999999999" thickTop="1" thickBot="1" x14ac:dyDescent="0.7">
      <c r="B27" s="27" t="s">
        <v>27</v>
      </c>
      <c r="C27" s="27"/>
      <c r="D27" s="5">
        <f>SUM(D9:D26)</f>
        <v>5961376.7400000002</v>
      </c>
      <c r="E27" s="3">
        <f t="shared" ref="E27:J27" si="8">SUM(E12:E26)</f>
        <v>3302430.1351000001</v>
      </c>
      <c r="F27" s="3">
        <f t="shared" si="8"/>
        <v>7469328.2049192004</v>
      </c>
      <c r="G27" s="3">
        <f t="shared" si="8"/>
        <v>13032504.298770484</v>
      </c>
      <c r="H27" s="3">
        <f t="shared" si="8"/>
        <v>16008209.196804918</v>
      </c>
      <c r="I27" s="3">
        <f t="shared" si="8"/>
        <v>19285291.72760639</v>
      </c>
      <c r="J27" s="3">
        <f t="shared" si="8"/>
        <v>21816084.421522394</v>
      </c>
      <c r="K27" s="7">
        <f t="shared" si="1"/>
        <v>86875224.724723384</v>
      </c>
      <c r="L27" s="1"/>
      <c r="M27" s="1"/>
    </row>
    <row r="28" spans="1:13" ht="20.399999999999999" thickTop="1" thickBot="1" x14ac:dyDescent="0.7">
      <c r="B28" s="27" t="s">
        <v>6</v>
      </c>
      <c r="C28" s="27"/>
      <c r="D28" s="16"/>
      <c r="E28" s="16"/>
      <c r="F28" s="16"/>
      <c r="G28" s="16"/>
      <c r="H28" s="16"/>
      <c r="I28" s="16"/>
      <c r="J28" s="16"/>
      <c r="K28" s="16"/>
      <c r="L28" s="1"/>
      <c r="M28" s="1"/>
    </row>
    <row r="29" spans="1:13" ht="17.7" thickTop="1" x14ac:dyDescent="0.55000000000000004">
      <c r="A29" s="1"/>
      <c r="B29" s="12" t="s">
        <v>43</v>
      </c>
      <c r="C29" s="13">
        <v>399.99</v>
      </c>
      <c r="D29" s="5">
        <f>D5*C29</f>
        <v>999975</v>
      </c>
      <c r="E29" s="3">
        <f>E5*C29</f>
        <v>2199945</v>
      </c>
      <c r="F29" s="3">
        <f>F5*C29</f>
        <v>4799880</v>
      </c>
      <c r="G29" s="3">
        <f>G5*C29</f>
        <v>7599810</v>
      </c>
      <c r="H29" s="3">
        <f>H5*C29</f>
        <v>8799780</v>
      </c>
      <c r="I29" s="3">
        <f>I5*C29</f>
        <v>8199795</v>
      </c>
      <c r="J29" s="3">
        <f>J5*C29</f>
        <v>7199820</v>
      </c>
      <c r="K29" s="7">
        <f t="shared" si="1"/>
        <v>39799005</v>
      </c>
      <c r="L29" s="1"/>
      <c r="M29" s="1"/>
    </row>
    <row r="30" spans="1:13" ht="17.399999999999999" x14ac:dyDescent="0.55000000000000004">
      <c r="A30" s="1"/>
      <c r="B30" s="9" t="s">
        <v>44</v>
      </c>
      <c r="C30" s="13">
        <v>109.99</v>
      </c>
      <c r="D30" s="5">
        <f t="shared" ref="D30:J30" si="9">$C30*D6</f>
        <v>96241.25</v>
      </c>
      <c r="E30" s="3">
        <f t="shared" si="9"/>
        <v>211730.74999999997</v>
      </c>
      <c r="F30" s="3">
        <f t="shared" si="9"/>
        <v>461958</v>
      </c>
      <c r="G30" s="3">
        <f t="shared" si="9"/>
        <v>731433.5</v>
      </c>
      <c r="H30" s="3">
        <f t="shared" si="9"/>
        <v>846922.99999999988</v>
      </c>
      <c r="I30" s="3">
        <f t="shared" si="9"/>
        <v>789178.24999999988</v>
      </c>
      <c r="J30" s="3">
        <f t="shared" si="9"/>
        <v>692937</v>
      </c>
      <c r="K30" s="7">
        <f t="shared" si="1"/>
        <v>3830401.75</v>
      </c>
      <c r="L30" s="1"/>
      <c r="M30" s="1"/>
    </row>
    <row r="31" spans="1:13" ht="17.399999999999999" x14ac:dyDescent="0.55000000000000004">
      <c r="A31" s="1"/>
      <c r="B31" s="9" t="s">
        <v>45</v>
      </c>
      <c r="C31" s="13">
        <v>270</v>
      </c>
      <c r="D31" s="5">
        <f>(D6+D5)*C31</f>
        <v>911250</v>
      </c>
      <c r="E31" s="3">
        <f>((E6+E5)+(D6+D5))*$C31</f>
        <v>2916000</v>
      </c>
      <c r="F31" s="3">
        <f>((E6+E5)+(D6+D5)+(F6+F5))*C31</f>
        <v>7290000</v>
      </c>
      <c r="G31" s="3">
        <f>((E6+E5)+(D6+D5)+(F6+F5)+(G6+G5))*$C31</f>
        <v>14215500</v>
      </c>
      <c r="H31" s="3">
        <f>((E6+E5)+(D6+D5)+(F6+F5)+(G6+G5)+(H6+H6))*C31</f>
        <v>18373500</v>
      </c>
      <c r="I31" s="3">
        <f>((E6+E5)+(D6+D5)+(F6+F5)+(G6+G5)+(H6+H6)+(I6+I5))*$C31</f>
        <v>25845750</v>
      </c>
      <c r="J31" s="3">
        <f>((E6+E5)+(D6+D5)+(F6+F5)+(G6+G5)+(H6+H6)+(I6+I5)+(J6+J5))*C31</f>
        <v>32406750</v>
      </c>
      <c r="K31" s="7">
        <f t="shared" si="1"/>
        <v>101958750</v>
      </c>
      <c r="L31" s="1"/>
      <c r="M31" s="1"/>
    </row>
    <row r="32" spans="1:13" ht="17.399999999999999" x14ac:dyDescent="0.55000000000000004">
      <c r="A32" s="1"/>
      <c r="B32" s="9" t="s">
        <v>46</v>
      </c>
      <c r="C32" s="13">
        <v>30</v>
      </c>
      <c r="D32" s="5">
        <f>(D5+D6)*$C32</f>
        <v>101250</v>
      </c>
      <c r="E32" s="3">
        <f t="shared" ref="E32:J32" si="10">(E5+E6)*$C32+D32</f>
        <v>324000</v>
      </c>
      <c r="F32" s="3">
        <f t="shared" si="10"/>
        <v>810000</v>
      </c>
      <c r="G32" s="3">
        <f t="shared" si="10"/>
        <v>1579500</v>
      </c>
      <c r="H32" s="3">
        <f t="shared" si="10"/>
        <v>2470500</v>
      </c>
      <c r="I32" s="3">
        <f t="shared" si="10"/>
        <v>3300750</v>
      </c>
      <c r="J32" s="3">
        <f t="shared" si="10"/>
        <v>4029750</v>
      </c>
      <c r="K32" s="7">
        <f t="shared" si="1"/>
        <v>12615750</v>
      </c>
      <c r="L32" s="1"/>
      <c r="M32" s="1"/>
    </row>
    <row r="33" spans="1:13" ht="17.7" thickBot="1" x14ac:dyDescent="0.6">
      <c r="A33" s="1"/>
      <c r="B33" s="10" t="s">
        <v>47</v>
      </c>
      <c r="C33" s="13">
        <v>30</v>
      </c>
      <c r="D33" s="5">
        <f>0</f>
        <v>0</v>
      </c>
      <c r="E33" s="3">
        <f>(D5*0.5)*$C33</f>
        <v>37500</v>
      </c>
      <c r="F33" s="3">
        <f>(E5*0.5)*$C33+E33</f>
        <v>120000</v>
      </c>
      <c r="G33" s="3">
        <f>(F5*0.5)*$C33+F33</f>
        <v>300000</v>
      </c>
      <c r="H33" s="3">
        <f>(G5*0.5)*$C33+G33</f>
        <v>585000</v>
      </c>
      <c r="I33" s="3">
        <f>(H5*0.5)*$C33+H33</f>
        <v>915000</v>
      </c>
      <c r="J33" s="3">
        <f>(I5*0.5)*$C33+I33</f>
        <v>1222500</v>
      </c>
      <c r="K33" s="7">
        <f t="shared" si="1"/>
        <v>3180000</v>
      </c>
      <c r="L33" s="1"/>
      <c r="M33" s="1"/>
    </row>
    <row r="34" spans="1:13" ht="20.399999999999999" thickTop="1" thickBot="1" x14ac:dyDescent="0.7">
      <c r="B34" s="27" t="s">
        <v>15</v>
      </c>
      <c r="C34" s="27"/>
      <c r="D34" s="5">
        <f t="shared" ref="D34:J34" si="11">SUM(D29:D33)</f>
        <v>2108716.25</v>
      </c>
      <c r="E34" s="3">
        <f t="shared" si="11"/>
        <v>5689175.75</v>
      </c>
      <c r="F34" s="3">
        <f t="shared" si="11"/>
        <v>13481838</v>
      </c>
      <c r="G34" s="3">
        <f t="shared" si="11"/>
        <v>24426243.5</v>
      </c>
      <c r="H34" s="3">
        <f t="shared" si="11"/>
        <v>31075703</v>
      </c>
      <c r="I34" s="3">
        <f t="shared" si="11"/>
        <v>39050473.25</v>
      </c>
      <c r="J34" s="3">
        <f t="shared" si="11"/>
        <v>45551757</v>
      </c>
      <c r="K34" s="7">
        <f t="shared" si="1"/>
        <v>161383906.75</v>
      </c>
      <c r="L34" s="1"/>
      <c r="M34" s="1"/>
    </row>
    <row r="35" spans="1:13" ht="20.399999999999999" thickTop="1" thickBot="1" x14ac:dyDescent="0.7">
      <c r="B35" s="27" t="s">
        <v>30</v>
      </c>
      <c r="C35" s="27"/>
      <c r="D35" s="5">
        <f t="shared" ref="D35:J35" si="12">D34-D27</f>
        <v>-3852660.49</v>
      </c>
      <c r="E35" s="3">
        <f t="shared" si="12"/>
        <v>2386745.6148999999</v>
      </c>
      <c r="F35" s="3">
        <f t="shared" si="12"/>
        <v>6012509.7950807996</v>
      </c>
      <c r="G35" s="3">
        <f t="shared" si="12"/>
        <v>11393739.201229516</v>
      </c>
      <c r="H35" s="3">
        <f t="shared" si="12"/>
        <v>15067493.803195082</v>
      </c>
      <c r="I35" s="3">
        <f t="shared" si="12"/>
        <v>19765181.52239361</v>
      </c>
      <c r="J35" s="3">
        <f t="shared" si="12"/>
        <v>23735672.578477606</v>
      </c>
      <c r="K35" s="7">
        <f t="shared" si="1"/>
        <v>74508682.025276616</v>
      </c>
      <c r="L35" s="1"/>
      <c r="M35" s="1"/>
    </row>
    <row r="36" spans="1:13" ht="20.399999999999999" thickTop="1" thickBot="1" x14ac:dyDescent="0.7">
      <c r="B36" s="27" t="s">
        <v>32</v>
      </c>
      <c r="C36" s="27"/>
      <c r="D36" s="5">
        <f>D35*0.8</f>
        <v>-3082128.3920000005</v>
      </c>
      <c r="E36" s="3">
        <f t="shared" ref="E36:J36" si="13">E35*0.8</f>
        <v>1909396.4919199999</v>
      </c>
      <c r="F36" s="3">
        <f t="shared" si="13"/>
        <v>4810007.8360646395</v>
      </c>
      <c r="G36" s="3">
        <f t="shared" si="13"/>
        <v>9114991.3609836139</v>
      </c>
      <c r="H36" s="3">
        <f t="shared" si="13"/>
        <v>12053995.042556066</v>
      </c>
      <c r="I36" s="3">
        <f t="shared" si="13"/>
        <v>15812145.217914889</v>
      </c>
      <c r="J36" s="3">
        <f t="shared" si="13"/>
        <v>18988538.062782086</v>
      </c>
      <c r="K36" s="7">
        <f t="shared" si="1"/>
        <v>59606945.620221294</v>
      </c>
      <c r="L36" s="1"/>
      <c r="M36" s="1"/>
    </row>
    <row r="37" spans="1:13" ht="20.399999999999999" thickTop="1" thickBot="1" x14ac:dyDescent="0.7">
      <c r="B37" s="27" t="s">
        <v>18</v>
      </c>
      <c r="C37" s="27"/>
      <c r="D37" s="5">
        <f>D36</f>
        <v>-3082128.3920000005</v>
      </c>
      <c r="E37" s="3">
        <f t="shared" ref="E37:J37" si="14">D37+E36</f>
        <v>-1172731.9000800005</v>
      </c>
      <c r="F37" s="3">
        <f t="shared" si="14"/>
        <v>3637275.935984639</v>
      </c>
      <c r="G37" s="3">
        <f t="shared" si="14"/>
        <v>12752267.296968253</v>
      </c>
      <c r="H37" s="3">
        <f t="shared" si="14"/>
        <v>24806262.339524321</v>
      </c>
      <c r="I37" s="3">
        <f t="shared" si="14"/>
        <v>40618407.557439208</v>
      </c>
      <c r="J37" s="3">
        <f t="shared" si="14"/>
        <v>59606945.620221294</v>
      </c>
      <c r="K37" s="7">
        <f t="shared" si="1"/>
        <v>137166298.4580577</v>
      </c>
      <c r="L37" s="1"/>
      <c r="M37" s="1"/>
    </row>
    <row r="38" spans="1:13" ht="20.399999999999999" thickTop="1" thickBot="1" x14ac:dyDescent="0.7">
      <c r="B38" s="27" t="s">
        <v>19</v>
      </c>
      <c r="C38" s="27"/>
      <c r="D38" s="5">
        <f>D34-(SUM(D19:D26))</f>
        <v>913753.75</v>
      </c>
      <c r="E38" s="3">
        <f t="shared" ref="E38:J38" si="15">E34-(SUM(E19:E25))</f>
        <v>2718235.75</v>
      </c>
      <c r="F38" s="3">
        <f t="shared" si="15"/>
        <v>6535878</v>
      </c>
      <c r="G38" s="3">
        <f t="shared" si="15"/>
        <v>12091973.5</v>
      </c>
      <c r="H38" s="3">
        <f t="shared" si="15"/>
        <v>15837193</v>
      </c>
      <c r="I38" s="3">
        <f t="shared" si="15"/>
        <v>20488458.25</v>
      </c>
      <c r="J38" s="3">
        <f t="shared" si="15"/>
        <v>24396942</v>
      </c>
      <c r="K38" s="7">
        <f t="shared" si="1"/>
        <v>82982434.25</v>
      </c>
      <c r="L38" s="1"/>
      <c r="M38" s="1"/>
    </row>
    <row r="39" spans="1:13" ht="20.399999999999999" thickTop="1" thickBot="1" x14ac:dyDescent="0.7">
      <c r="B39" s="27" t="s">
        <v>22</v>
      </c>
      <c r="C39" s="27"/>
      <c r="D39" s="6">
        <f>(D10)/D5</f>
        <v>6</v>
      </c>
      <c r="E39" s="4">
        <f>(E15)/E5</f>
        <v>-7.004837254545456</v>
      </c>
      <c r="F39" s="4">
        <f>F15/F5</f>
        <v>1.5911637432666665</v>
      </c>
      <c r="G39" s="4">
        <f>(G15)/G5</f>
        <v>1.8986873037097263</v>
      </c>
      <c r="H39" s="4">
        <f>H15/H5</f>
        <v>2.0715889456780938</v>
      </c>
      <c r="I39" s="4">
        <f>(I15)/I5</f>
        <v>1.4699993954336665</v>
      </c>
      <c r="J39" s="4">
        <f>J15/J5</f>
        <v>1.0980656401329782</v>
      </c>
      <c r="K39" s="7">
        <f t="shared" si="1"/>
        <v>7.1246677736756752</v>
      </c>
      <c r="L39" s="1"/>
      <c r="M39" s="1"/>
    </row>
    <row r="40" spans="1:13" ht="20.399999999999999" thickTop="1" thickBot="1" x14ac:dyDescent="0.7">
      <c r="B40" s="27" t="s">
        <v>23</v>
      </c>
      <c r="C40" s="27"/>
      <c r="D40" s="15">
        <f>D36/((1.1)^0)</f>
        <v>-3082128.3920000005</v>
      </c>
      <c r="E40" s="8">
        <f>E36/((1.1)^1)</f>
        <v>1735814.9926545452</v>
      </c>
      <c r="F40" s="8">
        <f>F36/((1.1)^2)</f>
        <v>3975213.0876567261</v>
      </c>
      <c r="G40" s="8">
        <f>G36/((1.1)^3)</f>
        <v>6848227.9195970027</v>
      </c>
      <c r="H40" s="8">
        <f>H36/((1.1)^4)</f>
        <v>8233040.8049696488</v>
      </c>
      <c r="I40" s="8">
        <f>I36/((1.1)^5)</f>
        <v>9818098.1291112024</v>
      </c>
      <c r="J40" s="20">
        <f>J36/((1.1)^6)</f>
        <v>10718534.70627434</v>
      </c>
      <c r="K40" s="21">
        <f>SUM(D40:J40)</f>
        <v>38246801.248263463</v>
      </c>
      <c r="L40" s="1"/>
      <c r="M40" s="1"/>
    </row>
    <row r="41" spans="1:13" ht="14.7" thickTop="1" x14ac:dyDescent="0.55000000000000004"/>
  </sheetData>
  <mergeCells count="37">
    <mergeCell ref="D1:J2"/>
    <mergeCell ref="B6:C6"/>
    <mergeCell ref="B7:C7"/>
    <mergeCell ref="B8:C8"/>
    <mergeCell ref="D3:D4"/>
    <mergeCell ref="E3:E4"/>
    <mergeCell ref="F3:F4"/>
    <mergeCell ref="G3:G4"/>
    <mergeCell ref="H3:H4"/>
    <mergeCell ref="I3:I4"/>
    <mergeCell ref="J3:J4"/>
    <mergeCell ref="K3:K4"/>
    <mergeCell ref="B4:C4"/>
    <mergeCell ref="B5:C5"/>
    <mergeCell ref="B40:C40"/>
    <mergeCell ref="M7:Q7"/>
    <mergeCell ref="M8:Q8"/>
    <mergeCell ref="M9:Q9"/>
    <mergeCell ref="M10:Q10"/>
    <mergeCell ref="B35:C35"/>
    <mergeCell ref="B36:C36"/>
    <mergeCell ref="B37:C37"/>
    <mergeCell ref="B38:C38"/>
    <mergeCell ref="B39:C39"/>
    <mergeCell ref="B34:C34"/>
    <mergeCell ref="B15:C15"/>
    <mergeCell ref="B16:C16"/>
    <mergeCell ref="B14:C14"/>
    <mergeCell ref="M11:Q11"/>
    <mergeCell ref="B27:C27"/>
    <mergeCell ref="B28:C28"/>
    <mergeCell ref="B17:C17"/>
    <mergeCell ref="B9:C9"/>
    <mergeCell ref="B10:C10"/>
    <mergeCell ref="B11:C11"/>
    <mergeCell ref="B12:C12"/>
    <mergeCell ref="B13:C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Rabaça Moller Freiria</dc:creator>
  <cp:lastModifiedBy>Lucas</cp:lastModifiedBy>
  <dcterms:created xsi:type="dcterms:W3CDTF">2015-06-05T18:19:34Z</dcterms:created>
  <dcterms:modified xsi:type="dcterms:W3CDTF">2020-05-29T02:01:57Z</dcterms:modified>
</cp:coreProperties>
</file>