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173\Downloads\"/>
    </mc:Choice>
  </mc:AlternateContent>
  <xr:revisionPtr revIDLastSave="0" documentId="8_{2BE18618-E8C2-412D-A83D-CFBC1B0D4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ayfair Inc." sheetId="2" r:id="rId1"/>
    <sheet name="The Michaels Company, Inc." sheetId="3" r:id="rId2"/>
    <sheet name="The Home Depot, Inc." sheetId="4" r:id="rId3"/>
    <sheet name="Wonder Wall WACC" sheetId="5" r:id="rId4"/>
    <sheet name="Financial NPV &amp; IRR" sheetId="7" r:id="rId5"/>
    <sheet name="Reference" sheetId="6" r:id="rId6"/>
  </sheet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7" l="1"/>
  <c r="D10" i="7"/>
  <c r="E10" i="7"/>
  <c r="F10" i="7"/>
  <c r="G10" i="7"/>
  <c r="H10" i="7"/>
  <c r="C10" i="7"/>
  <c r="C13" i="7" l="1"/>
  <c r="B52" i="4"/>
  <c r="H46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14" i="4"/>
  <c r="B46" i="4"/>
  <c r="F15" i="4" s="1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14" i="4"/>
  <c r="B29" i="2" l="1"/>
  <c r="C35" i="2" s="1"/>
  <c r="B18" i="2"/>
  <c r="B23" i="2" l="1"/>
  <c r="F14" i="2"/>
  <c r="F15" i="2"/>
  <c r="H15" i="2" s="1"/>
  <c r="F16" i="2"/>
  <c r="H16" i="2" s="1"/>
  <c r="E5" i="5"/>
  <c r="E4" i="5"/>
  <c r="E3" i="5"/>
  <c r="C5" i="5"/>
  <c r="C4" i="5"/>
  <c r="C3" i="5"/>
  <c r="B57" i="4"/>
  <c r="B30" i="3"/>
  <c r="C36" i="3" s="1"/>
  <c r="B20" i="3"/>
  <c r="C63" i="4"/>
  <c r="B25" i="3"/>
  <c r="F18" i="3" l="1"/>
  <c r="H18" i="3" s="1"/>
  <c r="E7" i="5"/>
  <c r="C14" i="5" s="1"/>
  <c r="F17" i="3"/>
  <c r="H17" i="3" s="1"/>
  <c r="B51" i="4"/>
  <c r="F14" i="3"/>
  <c r="H14" i="3" s="1"/>
  <c r="B24" i="3"/>
  <c r="F15" i="3"/>
  <c r="H15" i="3" s="1"/>
  <c r="F16" i="3"/>
  <c r="H16" i="3" s="1"/>
  <c r="C62" i="4" l="1"/>
  <c r="D19" i="5"/>
  <c r="H20" i="3"/>
  <c r="F4" i="5" s="1"/>
  <c r="B53" i="4"/>
  <c r="C51" i="4" s="1"/>
  <c r="B62" i="4" s="1"/>
  <c r="B26" i="3"/>
  <c r="C24" i="3" s="1"/>
  <c r="B35" i="3" s="1"/>
  <c r="G4" i="5" s="1"/>
  <c r="H14" i="2"/>
  <c r="H18" i="2" s="1"/>
  <c r="B24" i="2"/>
  <c r="F5" i="5" l="1"/>
  <c r="C35" i="3"/>
  <c r="D35" i="3" s="1"/>
  <c r="G5" i="5"/>
  <c r="C34" i="2"/>
  <c r="D62" i="4"/>
  <c r="C53" i="4"/>
  <c r="C52" i="4"/>
  <c r="B63" i="4" s="1"/>
  <c r="C26" i="3"/>
  <c r="C25" i="3"/>
  <c r="B36" i="3" s="1"/>
  <c r="D63" i="4" l="1"/>
  <c r="D64" i="4" s="1"/>
  <c r="H5" i="5"/>
  <c r="D36" i="3"/>
  <c r="D37" i="3" s="1"/>
  <c r="H4" i="5"/>
  <c r="B25" i="2"/>
  <c r="C23" i="2" s="1"/>
  <c r="B34" i="2" s="1"/>
  <c r="G3" i="5" l="1"/>
  <c r="D34" i="2"/>
  <c r="F3" i="5"/>
  <c r="F7" i="5" s="1"/>
  <c r="D18" i="5" s="1"/>
  <c r="C25" i="2"/>
  <c r="C24" i="2"/>
  <c r="B35" i="2" s="1"/>
  <c r="G7" i="5" l="1"/>
  <c r="C18" i="5" s="1"/>
  <c r="E18" i="5" s="1"/>
  <c r="D35" i="2"/>
  <c r="D36" i="2" s="1"/>
  <c r="H3" i="5"/>
  <c r="H7" i="5" l="1"/>
  <c r="C19" i="5" s="1"/>
  <c r="E19" i="5" s="1"/>
  <c r="E20" i="5" s="1"/>
</calcChain>
</file>

<file path=xl/sharedStrings.xml><?xml version="1.0" encoding="utf-8"?>
<sst xmlns="http://schemas.openxmlformats.org/spreadsheetml/2006/main" count="129" uniqueCount="54">
  <si>
    <t>Bonds</t>
  </si>
  <si>
    <t>Price</t>
  </si>
  <si>
    <t>Stock</t>
  </si>
  <si>
    <t>Market values</t>
  </si>
  <si>
    <t>Total</t>
  </si>
  <si>
    <t>Weights</t>
  </si>
  <si>
    <t>WACC</t>
  </si>
  <si>
    <t>Tax rate</t>
  </si>
  <si>
    <t>Weight</t>
  </si>
  <si>
    <t>After-tax R</t>
  </si>
  <si>
    <t>Product</t>
  </si>
  <si>
    <t>Beta</t>
  </si>
  <si>
    <t>Shares Outstanding</t>
  </si>
  <si>
    <t>Risk-free rate (30-year Treasury bond)</t>
  </si>
  <si>
    <t xml:space="preserve">Historical Return on S&amp;P500 </t>
  </si>
  <si>
    <t>Maturity Date</t>
  </si>
  <si>
    <t>YTM</t>
  </si>
  <si>
    <t>Amount ($mil)</t>
  </si>
  <si>
    <t>Weighted YTM</t>
  </si>
  <si>
    <t>YTM =</t>
  </si>
  <si>
    <t>Total =</t>
  </si>
  <si>
    <t>CAPM</t>
  </si>
  <si>
    <t>Cost of Debt</t>
  </si>
  <si>
    <t>Weight of Debt</t>
  </si>
  <si>
    <t>Weight of Equity</t>
  </si>
  <si>
    <t>Market Cap</t>
  </si>
  <si>
    <t>Stock information:</t>
  </si>
  <si>
    <t>Bond information:</t>
  </si>
  <si>
    <t>Value-weighted Average</t>
  </si>
  <si>
    <t>Wayfair Inc.</t>
  </si>
  <si>
    <t>The Michael's Company, Inc.</t>
  </si>
  <si>
    <t>The Home Depot, Inc.</t>
  </si>
  <si>
    <t>https://www-capitaliq-com.proxy.ulib.uits.iu.edu/ciqdotnet/company.aspx?leftlink=true&amp;companyId=278679</t>
  </si>
  <si>
    <t>The Home Depot</t>
  </si>
  <si>
    <t>https://www-capitaliq-com.proxy.ulib.uits.iu.edu/CIQDotNet/company.aspx?leftlink=true&amp;companyId=30663855&amp;fromSearchProfiles=True</t>
  </si>
  <si>
    <t>Wayfair Inc</t>
  </si>
  <si>
    <t>https://www-capitaliq-com.proxy.ulib.uits.iu.edu/CIQDotNet/company.aspx?leftlink=true&amp;companyId=253239221&amp;fromSearchProfiles=True</t>
  </si>
  <si>
    <t>Michaels</t>
  </si>
  <si>
    <t>The Michaels Company, Inc.</t>
  </si>
  <si>
    <t>Total Cash Flows</t>
  </si>
  <si>
    <t>YEAR</t>
  </si>
  <si>
    <t>Operating Cash Flow</t>
  </si>
  <si>
    <r>
      <t>∆</t>
    </r>
    <r>
      <rPr>
        <b/>
        <sz val="11"/>
        <rFont val="Arial"/>
        <family val="2"/>
      </rPr>
      <t>NWC</t>
    </r>
  </si>
  <si>
    <t>$ -</t>
  </si>
  <si>
    <t>Capital spending</t>
  </si>
  <si>
    <t>Total Projected Cash Flows</t>
  </si>
  <si>
    <t>NPV =</t>
  </si>
  <si>
    <t>IRR =</t>
  </si>
  <si>
    <t>Discounted Cash Flows</t>
  </si>
  <si>
    <t>Rate of Return(WACC) =</t>
  </si>
  <si>
    <t>We would Accept the project because of the fact we got a positive NPV and the IRR is greater than the cost of capital.</t>
  </si>
  <si>
    <t xml:space="preserve"> NWC % of sales =</t>
  </si>
  <si>
    <t>https://finance.yahoo.com/bonds?.tsrc=fin-srch</t>
  </si>
  <si>
    <t>30 year treasury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</si>
</sst>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#,##0.0000_);\(#,##0.0000\)"/>
    <numFmt numFmtId="165" formatCode="mmm\-dd\-yyyy"/>
    <numFmt numFmtId="166" formatCode="_(\ #,##0.0#_);_(\(\ #,##0.0#\)_);_(\ &quot; - &quot;_)"/>
    <numFmt numFmtId="167" formatCode="_(\ #,##0.0##_);_(\ \(#,##0.0##\)_);_(\ &quot; - &quot;_)"/>
    <numFmt numFmtId="168" formatCode="0.0%"/>
    <numFmt numFmtId="169" formatCode="&quot;$&quot;#,##0.00"/>
  </numFmts>
  <fonts count="33" x14ac:knownFonts="1">
    <font>
      <sz val="10"/>
      <name val="Arial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2"/>
      <name val="Arial"/>
      <family val="2"/>
    </font>
    <font>
      <i/>
      <sz val="12"/>
      <name val="Times New Roman"/>
      <family val="1"/>
    </font>
    <font>
      <i/>
      <u/>
      <sz val="12"/>
      <name val="Times New Roman"/>
      <family val="1"/>
    </font>
    <font>
      <b/>
      <i/>
      <u/>
      <sz val="12"/>
      <name val="Times New Roman"/>
      <family val="1"/>
    </font>
    <font>
      <sz val="12"/>
      <color indexed="8"/>
      <name val="Times New Roman"/>
      <family val="1"/>
    </font>
    <font>
      <sz val="10"/>
      <name val="Arial"/>
      <family val="2"/>
    </font>
    <font>
      <u/>
      <sz val="10"/>
      <color theme="10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b/>
      <sz val="10"/>
      <name val="Arial"/>
      <family val="2"/>
    </font>
    <font>
      <sz val="10"/>
      <name val="Calibri"/>
      <family val="2"/>
    </font>
    <font>
      <b/>
      <sz val="10"/>
      <color rgb="FFFFFFFF"/>
      <name val="Arial"/>
      <family val="2"/>
    </font>
    <font>
      <b/>
      <sz val="1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CCCCCC"/>
      </left>
      <right style="thin">
        <color theme="2"/>
      </right>
      <top style="medium">
        <color rgb="FFCCCCCC"/>
      </top>
      <bottom style="thin">
        <color theme="2"/>
      </bottom>
      <diagonal/>
    </border>
  </borders>
  <cellStyleXfs count="21">
    <xf numFmtId="0" fontId="0" fillId="0" borderId="0"/>
    <xf numFmtId="9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3" fillId="0" borderId="0" applyAlignment="0"/>
    <xf numFmtId="0" fontId="14" fillId="0" borderId="0" applyAlignment="0"/>
    <xf numFmtId="0" fontId="15" fillId="2" borderId="0" applyAlignment="0"/>
    <xf numFmtId="0" fontId="16" fillId="3" borderId="0" applyAlignment="0"/>
    <xf numFmtId="0" fontId="17" fillId="4" borderId="0" applyAlignment="0"/>
    <xf numFmtId="0" fontId="18" fillId="5" borderId="0" applyAlignment="0"/>
    <xf numFmtId="0" fontId="19" fillId="0" borderId="0" applyAlignment="0"/>
    <xf numFmtId="0" fontId="20" fillId="0" borderId="0" applyAlignment="0"/>
    <xf numFmtId="0" fontId="21" fillId="0" borderId="0" applyAlignment="0"/>
    <xf numFmtId="0" fontId="22" fillId="0" borderId="0" applyAlignment="0"/>
    <xf numFmtId="0" fontId="23" fillId="0" borderId="0" applyAlignment="0"/>
    <xf numFmtId="0" fontId="22" fillId="0" borderId="0" applyAlignment="0">
      <alignment wrapText="1"/>
    </xf>
    <xf numFmtId="0" fontId="24" fillId="0" borderId="0" applyAlignment="0"/>
    <xf numFmtId="0" fontId="25" fillId="0" borderId="0" applyAlignment="0"/>
    <xf numFmtId="0" fontId="26" fillId="0" borderId="0" applyAlignment="0"/>
    <xf numFmtId="0" fontId="32" fillId="0" borderId="0"/>
  </cellStyleXfs>
  <cellXfs count="76">
    <xf numFmtId="0" fontId="0" fillId="0" borderId="0" xfId="0"/>
    <xf numFmtId="37" fontId="2" fillId="0" borderId="0" xfId="0" applyNumberFormat="1" applyFont="1"/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8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6" fillId="0" borderId="0" xfId="0" applyFont="1"/>
    <xf numFmtId="37" fontId="3" fillId="0" borderId="0" xfId="0" applyNumberFormat="1" applyFont="1"/>
    <xf numFmtId="37" fontId="7" fillId="0" borderId="0" xfId="0" applyNumberFormat="1" applyFont="1"/>
    <xf numFmtId="37" fontId="8" fillId="0" borderId="0" xfId="0" applyNumberFormat="1" applyFont="1" applyAlignment="1">
      <alignment horizontal="center"/>
    </xf>
    <xf numFmtId="164" fontId="3" fillId="0" borderId="0" xfId="0" applyNumberFormat="1" applyFont="1"/>
    <xf numFmtId="37" fontId="3" fillId="0" borderId="1" xfId="0" applyNumberFormat="1" applyFont="1" applyBorder="1"/>
    <xf numFmtId="39" fontId="3" fillId="0" borderId="0" xfId="0" applyNumberFormat="1" applyFont="1"/>
    <xf numFmtId="9" fontId="3" fillId="0" borderId="0" xfId="1" applyFont="1"/>
    <xf numFmtId="37" fontId="4" fillId="0" borderId="1" xfId="0" applyNumberFormat="1" applyFont="1" applyBorder="1"/>
    <xf numFmtId="37" fontId="3" fillId="0" borderId="2" xfId="0" applyNumberFormat="1" applyFont="1" applyBorder="1" applyAlignment="1">
      <alignment horizontal="center"/>
    </xf>
    <xf numFmtId="10" fontId="3" fillId="0" borderId="0" xfId="1" applyNumberFormat="1" applyFont="1" applyBorder="1" applyAlignment="1">
      <alignment horizontal="center"/>
    </xf>
    <xf numFmtId="10" fontId="3" fillId="0" borderId="1" xfId="1" applyNumberFormat="1" applyFont="1" applyBorder="1" applyAlignment="1">
      <alignment horizontal="center"/>
    </xf>
    <xf numFmtId="37" fontId="3" fillId="0" borderId="0" xfId="0" applyNumberFormat="1" applyFont="1" applyAlignment="1">
      <alignment horizontal="center"/>
    </xf>
    <xf numFmtId="10" fontId="4" fillId="0" borderId="0" xfId="1" applyNumberFormat="1" applyFont="1" applyBorder="1" applyAlignment="1">
      <alignment horizontal="center"/>
    </xf>
    <xf numFmtId="37" fontId="4" fillId="0" borderId="0" xfId="0" applyNumberFormat="1" applyFont="1"/>
    <xf numFmtId="37" fontId="9" fillId="0" borderId="0" xfId="0" applyNumberFormat="1" applyFont="1"/>
    <xf numFmtId="10" fontId="3" fillId="0" borderId="0" xfId="1" applyNumberFormat="1" applyFont="1"/>
    <xf numFmtId="10" fontId="3" fillId="0" borderId="0" xfId="1" applyNumberFormat="1" applyFont="1" applyAlignment="1">
      <alignment horizontal="center"/>
    </xf>
    <xf numFmtId="10" fontId="6" fillId="0" borderId="0" xfId="1" applyNumberFormat="1" applyFont="1"/>
    <xf numFmtId="0" fontId="3" fillId="0" borderId="0" xfId="0" applyFont="1" applyAlignment="1">
      <alignment horizontal="right"/>
    </xf>
    <xf numFmtId="165" fontId="10" fillId="0" borderId="0" xfId="0" applyNumberFormat="1" applyFont="1" applyAlignment="1">
      <alignment horizontal="center" vertical="top" wrapText="1"/>
    </xf>
    <xf numFmtId="166" fontId="10" fillId="0" borderId="0" xfId="0" applyNumberFormat="1" applyFont="1" applyAlignment="1">
      <alignment horizontal="center" vertical="top" wrapText="1"/>
    </xf>
    <xf numFmtId="167" fontId="10" fillId="0" borderId="0" xfId="0" applyNumberFormat="1" applyFont="1" applyAlignment="1">
      <alignment horizontal="center" vertical="top" wrapText="1"/>
    </xf>
    <xf numFmtId="166" fontId="3" fillId="0" borderId="0" xfId="0" applyNumberFormat="1" applyFont="1" applyAlignment="1">
      <alignment horizontal="center"/>
    </xf>
    <xf numFmtId="10" fontId="10" fillId="0" borderId="0" xfId="1" applyNumberFormat="1" applyFont="1" applyAlignment="1">
      <alignment horizontal="center" vertical="top" wrapText="1"/>
    </xf>
    <xf numFmtId="10" fontId="3" fillId="0" borderId="1" xfId="1" applyNumberFormat="1" applyFont="1" applyBorder="1"/>
    <xf numFmtId="6" fontId="3" fillId="0" borderId="0" xfId="0" applyNumberFormat="1" applyFont="1"/>
    <xf numFmtId="0" fontId="4" fillId="0" borderId="1" xfId="0" applyFont="1" applyBorder="1"/>
    <xf numFmtId="2" fontId="3" fillId="0" borderId="0" xfId="0" applyNumberFormat="1" applyFont="1"/>
    <xf numFmtId="164" fontId="3" fillId="0" borderId="0" xfId="0" quotePrefix="1" applyNumberFormat="1" applyFont="1"/>
    <xf numFmtId="166" fontId="10" fillId="0" borderId="0" xfId="0" applyNumberFormat="1" applyFont="1" applyAlignment="1">
      <alignment horizontal="center" vertical="top"/>
    </xf>
    <xf numFmtId="167" fontId="10" fillId="0" borderId="0" xfId="0" applyNumberFormat="1" applyFont="1" applyAlignment="1">
      <alignment horizontal="center" vertical="top"/>
    </xf>
    <xf numFmtId="10" fontId="0" fillId="0" borderId="0" xfId="1" applyNumberFormat="1" applyFont="1"/>
    <xf numFmtId="10" fontId="10" fillId="0" borderId="0" xfId="1" applyNumberFormat="1" applyFont="1" applyAlignment="1">
      <alignment horizontal="center" vertical="top"/>
    </xf>
    <xf numFmtId="37" fontId="4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vertical="top"/>
    </xf>
    <xf numFmtId="168" fontId="3" fillId="0" borderId="0" xfId="1" applyNumberFormat="1" applyFont="1"/>
    <xf numFmtId="165" fontId="10" fillId="0" borderId="0" xfId="4" applyNumberFormat="1" applyFont="1" applyAlignment="1">
      <alignment horizontal="center" vertical="top" wrapText="1"/>
    </xf>
    <xf numFmtId="10" fontId="10" fillId="0" borderId="0" xfId="2" applyNumberFormat="1" applyFont="1" applyAlignment="1">
      <alignment horizontal="center" vertical="top" wrapText="1"/>
    </xf>
    <xf numFmtId="9" fontId="10" fillId="0" borderId="0" xfId="2" applyNumberFormat="1" applyFont="1" applyAlignment="1">
      <alignment horizontal="center" vertical="top" wrapText="1"/>
    </xf>
    <xf numFmtId="43" fontId="3" fillId="0" borderId="1" xfId="2" applyFont="1" applyBorder="1"/>
    <xf numFmtId="169" fontId="3" fillId="0" borderId="0" xfId="0" applyNumberFormat="1" applyFont="1"/>
    <xf numFmtId="0" fontId="1" fillId="0" borderId="0" xfId="0" applyFont="1"/>
    <xf numFmtId="0" fontId="12" fillId="0" borderId="0" xfId="3"/>
    <xf numFmtId="168" fontId="3" fillId="0" borderId="0" xfId="0" applyNumberFormat="1" applyFont="1"/>
    <xf numFmtId="10" fontId="3" fillId="0" borderId="0" xfId="1" applyNumberFormat="1" applyFont="1" applyBorder="1" applyAlignment="1">
      <alignment horizontal="right"/>
    </xf>
    <xf numFmtId="0" fontId="27" fillId="0" borderId="3" xfId="0" applyFont="1" applyBorder="1" applyAlignment="1">
      <alignment vertical="center"/>
    </xf>
    <xf numFmtId="0" fontId="27" fillId="0" borderId="0" xfId="0" applyFont="1"/>
    <xf numFmtId="0" fontId="27" fillId="0" borderId="3" xfId="0" applyFont="1" applyBorder="1" applyAlignment="1">
      <alignment wrapText="1"/>
    </xf>
    <xf numFmtId="0" fontId="28" fillId="0" borderId="3" xfId="0" applyFont="1" applyBorder="1" applyAlignment="1">
      <alignment wrapText="1"/>
    </xf>
    <xf numFmtId="0" fontId="28" fillId="0" borderId="4" xfId="0" applyFont="1" applyBorder="1" applyAlignment="1">
      <alignment wrapText="1"/>
    </xf>
    <xf numFmtId="0" fontId="27" fillId="0" borderId="5" xfId="0" applyFont="1" applyBorder="1" applyAlignment="1">
      <alignment wrapText="1"/>
    </xf>
    <xf numFmtId="0" fontId="29" fillId="6" borderId="5" xfId="0" applyFont="1" applyFill="1" applyBorder="1" applyAlignment="1">
      <alignment horizontal="right" wrapText="1"/>
    </xf>
    <xf numFmtId="8" fontId="27" fillId="0" borderId="3" xfId="0" applyNumberFormat="1" applyFont="1" applyBorder="1" applyAlignment="1">
      <alignment horizontal="right" wrapText="1"/>
    </xf>
    <xf numFmtId="0" fontId="27" fillId="0" borderId="3" xfId="0" applyFont="1" applyBorder="1" applyAlignment="1">
      <alignment horizontal="right" wrapText="1"/>
    </xf>
    <xf numFmtId="8" fontId="27" fillId="0" borderId="5" xfId="0" applyNumberFormat="1" applyFont="1" applyBorder="1" applyAlignment="1">
      <alignment horizontal="right" wrapText="1"/>
    </xf>
    <xf numFmtId="0" fontId="28" fillId="0" borderId="5" xfId="0" applyFont="1" applyBorder="1" applyAlignment="1">
      <alignment wrapText="1"/>
    </xf>
    <xf numFmtId="0" fontId="29" fillId="6" borderId="6" xfId="0" applyFont="1" applyFill="1" applyBorder="1" applyAlignment="1">
      <alignment horizontal="right" wrapText="1"/>
    </xf>
    <xf numFmtId="0" fontId="31" fillId="7" borderId="7" xfId="0" applyFont="1" applyFill="1" applyBorder="1"/>
    <xf numFmtId="0" fontId="28" fillId="0" borderId="8" xfId="0" applyFont="1" applyBorder="1" applyAlignment="1">
      <alignment wrapText="1"/>
    </xf>
    <xf numFmtId="10" fontId="27" fillId="0" borderId="0" xfId="0" applyNumberFormat="1" applyFont="1"/>
    <xf numFmtId="8" fontId="27" fillId="0" borderId="0" xfId="0" applyNumberFormat="1" applyFont="1"/>
    <xf numFmtId="0" fontId="27" fillId="0" borderId="0" xfId="0" applyFont="1" applyAlignment="1">
      <alignment wrapText="1"/>
    </xf>
    <xf numFmtId="8" fontId="27" fillId="0" borderId="0" xfId="0" applyNumberFormat="1" applyFont="1" applyAlignment="1">
      <alignment horizontal="right" wrapText="1"/>
    </xf>
    <xf numFmtId="0" fontId="27" fillId="0" borderId="0" xfId="20" applyFont="1"/>
    <xf numFmtId="9" fontId="27" fillId="0" borderId="0" xfId="20" applyNumberFormat="1" applyFont="1"/>
    <xf numFmtId="9" fontId="27" fillId="0" borderId="0" xfId="0" applyNumberFormat="1" applyFont="1"/>
  </cellXfs>
  <cellStyles count="24">
    <cellStyle name="ChartingText" xfId="18" xr:uid="{718D7231-7C1D-40AE-B0D3-CA84A74FFB4A}"/>
    <cellStyle name="CHPAboveAverage" xfId="19" xr:uid="{73EEEDD2-7031-479E-98E8-613D510AC5A6}"/>
    <cellStyle name="CHPBelowAverage" xfId="19" xr:uid="{141F4BFF-0A66-40E4-8AB4-5B03A1964EC9}"/>
    <cellStyle name="CHPBottom" xfId="19" xr:uid="{0166824F-1144-45A7-AAE9-B49BB44C1DA7}"/>
    <cellStyle name="CHPTop" xfId="19" xr:uid="{68DD3017-1EA4-4233-AAC3-3D4F04C7E117}"/>
    <cellStyle name="ColumnHeaderNormal" xfId="10" xr:uid="{CAF676FD-64DC-4416-8229-08306329A3E5}"/>
    <cellStyle name="Comma" xfId="2" builtinId="3"/>
    <cellStyle name="Hyperlink" xfId="3" builtinId="8"/>
    <cellStyle name="Invisible" xfId="17" xr:uid="{35D3B723-1E56-497D-AD15-ECB8610826E1}"/>
    <cellStyle name="NewColumnHeaderNormal" xfId="8" xr:uid="{36795113-7F32-41DF-A989-199464F94C90}"/>
    <cellStyle name="NewSectionHeaderNormal" xfId="7" xr:uid="{D26FF17C-6857-48CA-9CEB-A06B9110FBCB}"/>
    <cellStyle name="NewTitleNormal" xfId="6" xr:uid="{2E0A566E-1048-48B3-91CC-D26504BD0679}"/>
    <cellStyle name="Normal" xfId="0" builtinId="0"/>
    <cellStyle name="Normal 2" xfId="4" xr:uid="{EDA6494E-AE2D-4D5B-8D5C-A4FB3FD31FA3}"/>
    <cellStyle name="Normal 3" xfId="20" xr:uid="{3BCB8CFD-5FA6-4DDE-9B3D-3996C47F90DF}"/>
    <cellStyle name="Percent" xfId="1" builtinId="5"/>
    <cellStyle name="SectionHeaderNormal" xfId="9" xr:uid="{5B0257B8-609D-4249-A39A-E9A9DF831FA3}"/>
    <cellStyle name="SubScript" xfId="13" xr:uid="{41FCFDDF-FABE-4657-9F18-E2D2C34F206A}"/>
    <cellStyle name="SuperScript" xfId="12" xr:uid="{DD068210-2462-4BDD-A38C-E8AD9B6FD1FC}"/>
    <cellStyle name="TextBold" xfId="14" xr:uid="{A5867931-2C48-49F1-A7FC-F632ECB1E8F6}"/>
    <cellStyle name="TextItalic" xfId="15" xr:uid="{72A04AFC-7946-4BF8-9C91-E88A1057CB7E}"/>
    <cellStyle name="TextNormal" xfId="11" xr:uid="{6B2BF258-9322-434C-85D6-2EDACA4EC0C4}"/>
    <cellStyle name="TitleNormal" xfId="5" xr:uid="{08F7D956-00F1-41D9-BC01-CBB432A21CA1}"/>
    <cellStyle name="Total 2" xfId="16" xr:uid="{CAAC405C-35F2-40E9-A804-30F971A7094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-capitaliq-com.proxy.ulib.uits.iu.edu/CIQDotNet/company.aspx?leftlink=true&amp;companyId=253239221&amp;fromSearchProfiles=True" TargetMode="External"/><Relationship Id="rId2" Type="http://schemas.openxmlformats.org/officeDocument/2006/relationships/hyperlink" Target="https://www-capitaliq-com.proxy.ulib.uits.iu.edu/CIQDotNet/company.aspx?leftlink=true&amp;companyId=30663855&amp;fromSearchProfiles=True" TargetMode="External"/><Relationship Id="rId1" Type="http://schemas.openxmlformats.org/officeDocument/2006/relationships/hyperlink" Target="https://www-capitaliq-com.proxy.ulib.uits.iu.edu/ciqdotnet/company.aspx?leftlink=true&amp;companyId=278679" TargetMode="External"/><Relationship Id="rId4" Type="http://schemas.openxmlformats.org/officeDocument/2006/relationships/hyperlink" Target="https://finance.yahoo.com/bonds?.tsrc=fin-s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0"/>
  <sheetViews>
    <sheetView tabSelected="1" zoomScaleNormal="100" workbookViewId="0">
      <selection activeCell="A9" sqref="A9"/>
    </sheetView>
  </sheetViews>
  <sheetFormatPr defaultColWidth="8.81640625" defaultRowHeight="15.5" x14ac:dyDescent="0.35"/>
  <cols>
    <col min="1" max="1" width="36.26953125" style="2" customWidth="1"/>
    <col min="2" max="2" width="23.7265625" style="2" bestFit="1" customWidth="1"/>
    <col min="3" max="3" width="13.7265625" style="2" bestFit="1" customWidth="1"/>
    <col min="4" max="4" width="10.1796875" style="2" bestFit="1" customWidth="1"/>
    <col min="5" max="5" width="4.453125" style="2" customWidth="1"/>
    <col min="6" max="6" width="8" style="2" bestFit="1" customWidth="1"/>
    <col min="7" max="7" width="4" style="2" customWidth="1"/>
    <col min="8" max="8" width="14.81640625" style="2" bestFit="1" customWidth="1"/>
    <col min="9" max="9" width="14.81640625" style="9" bestFit="1" customWidth="1"/>
    <col min="10" max="10" width="14.1796875" bestFit="1" customWidth="1"/>
  </cols>
  <sheetData>
    <row r="1" spans="1:13" x14ac:dyDescent="0.35">
      <c r="A1" s="3" t="s">
        <v>29</v>
      </c>
    </row>
    <row r="3" spans="1:13" x14ac:dyDescent="0.35">
      <c r="A3" s="7" t="s">
        <v>26</v>
      </c>
    </row>
    <row r="5" spans="1:13" x14ac:dyDescent="0.35">
      <c r="A5" s="2" t="s">
        <v>1</v>
      </c>
      <c r="B5" s="5">
        <v>122.41</v>
      </c>
    </row>
    <row r="6" spans="1:13" x14ac:dyDescent="0.35">
      <c r="A6" s="2" t="s">
        <v>11</v>
      </c>
      <c r="B6" s="2">
        <v>2</v>
      </c>
    </row>
    <row r="7" spans="1:13" x14ac:dyDescent="0.35">
      <c r="A7" s="2" t="s">
        <v>12</v>
      </c>
      <c r="B7" s="4">
        <v>94400000</v>
      </c>
    </row>
    <row r="8" spans="1:13" x14ac:dyDescent="0.35">
      <c r="A8" s="2" t="s">
        <v>13</v>
      </c>
      <c r="B8" s="6">
        <v>1.2500000000000001E-2</v>
      </c>
    </row>
    <row r="9" spans="1:13" x14ac:dyDescent="0.35">
      <c r="A9" s="10" t="s">
        <v>14</v>
      </c>
      <c r="B9" s="6">
        <v>0.1</v>
      </c>
    </row>
    <row r="10" spans="1:13" x14ac:dyDescent="0.35">
      <c r="A10" s="10"/>
    </row>
    <row r="11" spans="1:13" x14ac:dyDescent="0.35">
      <c r="A11" s="7" t="s">
        <v>27</v>
      </c>
    </row>
    <row r="12" spans="1:13" x14ac:dyDescent="0.35">
      <c r="A12" s="7"/>
    </row>
    <row r="13" spans="1:13" x14ac:dyDescent="0.35">
      <c r="A13" s="8" t="s">
        <v>15</v>
      </c>
      <c r="B13" s="8" t="s">
        <v>17</v>
      </c>
      <c r="C13" s="8"/>
      <c r="D13" s="8" t="s">
        <v>16</v>
      </c>
      <c r="E13" s="8"/>
      <c r="F13" s="8" t="s">
        <v>8</v>
      </c>
      <c r="G13" s="8"/>
      <c r="H13" s="8" t="s">
        <v>18</v>
      </c>
      <c r="I13"/>
    </row>
    <row r="14" spans="1:13" x14ac:dyDescent="0.35">
      <c r="A14" s="29">
        <v>44805</v>
      </c>
      <c r="B14" s="39">
        <v>431.25</v>
      </c>
      <c r="C14" s="31"/>
      <c r="D14" s="42">
        <v>0</v>
      </c>
      <c r="E14" s="25"/>
      <c r="F14" s="25">
        <f>B14/$B$18</f>
        <v>0.22058823529411764</v>
      </c>
      <c r="G14" s="25"/>
      <c r="H14" s="26">
        <f>D14*F14</f>
        <v>0</v>
      </c>
      <c r="I14"/>
      <c r="J14" s="40"/>
      <c r="K14" s="41"/>
      <c r="M14" s="25"/>
    </row>
    <row r="15" spans="1:13" x14ac:dyDescent="0.35">
      <c r="A15" s="29">
        <v>45597</v>
      </c>
      <c r="B15" s="39">
        <v>575</v>
      </c>
      <c r="C15" s="31"/>
      <c r="D15" s="42">
        <v>0</v>
      </c>
      <c r="E15" s="25"/>
      <c r="F15" s="25">
        <f>B15/$B$18</f>
        <v>0.29411764705882354</v>
      </c>
      <c r="G15" s="25"/>
      <c r="H15" s="26">
        <f t="shared" ref="H15:H16" si="0">D15*F15</f>
        <v>0</v>
      </c>
      <c r="I15"/>
      <c r="J15" s="40"/>
      <c r="K15" s="41"/>
      <c r="M15" s="25"/>
    </row>
    <row r="16" spans="1:13" x14ac:dyDescent="0.35">
      <c r="A16" s="29">
        <v>46249</v>
      </c>
      <c r="B16" s="39">
        <v>948.75</v>
      </c>
      <c r="C16" s="31"/>
      <c r="D16" s="42">
        <v>9.7000000000000003E-3</v>
      </c>
      <c r="E16" s="25"/>
      <c r="F16" s="25">
        <f>B16/$B$18</f>
        <v>0.48529411764705882</v>
      </c>
      <c r="G16" s="25"/>
      <c r="H16" s="26">
        <f t="shared" si="0"/>
        <v>4.7073529411764707E-3</v>
      </c>
      <c r="I16"/>
      <c r="J16" s="40"/>
      <c r="K16" s="41"/>
      <c r="M16" s="25"/>
    </row>
    <row r="17" spans="1:13" x14ac:dyDescent="0.35">
      <c r="A17" s="29"/>
      <c r="B17" s="39"/>
      <c r="I17"/>
      <c r="J17" s="40"/>
      <c r="K17" s="41"/>
      <c r="M17" s="25"/>
    </row>
    <row r="18" spans="1:13" x14ac:dyDescent="0.35">
      <c r="A18" s="28" t="s">
        <v>20</v>
      </c>
      <c r="B18" s="32">
        <f>SUM(B14:B16)</f>
        <v>1955</v>
      </c>
      <c r="D18" s="28" t="s">
        <v>19</v>
      </c>
      <c r="E18" s="28"/>
      <c r="F18" s="28"/>
      <c r="G18" s="28"/>
      <c r="H18" s="26">
        <f>SUM(H14:H16)</f>
        <v>4.7073529411764707E-3</v>
      </c>
      <c r="I18"/>
    </row>
    <row r="19" spans="1:13" x14ac:dyDescent="0.35">
      <c r="I19"/>
    </row>
    <row r="21" spans="1:13" x14ac:dyDescent="0.35">
      <c r="A21" s="24" t="s">
        <v>3</v>
      </c>
      <c r="B21" s="10"/>
      <c r="C21" s="10"/>
      <c r="D21" s="10"/>
      <c r="E21" s="10"/>
      <c r="F21" s="10"/>
      <c r="G21" s="10"/>
      <c r="H21" s="10"/>
    </row>
    <row r="22" spans="1:13" s="1" customFormat="1" x14ac:dyDescent="0.35">
      <c r="A22" s="11"/>
      <c r="B22" s="10"/>
      <c r="C22" s="12" t="s">
        <v>5</v>
      </c>
      <c r="D22" s="10"/>
      <c r="E22" s="10"/>
      <c r="F22" s="10"/>
      <c r="G22" s="10"/>
      <c r="H22" s="10"/>
      <c r="I22" s="10"/>
    </row>
    <row r="23" spans="1:13" s="1" customFormat="1" x14ac:dyDescent="0.35">
      <c r="A23" s="10" t="s">
        <v>0</v>
      </c>
      <c r="B23" s="10">
        <f>B18*1000000</f>
        <v>1955000000</v>
      </c>
      <c r="C23" s="25">
        <f>B23/$B$25</f>
        <v>0.14470222576448666</v>
      </c>
      <c r="D23" s="10"/>
      <c r="E23" s="10"/>
      <c r="F23" s="10"/>
      <c r="G23" s="10"/>
      <c r="H23" s="10"/>
      <c r="I23" s="10"/>
    </row>
    <row r="24" spans="1:13" s="1" customFormat="1" x14ac:dyDescent="0.35">
      <c r="A24" s="10" t="s">
        <v>2</v>
      </c>
      <c r="B24" s="14">
        <f>B5*B7</f>
        <v>11555504000</v>
      </c>
      <c r="C24" s="34">
        <f>B24/$B$25</f>
        <v>0.85529777423551334</v>
      </c>
      <c r="D24" s="10"/>
      <c r="E24" s="10"/>
      <c r="F24" s="10"/>
      <c r="G24" s="10"/>
      <c r="H24" s="10"/>
      <c r="I24" s="10"/>
    </row>
    <row r="25" spans="1:13" s="1" customFormat="1" x14ac:dyDescent="0.35">
      <c r="A25" s="10" t="s">
        <v>4</v>
      </c>
      <c r="B25" s="10">
        <f>SUM(B23:B24)</f>
        <v>13510504000</v>
      </c>
      <c r="C25" s="13">
        <f>B25/$B$25</f>
        <v>1</v>
      </c>
      <c r="D25" s="10"/>
      <c r="E25" s="10"/>
      <c r="F25" s="10"/>
      <c r="G25" s="10"/>
      <c r="H25" s="10"/>
      <c r="I25" s="10"/>
    </row>
    <row r="26" spans="1:13" s="1" customFormat="1" x14ac:dyDescent="0.35">
      <c r="A26" s="10"/>
      <c r="B26" s="10"/>
      <c r="C26" s="10"/>
      <c r="D26" s="15"/>
      <c r="E26" s="10"/>
      <c r="F26" s="10"/>
      <c r="G26" s="10"/>
      <c r="H26" s="10"/>
      <c r="I26" s="10"/>
    </row>
    <row r="27" spans="1:13" s="1" customFormat="1" x14ac:dyDescent="0.35">
      <c r="A27" s="11" t="s">
        <v>7</v>
      </c>
      <c r="B27" s="45">
        <v>0.16400000000000001</v>
      </c>
      <c r="C27" s="10"/>
      <c r="D27" s="15"/>
      <c r="E27" s="10"/>
      <c r="F27" s="10"/>
      <c r="G27" s="10"/>
      <c r="H27" s="10"/>
      <c r="I27" s="10"/>
    </row>
    <row r="28" spans="1:13" s="1" customFormat="1" x14ac:dyDescent="0.35">
      <c r="A28" s="11"/>
      <c r="B28" s="16"/>
      <c r="C28" s="10"/>
      <c r="D28" s="15"/>
      <c r="E28" s="10"/>
      <c r="F28" s="10"/>
      <c r="G28" s="10"/>
      <c r="H28" s="10"/>
      <c r="I28" s="10"/>
    </row>
    <row r="29" spans="1:13" s="1" customFormat="1" x14ac:dyDescent="0.35">
      <c r="A29" s="23" t="s">
        <v>21</v>
      </c>
      <c r="B29" s="25">
        <f>B8+B6*(B9-B8)</f>
        <v>0.18750000000000003</v>
      </c>
      <c r="C29" s="10"/>
      <c r="D29" s="15"/>
      <c r="E29" s="10"/>
      <c r="F29" s="10"/>
      <c r="G29" s="10"/>
      <c r="H29" s="10"/>
      <c r="I29" s="10"/>
    </row>
    <row r="30" spans="1:13" s="1" customFormat="1" x14ac:dyDescent="0.35">
      <c r="A30" s="11"/>
      <c r="B30" s="16"/>
      <c r="C30" s="10"/>
      <c r="D30" s="15"/>
      <c r="E30" s="10"/>
      <c r="F30" s="10"/>
      <c r="G30" s="10"/>
      <c r="H30" s="10"/>
      <c r="I30" s="10"/>
    </row>
    <row r="31" spans="1:13" s="1" customFormat="1" x14ac:dyDescent="0.35">
      <c r="A31" s="10"/>
      <c r="B31" s="10"/>
      <c r="C31" s="10"/>
      <c r="D31" s="10"/>
      <c r="E31" s="10"/>
      <c r="F31" s="10"/>
      <c r="G31" s="10"/>
      <c r="H31" s="10"/>
      <c r="I31" s="10"/>
    </row>
    <row r="32" spans="1:13" s="1" customFormat="1" x14ac:dyDescent="0.35">
      <c r="A32" s="17" t="s">
        <v>6</v>
      </c>
      <c r="B32" s="14"/>
      <c r="C32" s="14"/>
      <c r="D32" s="14"/>
      <c r="E32" s="10"/>
      <c r="F32" s="10"/>
      <c r="G32" s="10"/>
      <c r="H32" s="10"/>
      <c r="I32" s="10"/>
    </row>
    <row r="33" spans="1:9" s="1" customFormat="1" x14ac:dyDescent="0.35">
      <c r="A33" s="10"/>
      <c r="B33" s="18" t="s">
        <v>8</v>
      </c>
      <c r="C33" s="18" t="s">
        <v>9</v>
      </c>
      <c r="D33" s="18" t="s">
        <v>10</v>
      </c>
      <c r="E33" s="10"/>
      <c r="F33" s="10"/>
      <c r="G33" s="10"/>
      <c r="H33" s="10"/>
      <c r="I33" s="10"/>
    </row>
    <row r="34" spans="1:9" s="1" customFormat="1" x14ac:dyDescent="0.35">
      <c r="A34" s="10" t="s">
        <v>0</v>
      </c>
      <c r="B34" s="19">
        <f>C23</f>
        <v>0.14470222576448666</v>
      </c>
      <c r="C34" s="19">
        <f>H18*(1-B27)</f>
        <v>3.935347058823529E-3</v>
      </c>
      <c r="D34" s="19">
        <f>B34*C34</f>
        <v>5.694534785674909E-4</v>
      </c>
      <c r="E34" s="10"/>
      <c r="F34" s="10"/>
      <c r="G34" s="10"/>
      <c r="H34" s="10"/>
      <c r="I34" s="10"/>
    </row>
    <row r="35" spans="1:9" s="1" customFormat="1" x14ac:dyDescent="0.35">
      <c r="A35" s="10" t="s">
        <v>2</v>
      </c>
      <c r="B35" s="19">
        <f>C24</f>
        <v>0.85529777423551334</v>
      </c>
      <c r="C35" s="19">
        <f>B29</f>
        <v>0.18750000000000003</v>
      </c>
      <c r="D35" s="20">
        <f>B35*C35</f>
        <v>0.16036833266915879</v>
      </c>
      <c r="E35" s="10"/>
      <c r="F35" s="10"/>
      <c r="G35" s="10"/>
      <c r="H35" s="10"/>
      <c r="I35" s="10"/>
    </row>
    <row r="36" spans="1:9" s="1" customFormat="1" x14ac:dyDescent="0.35">
      <c r="A36" s="10"/>
      <c r="B36" s="21"/>
      <c r="C36" s="43" t="s">
        <v>6</v>
      </c>
      <c r="D36" s="22">
        <f>SUM(D34:D35)</f>
        <v>0.16093778614772627</v>
      </c>
      <c r="E36" s="10"/>
      <c r="F36" s="10"/>
      <c r="G36" s="10"/>
      <c r="H36" s="10"/>
      <c r="I36" s="10"/>
    </row>
    <row r="37" spans="1:9" s="1" customFormat="1" x14ac:dyDescent="0.35">
      <c r="A37" s="23"/>
      <c r="B37" s="10"/>
      <c r="C37" s="10"/>
      <c r="D37" s="10"/>
      <c r="E37" s="10"/>
      <c r="F37" s="10"/>
      <c r="G37" s="10"/>
      <c r="H37" s="10"/>
      <c r="I37" s="10"/>
    </row>
    <row r="38" spans="1:9" s="1" customFormat="1" x14ac:dyDescent="0.35">
      <c r="A38" s="2"/>
      <c r="B38" s="2"/>
      <c r="C38" s="2"/>
      <c r="D38" s="2"/>
      <c r="E38" s="2"/>
      <c r="F38" s="2"/>
      <c r="G38" s="2"/>
      <c r="H38" s="2"/>
      <c r="I38" s="10"/>
    </row>
    <row r="40" spans="1:9" x14ac:dyDescent="0.35">
      <c r="B40" s="3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"/>
  <sheetViews>
    <sheetView zoomScaleNormal="100" workbookViewId="0">
      <selection activeCell="B9" sqref="B9"/>
    </sheetView>
  </sheetViews>
  <sheetFormatPr defaultColWidth="8.81640625" defaultRowHeight="15.5" x14ac:dyDescent="0.35"/>
  <cols>
    <col min="1" max="1" width="36.26953125" style="2" customWidth="1"/>
    <col min="2" max="2" width="17.453125" style="2" bestFit="1" customWidth="1"/>
    <col min="3" max="3" width="12" style="2" customWidth="1"/>
    <col min="4" max="4" width="10.26953125" style="2" customWidth="1"/>
    <col min="5" max="5" width="5.26953125" style="2" customWidth="1"/>
    <col min="6" max="6" width="8" style="2" bestFit="1" customWidth="1"/>
    <col min="7" max="7" width="4.7265625" style="2" customWidth="1"/>
    <col min="8" max="8" width="14.81640625" style="9" bestFit="1" customWidth="1"/>
  </cols>
  <sheetData>
    <row r="1" spans="1:9" x14ac:dyDescent="0.35">
      <c r="A1" s="3" t="s">
        <v>30</v>
      </c>
    </row>
    <row r="3" spans="1:9" x14ac:dyDescent="0.35">
      <c r="A3" s="7" t="s">
        <v>26</v>
      </c>
    </row>
    <row r="5" spans="1:9" x14ac:dyDescent="0.35">
      <c r="A5" s="2" t="s">
        <v>1</v>
      </c>
      <c r="B5" s="5">
        <v>2.8</v>
      </c>
    </row>
    <row r="6" spans="1:9" x14ac:dyDescent="0.35">
      <c r="A6" s="2" t="s">
        <v>11</v>
      </c>
      <c r="B6" s="2">
        <v>1.77</v>
      </c>
    </row>
    <row r="7" spans="1:9" x14ac:dyDescent="0.35">
      <c r="A7" s="2" t="s">
        <v>12</v>
      </c>
      <c r="B7" s="4">
        <v>146800000</v>
      </c>
    </row>
    <row r="8" spans="1:9" x14ac:dyDescent="0.35">
      <c r="A8" s="2" t="s">
        <v>13</v>
      </c>
      <c r="B8" s="6">
        <v>1.2500000000000001E-2</v>
      </c>
    </row>
    <row r="9" spans="1:9" x14ac:dyDescent="0.35">
      <c r="A9" s="10" t="s">
        <v>14</v>
      </c>
      <c r="B9" s="6">
        <v>0.1</v>
      </c>
    </row>
    <row r="10" spans="1:9" x14ac:dyDescent="0.35">
      <c r="A10" s="10"/>
    </row>
    <row r="11" spans="1:9" x14ac:dyDescent="0.35">
      <c r="A11" s="7" t="s">
        <v>27</v>
      </c>
    </row>
    <row r="12" spans="1:9" x14ac:dyDescent="0.35">
      <c r="A12" s="7"/>
    </row>
    <row r="13" spans="1:9" x14ac:dyDescent="0.35">
      <c r="A13" s="8" t="s">
        <v>15</v>
      </c>
      <c r="B13" s="8" t="s">
        <v>17</v>
      </c>
      <c r="C13" s="8"/>
      <c r="D13" s="8" t="s">
        <v>16</v>
      </c>
      <c r="E13" s="8"/>
      <c r="F13" s="8" t="s">
        <v>8</v>
      </c>
      <c r="G13" s="8"/>
      <c r="H13" s="8" t="s">
        <v>18</v>
      </c>
      <c r="I13" s="9"/>
    </row>
    <row r="14" spans="1:9" x14ac:dyDescent="0.35">
      <c r="A14" s="44">
        <v>44180</v>
      </c>
      <c r="B14" s="39">
        <v>510</v>
      </c>
      <c r="C14" s="39"/>
      <c r="D14" s="33">
        <v>0</v>
      </c>
      <c r="E14" s="25"/>
      <c r="F14" s="25">
        <f>B14/$B$20</f>
        <v>8.4915084915084912E-2</v>
      </c>
      <c r="G14" s="25"/>
      <c r="H14" s="26">
        <f t="shared" ref="H14:H18" si="0">D14*F14</f>
        <v>0</v>
      </c>
      <c r="I14" s="9"/>
    </row>
    <row r="15" spans="1:9" x14ac:dyDescent="0.35">
      <c r="A15" s="44">
        <v>44954</v>
      </c>
      <c r="B15" s="39">
        <v>2270</v>
      </c>
      <c r="C15" s="39"/>
      <c r="D15" s="33">
        <v>0</v>
      </c>
      <c r="E15" s="25"/>
      <c r="F15" s="25">
        <f>B15/$B$20</f>
        <v>0.37795537795537798</v>
      </c>
      <c r="G15" s="25"/>
      <c r="H15" s="26">
        <f t="shared" si="0"/>
        <v>0</v>
      </c>
      <c r="I15" s="9"/>
    </row>
    <row r="16" spans="1:9" x14ac:dyDescent="0.35">
      <c r="A16" s="44">
        <v>44954</v>
      </c>
      <c r="B16" s="39">
        <v>2226</v>
      </c>
      <c r="C16" s="39"/>
      <c r="D16" s="33">
        <v>0</v>
      </c>
      <c r="E16" s="25"/>
      <c r="F16" s="25">
        <f>B16/$B$20</f>
        <v>0.37062937062937062</v>
      </c>
      <c r="G16" s="25"/>
      <c r="H16" s="26">
        <f t="shared" si="0"/>
        <v>0</v>
      </c>
      <c r="I16" s="9"/>
    </row>
    <row r="17" spans="1:9" x14ac:dyDescent="0.35">
      <c r="A17" s="44">
        <v>46583</v>
      </c>
      <c r="B17" s="39">
        <v>500</v>
      </c>
      <c r="C17" s="39"/>
      <c r="D17" s="33">
        <v>0.14269999999999999</v>
      </c>
      <c r="E17" s="25"/>
      <c r="F17" s="25">
        <f>B17/$B$20</f>
        <v>8.3250083250083248E-2</v>
      </c>
      <c r="G17" s="25"/>
      <c r="H17" s="26">
        <f t="shared" si="0"/>
        <v>1.1879786879786879E-2</v>
      </c>
      <c r="I17" s="9"/>
    </row>
    <row r="18" spans="1:9" x14ac:dyDescent="0.35">
      <c r="A18" s="44">
        <v>46583</v>
      </c>
      <c r="B18" s="39">
        <v>500</v>
      </c>
      <c r="C18" s="39"/>
      <c r="D18" s="33">
        <v>0.14269999999999999</v>
      </c>
      <c r="E18" s="25"/>
      <c r="F18" s="25">
        <f>B18/$B$20</f>
        <v>8.3250083250083248E-2</v>
      </c>
      <c r="G18" s="25"/>
      <c r="H18" s="26">
        <f t="shared" si="0"/>
        <v>1.1879786879786879E-2</v>
      </c>
      <c r="I18" s="9"/>
    </row>
    <row r="19" spans="1:9" x14ac:dyDescent="0.35">
      <c r="H19" s="2"/>
      <c r="I19" s="9"/>
    </row>
    <row r="20" spans="1:9" x14ac:dyDescent="0.35">
      <c r="A20" s="28" t="s">
        <v>20</v>
      </c>
      <c r="B20" s="32">
        <f>SUM(B14:B18)</f>
        <v>6006</v>
      </c>
      <c r="C20" s="32"/>
      <c r="D20" s="28" t="s">
        <v>19</v>
      </c>
      <c r="F20" s="28"/>
      <c r="G20" s="28"/>
      <c r="H20" s="26">
        <f>SUM(H14:H18)</f>
        <v>2.3759573759573757E-2</v>
      </c>
      <c r="I20" s="9"/>
    </row>
    <row r="21" spans="1:9" x14ac:dyDescent="0.35">
      <c r="A21" s="28"/>
      <c r="B21" s="32"/>
      <c r="E21" s="28"/>
      <c r="F21" s="28"/>
      <c r="G21" s="26"/>
      <c r="I21" s="9"/>
    </row>
    <row r="22" spans="1:9" x14ac:dyDescent="0.35">
      <c r="A22" s="24" t="s">
        <v>3</v>
      </c>
      <c r="B22" s="10"/>
      <c r="C22" s="10"/>
      <c r="I22" s="9"/>
    </row>
    <row r="23" spans="1:9" x14ac:dyDescent="0.35">
      <c r="A23" s="11"/>
      <c r="B23" s="10"/>
      <c r="C23" s="12" t="s">
        <v>5</v>
      </c>
      <c r="I23" s="9"/>
    </row>
    <row r="24" spans="1:9" x14ac:dyDescent="0.35">
      <c r="A24" s="10" t="s">
        <v>0</v>
      </c>
      <c r="B24" s="10">
        <f>B20*1000000</f>
        <v>6006000000</v>
      </c>
      <c r="C24" s="25">
        <f>B24/$B$26</f>
        <v>0.93594554498647353</v>
      </c>
      <c r="D24" s="10"/>
      <c r="E24" s="10"/>
      <c r="F24" s="10"/>
      <c r="G24" s="10"/>
      <c r="H24" s="10"/>
      <c r="I24" s="9"/>
    </row>
    <row r="25" spans="1:9" x14ac:dyDescent="0.35">
      <c r="A25" s="10" t="s">
        <v>2</v>
      </c>
      <c r="B25" s="14">
        <f>B5*B7</f>
        <v>411040000</v>
      </c>
      <c r="C25" s="34">
        <f>B25/$B$26</f>
        <v>6.4054455013526482E-2</v>
      </c>
      <c r="D25" s="10"/>
      <c r="E25" s="10"/>
      <c r="F25" s="10"/>
      <c r="G25" s="10"/>
      <c r="H25" s="10"/>
      <c r="I25" s="9"/>
    </row>
    <row r="26" spans="1:9" x14ac:dyDescent="0.35">
      <c r="A26" s="10" t="s">
        <v>4</v>
      </c>
      <c r="B26" s="10">
        <f>SUM(B24:B25)</f>
        <v>6417040000</v>
      </c>
      <c r="C26" s="13">
        <f>B26/$B$26</f>
        <v>1</v>
      </c>
      <c r="D26" s="10"/>
      <c r="E26" s="10"/>
      <c r="F26" s="10"/>
      <c r="G26" s="10"/>
      <c r="H26" s="10"/>
      <c r="I26" s="9"/>
    </row>
    <row r="27" spans="1:9" x14ac:dyDescent="0.35">
      <c r="A27" s="10"/>
      <c r="B27" s="10"/>
      <c r="C27" s="10"/>
      <c r="D27" s="15"/>
      <c r="E27" s="10"/>
      <c r="F27" s="10"/>
      <c r="G27" s="10"/>
      <c r="H27" s="10"/>
      <c r="I27" s="9"/>
    </row>
    <row r="28" spans="1:9" x14ac:dyDescent="0.35">
      <c r="A28" s="11" t="s">
        <v>7</v>
      </c>
      <c r="B28" s="45">
        <v>0.16400000000000001</v>
      </c>
      <c r="C28" s="10"/>
      <c r="D28" s="15"/>
      <c r="E28" s="10"/>
      <c r="F28" s="10"/>
      <c r="G28" s="10"/>
      <c r="H28" s="10"/>
      <c r="I28" s="9"/>
    </row>
    <row r="29" spans="1:9" x14ac:dyDescent="0.35">
      <c r="A29" s="11"/>
      <c r="B29" s="16"/>
      <c r="C29" s="10"/>
      <c r="D29" s="15"/>
      <c r="E29" s="10"/>
      <c r="F29" s="10"/>
      <c r="G29" s="10"/>
      <c r="H29" s="10"/>
      <c r="I29" s="26"/>
    </row>
    <row r="30" spans="1:9" x14ac:dyDescent="0.35">
      <c r="A30" s="23" t="s">
        <v>21</v>
      </c>
      <c r="B30" s="54">
        <f>B8+B6*(B9-B8)</f>
        <v>0.16737500000000002</v>
      </c>
      <c r="C30" s="10"/>
      <c r="D30" s="15"/>
      <c r="E30" s="10"/>
      <c r="F30" s="10"/>
      <c r="G30" s="10"/>
      <c r="H30" s="10"/>
      <c r="I30" s="26"/>
    </row>
    <row r="31" spans="1:9" x14ac:dyDescent="0.35">
      <c r="A31" s="11"/>
      <c r="B31" s="16"/>
      <c r="C31" s="10"/>
      <c r="D31" s="15"/>
      <c r="E31" s="10"/>
      <c r="F31" s="10"/>
      <c r="G31" s="10"/>
      <c r="H31" s="10"/>
      <c r="I31" s="26"/>
    </row>
    <row r="32" spans="1:9" x14ac:dyDescent="0.35">
      <c r="A32" s="10"/>
      <c r="B32" s="10"/>
      <c r="C32" s="10"/>
      <c r="D32" s="10"/>
      <c r="E32" s="10"/>
      <c r="F32" s="10"/>
      <c r="G32" s="10"/>
      <c r="H32" s="10"/>
      <c r="I32" s="27"/>
    </row>
    <row r="33" spans="1:9" x14ac:dyDescent="0.35">
      <c r="A33" s="17" t="s">
        <v>6</v>
      </c>
      <c r="B33" s="14"/>
      <c r="C33" s="14"/>
      <c r="D33" s="14"/>
      <c r="E33" s="10"/>
      <c r="F33" s="10"/>
      <c r="G33" s="10"/>
      <c r="H33" s="10"/>
      <c r="I33" s="9"/>
    </row>
    <row r="34" spans="1:9" x14ac:dyDescent="0.35">
      <c r="A34" s="10"/>
      <c r="B34" s="18" t="s">
        <v>8</v>
      </c>
      <c r="C34" s="18" t="s">
        <v>9</v>
      </c>
      <c r="D34" s="18" t="s">
        <v>10</v>
      </c>
      <c r="E34" s="10"/>
      <c r="F34" s="10"/>
      <c r="G34" s="10"/>
      <c r="H34" s="10"/>
    </row>
    <row r="35" spans="1:9" x14ac:dyDescent="0.35">
      <c r="A35" s="10" t="s">
        <v>0</v>
      </c>
      <c r="B35" s="19">
        <f>C24</f>
        <v>0.93594554498647353</v>
      </c>
      <c r="C35" s="19">
        <f>H20*(1-B28)</f>
        <v>1.986300366300366E-2</v>
      </c>
      <c r="D35" s="19">
        <f t="shared" ref="D35:D36" si="1">B35*C35</f>
        <v>1.859068978843828E-2</v>
      </c>
      <c r="E35" s="10"/>
      <c r="F35" s="10"/>
      <c r="G35" s="10"/>
      <c r="H35" s="10"/>
    </row>
    <row r="36" spans="1:9" x14ac:dyDescent="0.35">
      <c r="A36" s="10" t="s">
        <v>2</v>
      </c>
      <c r="B36" s="19">
        <f>C25</f>
        <v>6.4054455013526482E-2</v>
      </c>
      <c r="C36" s="19">
        <f>B30</f>
        <v>0.16737500000000002</v>
      </c>
      <c r="D36" s="20">
        <f t="shared" si="1"/>
        <v>1.0721114407888997E-2</v>
      </c>
      <c r="E36" s="10"/>
      <c r="F36" s="10"/>
      <c r="G36" s="10"/>
      <c r="H36" s="10"/>
    </row>
    <row r="37" spans="1:9" s="1" customFormat="1" x14ac:dyDescent="0.35">
      <c r="A37" s="10"/>
      <c r="B37" s="21"/>
      <c r="C37" s="43" t="s">
        <v>6</v>
      </c>
      <c r="D37" s="22">
        <f>SUM(D35:D36)</f>
        <v>2.9311804196327278E-2</v>
      </c>
      <c r="E37" s="10"/>
      <c r="F37" s="10"/>
      <c r="G37" s="10"/>
      <c r="H37" s="10"/>
    </row>
    <row r="38" spans="1:9" s="1" customFormat="1" x14ac:dyDescent="0.35">
      <c r="A38" s="23"/>
      <c r="B38" s="10"/>
      <c r="C38" s="10"/>
      <c r="D38" s="10"/>
      <c r="E38" s="10"/>
      <c r="F38" s="10"/>
      <c r="G38" s="10"/>
      <c r="H38" s="10"/>
    </row>
    <row r="39" spans="1:9" s="1" customFormat="1" x14ac:dyDescent="0.35">
      <c r="A39" s="2"/>
      <c r="B39" s="2"/>
      <c r="C39" s="2"/>
      <c r="D39" s="2"/>
      <c r="E39" s="2"/>
      <c r="F39" s="2"/>
      <c r="G39" s="2"/>
      <c r="H39" s="9"/>
    </row>
    <row r="40" spans="1:9" s="1" customFormat="1" x14ac:dyDescent="0.35">
      <c r="A40" s="2"/>
      <c r="B40" s="2"/>
      <c r="C40" s="2"/>
      <c r="D40" s="2"/>
      <c r="E40" s="2"/>
      <c r="F40" s="2"/>
      <c r="G40" s="2"/>
      <c r="H40" s="9"/>
    </row>
    <row r="41" spans="1:9" s="1" customFormat="1" x14ac:dyDescent="0.35">
      <c r="A41" s="2"/>
      <c r="B41" s="2"/>
      <c r="C41" s="2"/>
      <c r="D41" s="2"/>
      <c r="E41" s="2"/>
      <c r="F41" s="2"/>
      <c r="G41" s="2"/>
      <c r="H41" s="9"/>
    </row>
    <row r="42" spans="1:9" s="1" customFormat="1" x14ac:dyDescent="0.35">
      <c r="A42" s="2"/>
      <c r="B42" s="2"/>
      <c r="C42" s="2"/>
      <c r="D42" s="2"/>
      <c r="E42" s="2"/>
      <c r="F42" s="2"/>
      <c r="G42" s="2"/>
      <c r="H42" s="9"/>
    </row>
    <row r="43" spans="1:9" s="1" customFormat="1" x14ac:dyDescent="0.35">
      <c r="A43" s="2"/>
      <c r="B43" s="2"/>
      <c r="C43" s="2"/>
      <c r="D43" s="2"/>
      <c r="E43" s="2"/>
      <c r="F43" s="2"/>
      <c r="G43" s="2"/>
      <c r="H43" s="9"/>
    </row>
    <row r="44" spans="1:9" s="1" customFormat="1" x14ac:dyDescent="0.35">
      <c r="A44" s="2"/>
      <c r="B44" s="2"/>
      <c r="C44" s="2"/>
      <c r="D44" s="2"/>
      <c r="E44" s="2"/>
      <c r="F44" s="2"/>
      <c r="G44" s="2"/>
      <c r="H44" s="9"/>
    </row>
    <row r="45" spans="1:9" s="1" customFormat="1" x14ac:dyDescent="0.35">
      <c r="A45" s="2"/>
      <c r="B45" s="2"/>
      <c r="C45" s="2"/>
      <c r="D45" s="2"/>
      <c r="E45" s="2"/>
      <c r="F45" s="2"/>
      <c r="G45" s="2"/>
      <c r="H45" s="9"/>
    </row>
    <row r="46" spans="1:9" s="1" customFormat="1" x14ac:dyDescent="0.35">
      <c r="A46" s="2"/>
      <c r="B46" s="2"/>
      <c r="C46" s="2"/>
      <c r="D46" s="2"/>
      <c r="E46" s="2"/>
      <c r="F46" s="2"/>
      <c r="G46" s="2"/>
      <c r="H46" s="9"/>
    </row>
    <row r="47" spans="1:9" s="1" customFormat="1" x14ac:dyDescent="0.35">
      <c r="A47" s="2"/>
      <c r="B47" s="2"/>
      <c r="C47" s="2"/>
      <c r="D47" s="2"/>
      <c r="E47" s="2"/>
      <c r="F47" s="2"/>
      <c r="G47" s="2"/>
      <c r="H47" s="9"/>
    </row>
    <row r="48" spans="1:9" s="1" customFormat="1" x14ac:dyDescent="0.35">
      <c r="A48" s="2"/>
      <c r="B48" s="2"/>
      <c r="C48" s="2"/>
      <c r="D48" s="2"/>
      <c r="E48" s="2"/>
      <c r="F48" s="2"/>
      <c r="G48" s="2"/>
      <c r="H48" s="9"/>
    </row>
    <row r="49" spans="1:8" s="1" customFormat="1" x14ac:dyDescent="0.35">
      <c r="A49" s="2"/>
      <c r="B49" s="2"/>
      <c r="C49" s="2"/>
      <c r="D49" s="2"/>
      <c r="E49" s="2"/>
      <c r="F49" s="2"/>
      <c r="G49" s="2"/>
      <c r="H49" s="9"/>
    </row>
    <row r="50" spans="1:8" s="1" customFormat="1" x14ac:dyDescent="0.35">
      <c r="A50" s="2"/>
      <c r="B50" s="2"/>
      <c r="C50" s="2"/>
      <c r="D50" s="2"/>
      <c r="E50" s="2"/>
      <c r="F50" s="2"/>
      <c r="G50" s="2"/>
      <c r="H50" s="9"/>
    </row>
    <row r="51" spans="1:8" s="1" customFormat="1" x14ac:dyDescent="0.35">
      <c r="A51" s="2"/>
      <c r="B51" s="2"/>
      <c r="C51" s="2"/>
      <c r="D51" s="2"/>
      <c r="E51" s="2"/>
      <c r="F51" s="2"/>
      <c r="G51" s="2"/>
      <c r="H51" s="9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5"/>
  <sheetViews>
    <sheetView zoomScaleNormal="100" workbookViewId="0">
      <selection activeCell="B9" sqref="B9"/>
    </sheetView>
  </sheetViews>
  <sheetFormatPr defaultColWidth="8.81640625" defaultRowHeight="15.5" x14ac:dyDescent="0.35"/>
  <cols>
    <col min="1" max="1" width="36.26953125" style="2" customWidth="1"/>
    <col min="2" max="2" width="21" style="2" bestFit="1" customWidth="1"/>
    <col min="3" max="3" width="13.7265625" style="2" bestFit="1" customWidth="1"/>
    <col min="4" max="4" width="10.1796875" style="2" bestFit="1" customWidth="1"/>
    <col min="5" max="5" width="4.453125" style="2" customWidth="1"/>
    <col min="6" max="6" width="8" style="2" bestFit="1" customWidth="1"/>
    <col min="7" max="7" width="4" style="2" customWidth="1"/>
    <col min="8" max="8" width="14.81640625" style="2" bestFit="1" customWidth="1"/>
    <col min="9" max="9" width="14.81640625" style="9" bestFit="1" customWidth="1"/>
    <col min="10" max="10" width="14.1796875" bestFit="1" customWidth="1"/>
  </cols>
  <sheetData>
    <row r="1" spans="1:10" x14ac:dyDescent="0.35">
      <c r="A1" s="3" t="s">
        <v>31</v>
      </c>
    </row>
    <row r="3" spans="1:10" x14ac:dyDescent="0.35">
      <c r="A3" s="7" t="s">
        <v>26</v>
      </c>
    </row>
    <row r="5" spans="1:10" x14ac:dyDescent="0.35">
      <c r="A5" s="2" t="s">
        <v>1</v>
      </c>
      <c r="B5" s="50">
        <v>217.76</v>
      </c>
    </row>
    <row r="6" spans="1:10" x14ac:dyDescent="0.35">
      <c r="A6" s="2" t="s">
        <v>11</v>
      </c>
      <c r="B6" s="2">
        <v>0.98</v>
      </c>
    </row>
    <row r="7" spans="1:10" x14ac:dyDescent="0.35">
      <c r="A7" s="2" t="s">
        <v>12</v>
      </c>
      <c r="B7" s="4">
        <v>1074100000</v>
      </c>
    </row>
    <row r="8" spans="1:10" x14ac:dyDescent="0.35">
      <c r="A8" s="2" t="s">
        <v>13</v>
      </c>
      <c r="B8" s="6">
        <v>1.2500000000000001E-2</v>
      </c>
    </row>
    <row r="9" spans="1:10" x14ac:dyDescent="0.35">
      <c r="A9" s="10" t="s">
        <v>14</v>
      </c>
      <c r="B9" s="6">
        <v>0.1</v>
      </c>
    </row>
    <row r="10" spans="1:10" x14ac:dyDescent="0.35">
      <c r="A10" s="10"/>
    </row>
    <row r="11" spans="1:10" x14ac:dyDescent="0.35">
      <c r="A11" s="7" t="s">
        <v>27</v>
      </c>
    </row>
    <row r="12" spans="1:10" x14ac:dyDescent="0.35">
      <c r="A12" s="7"/>
    </row>
    <row r="13" spans="1:10" x14ac:dyDescent="0.35">
      <c r="A13" s="8" t="s">
        <v>15</v>
      </c>
      <c r="B13" s="8" t="s">
        <v>17</v>
      </c>
      <c r="C13" s="8"/>
      <c r="D13" s="8" t="s">
        <v>16</v>
      </c>
      <c r="E13" s="8"/>
      <c r="F13" s="8" t="s">
        <v>8</v>
      </c>
      <c r="G13" s="8"/>
      <c r="H13" s="8" t="s">
        <v>18</v>
      </c>
      <c r="I13"/>
    </row>
    <row r="14" spans="1:10" x14ac:dyDescent="0.35">
      <c r="A14" s="46">
        <v>43987</v>
      </c>
      <c r="B14" s="30">
        <v>750</v>
      </c>
      <c r="C14" s="31"/>
      <c r="D14" s="47">
        <v>1.8200000000000001E-2</v>
      </c>
      <c r="E14" s="25"/>
      <c r="F14" s="25">
        <f>B14/B$46</f>
        <v>2.1739130434782608E-2</v>
      </c>
      <c r="G14" s="25"/>
      <c r="H14" s="26">
        <f>D14*F14</f>
        <v>3.956521739130435E-4</v>
      </c>
      <c r="I14"/>
      <c r="J14" s="31"/>
    </row>
    <row r="15" spans="1:10" x14ac:dyDescent="0.35">
      <c r="A15" s="46">
        <v>43987</v>
      </c>
      <c r="B15" s="30">
        <v>500</v>
      </c>
      <c r="C15" s="31"/>
      <c r="D15" s="47">
        <v>0</v>
      </c>
      <c r="E15" s="25"/>
      <c r="F15" s="25">
        <f t="shared" ref="F15:F44" si="0">B15/B$46</f>
        <v>1.4492753623188406E-2</v>
      </c>
      <c r="G15" s="25"/>
      <c r="H15" s="26">
        <f t="shared" ref="H15:H44" si="1">D15*F15</f>
        <v>0</v>
      </c>
      <c r="I15"/>
      <c r="J15" s="31"/>
    </row>
    <row r="16" spans="1:10" x14ac:dyDescent="0.35">
      <c r="A16" s="46">
        <v>44089</v>
      </c>
      <c r="B16" s="30">
        <v>500</v>
      </c>
      <c r="C16" s="31"/>
      <c r="D16" s="47">
        <v>3.9660000000000001E-2</v>
      </c>
      <c r="E16" s="25"/>
      <c r="F16" s="25">
        <f t="shared" si="0"/>
        <v>1.4492753623188406E-2</v>
      </c>
      <c r="G16" s="25"/>
      <c r="H16" s="26">
        <f t="shared" si="1"/>
        <v>5.7478260869565218E-4</v>
      </c>
      <c r="I16"/>
      <c r="J16" s="31"/>
    </row>
    <row r="17" spans="1:10" x14ac:dyDescent="0.35">
      <c r="A17" s="46">
        <v>44287</v>
      </c>
      <c r="B17" s="30">
        <v>1000</v>
      </c>
      <c r="C17" s="31"/>
      <c r="D17" s="48">
        <v>4.4220000000000002E-2</v>
      </c>
      <c r="E17" s="25"/>
      <c r="F17" s="25">
        <f t="shared" si="0"/>
        <v>2.8985507246376812E-2</v>
      </c>
      <c r="G17" s="25"/>
      <c r="H17" s="26">
        <f t="shared" si="1"/>
        <v>1.2817391304347826E-3</v>
      </c>
      <c r="I17"/>
      <c r="J17" s="31"/>
    </row>
    <row r="18" spans="1:10" x14ac:dyDescent="0.35">
      <c r="A18" s="46">
        <v>44287</v>
      </c>
      <c r="B18" s="30">
        <v>1350</v>
      </c>
      <c r="C18" s="31"/>
      <c r="D18" s="47">
        <v>2.0729999999999998E-2</v>
      </c>
      <c r="E18" s="25"/>
      <c r="F18" s="25">
        <f t="shared" si="0"/>
        <v>3.9130434782608699E-2</v>
      </c>
      <c r="G18" s="25"/>
      <c r="H18" s="26">
        <f t="shared" si="1"/>
        <v>8.1117391304347827E-4</v>
      </c>
      <c r="I18"/>
      <c r="J18" s="31"/>
    </row>
    <row r="19" spans="1:10" x14ac:dyDescent="0.35">
      <c r="A19" s="46">
        <v>44621</v>
      </c>
      <c r="B19" s="30">
        <v>300</v>
      </c>
      <c r="C19" s="31"/>
      <c r="D19" s="47">
        <v>0</v>
      </c>
      <c r="E19" s="25"/>
      <c r="F19" s="25">
        <f t="shared" si="0"/>
        <v>8.6956521739130436E-3</v>
      </c>
      <c r="G19" s="25"/>
      <c r="H19" s="26">
        <f t="shared" si="1"/>
        <v>0</v>
      </c>
      <c r="I19"/>
    </row>
    <row r="20" spans="1:10" x14ac:dyDescent="0.35">
      <c r="A20" s="46">
        <v>44621</v>
      </c>
      <c r="B20" s="30">
        <v>700</v>
      </c>
      <c r="C20" s="31"/>
      <c r="D20" s="47">
        <v>3.3390000000000003E-2</v>
      </c>
      <c r="E20" s="25"/>
      <c r="F20" s="25">
        <f t="shared" si="0"/>
        <v>2.0289855072463767E-2</v>
      </c>
      <c r="G20" s="25"/>
      <c r="H20" s="26">
        <f t="shared" si="1"/>
        <v>6.7747826086956523E-4</v>
      </c>
      <c r="I20"/>
    </row>
    <row r="21" spans="1:10" x14ac:dyDescent="0.35">
      <c r="A21" s="46">
        <v>44713</v>
      </c>
      <c r="B21" s="30">
        <v>1250</v>
      </c>
      <c r="C21" s="31"/>
      <c r="D21" s="47">
        <v>2.683E-2</v>
      </c>
      <c r="E21" s="25"/>
      <c r="F21" s="25">
        <f t="shared" si="0"/>
        <v>3.6231884057971016E-2</v>
      </c>
      <c r="G21" s="25"/>
      <c r="H21" s="26">
        <f t="shared" si="1"/>
        <v>9.7210144927536231E-4</v>
      </c>
    </row>
    <row r="22" spans="1:10" x14ac:dyDescent="0.35">
      <c r="A22" s="46">
        <v>45017</v>
      </c>
      <c r="B22" s="30">
        <v>1000</v>
      </c>
      <c r="C22" s="31"/>
      <c r="D22" s="47">
        <v>2.7179999999999999E-2</v>
      </c>
      <c r="E22" s="25"/>
      <c r="F22" s="25">
        <f t="shared" si="0"/>
        <v>2.8985507246376812E-2</v>
      </c>
      <c r="G22" s="25"/>
      <c r="H22" s="26">
        <f t="shared" si="1"/>
        <v>7.8782608695652178E-4</v>
      </c>
    </row>
    <row r="23" spans="1:10" s="1" customFormat="1" x14ac:dyDescent="0.35">
      <c r="A23" s="46">
        <v>45337</v>
      </c>
      <c r="B23" s="30">
        <v>1100</v>
      </c>
      <c r="C23" s="31"/>
      <c r="D23" s="47">
        <v>3.8109999999999998E-2</v>
      </c>
      <c r="E23" s="25"/>
      <c r="F23" s="25">
        <f t="shared" si="0"/>
        <v>3.1884057971014491E-2</v>
      </c>
      <c r="G23" s="25"/>
      <c r="H23" s="26">
        <f t="shared" si="1"/>
        <v>1.2151014492753623E-3</v>
      </c>
      <c r="I23" s="10"/>
    </row>
    <row r="24" spans="1:10" s="1" customFormat="1" x14ac:dyDescent="0.35">
      <c r="A24" s="46">
        <v>45915</v>
      </c>
      <c r="B24" s="30">
        <v>1000</v>
      </c>
      <c r="C24" s="31"/>
      <c r="D24" s="47">
        <v>3.3669999999999999E-2</v>
      </c>
      <c r="E24" s="25"/>
      <c r="F24" s="25">
        <f t="shared" si="0"/>
        <v>2.8985507246376812E-2</v>
      </c>
      <c r="G24" s="25"/>
      <c r="H24" s="26">
        <f t="shared" si="1"/>
        <v>9.7594202898550718E-4</v>
      </c>
      <c r="I24" s="10"/>
    </row>
    <row r="25" spans="1:10" s="1" customFormat="1" x14ac:dyDescent="0.35">
      <c r="A25" s="46">
        <v>46113</v>
      </c>
      <c r="B25" s="30">
        <v>1300</v>
      </c>
      <c r="C25" s="31"/>
      <c r="D25" s="47">
        <v>3.075E-2</v>
      </c>
      <c r="E25" s="25"/>
      <c r="F25" s="25">
        <f t="shared" si="0"/>
        <v>3.7681159420289857E-2</v>
      </c>
      <c r="G25" s="25"/>
      <c r="H25" s="26">
        <f t="shared" si="1"/>
        <v>1.1586956521739131E-3</v>
      </c>
      <c r="I25" s="10"/>
    </row>
    <row r="26" spans="1:10" s="1" customFormat="1" x14ac:dyDescent="0.35">
      <c r="A26" s="46">
        <v>46280</v>
      </c>
      <c r="B26" s="30">
        <v>1000</v>
      </c>
      <c r="C26" s="31"/>
      <c r="D26" s="47">
        <v>2.248E-2</v>
      </c>
      <c r="E26" s="25"/>
      <c r="F26" s="25">
        <f t="shared" si="0"/>
        <v>2.8985507246376812E-2</v>
      </c>
      <c r="G26" s="25"/>
      <c r="H26" s="26">
        <f t="shared" si="1"/>
        <v>6.5159420289855074E-4</v>
      </c>
      <c r="I26" s="10"/>
    </row>
    <row r="27" spans="1:10" s="1" customFormat="1" x14ac:dyDescent="0.35">
      <c r="A27" s="46">
        <v>46492</v>
      </c>
      <c r="B27" s="30">
        <v>750</v>
      </c>
      <c r="C27" s="31"/>
      <c r="D27" s="47">
        <v>2.5760000000000002E-2</v>
      </c>
      <c r="E27" s="25"/>
      <c r="F27" s="25">
        <f t="shared" si="0"/>
        <v>2.1739130434782608E-2</v>
      </c>
      <c r="G27" s="25"/>
      <c r="H27" s="26">
        <f t="shared" si="1"/>
        <v>5.6000000000000006E-4</v>
      </c>
      <c r="I27" s="10"/>
    </row>
    <row r="28" spans="1:10" s="1" customFormat="1" x14ac:dyDescent="0.35">
      <c r="A28" s="46">
        <v>46644</v>
      </c>
      <c r="B28" s="30">
        <v>1000</v>
      </c>
      <c r="C28" s="31"/>
      <c r="D28" s="47">
        <v>2.8299999999999999E-2</v>
      </c>
      <c r="E28" s="25"/>
      <c r="F28" s="25">
        <f t="shared" si="0"/>
        <v>2.8985507246376812E-2</v>
      </c>
      <c r="G28" s="25"/>
      <c r="H28" s="26">
        <f t="shared" si="1"/>
        <v>8.2028985507246377E-4</v>
      </c>
      <c r="I28" s="10"/>
    </row>
    <row r="29" spans="1:10" s="1" customFormat="1" x14ac:dyDescent="0.35">
      <c r="A29" s="46">
        <v>47093</v>
      </c>
      <c r="B29" s="30">
        <v>1000</v>
      </c>
      <c r="C29" s="31"/>
      <c r="D29" s="47">
        <v>3.984E-2</v>
      </c>
      <c r="E29" s="25"/>
      <c r="F29" s="25">
        <f t="shared" si="0"/>
        <v>2.8985507246376812E-2</v>
      </c>
      <c r="G29" s="25"/>
      <c r="H29" s="26">
        <f t="shared" si="1"/>
        <v>1.1547826086956523E-3</v>
      </c>
      <c r="I29" s="10"/>
    </row>
    <row r="30" spans="1:10" s="1" customFormat="1" x14ac:dyDescent="0.35">
      <c r="A30" s="46">
        <v>47284</v>
      </c>
      <c r="B30" s="30">
        <v>1750</v>
      </c>
      <c r="C30" s="31"/>
      <c r="D30" s="47">
        <v>3.0169999999999999E-2</v>
      </c>
      <c r="E30" s="25"/>
      <c r="F30" s="25">
        <f t="shared" si="0"/>
        <v>5.0724637681159424E-2</v>
      </c>
      <c r="G30" s="25"/>
      <c r="H30" s="26">
        <f t="shared" si="1"/>
        <v>1.5303623188405798E-3</v>
      </c>
      <c r="I30" s="10"/>
    </row>
    <row r="31" spans="1:10" s="1" customFormat="1" x14ac:dyDescent="0.35">
      <c r="A31" s="46">
        <v>47588</v>
      </c>
      <c r="B31" s="30">
        <v>1500</v>
      </c>
      <c r="C31" s="31"/>
      <c r="D31" s="47">
        <v>2.7640000000000001E-2</v>
      </c>
      <c r="E31" s="25"/>
      <c r="F31" s="25">
        <f t="shared" si="0"/>
        <v>4.3478260869565216E-2</v>
      </c>
      <c r="G31" s="25"/>
      <c r="H31" s="26">
        <f t="shared" si="1"/>
        <v>1.2017391304347826E-3</v>
      </c>
      <c r="I31" s="10"/>
    </row>
    <row r="32" spans="1:10" s="1" customFormat="1" x14ac:dyDescent="0.35">
      <c r="A32" s="46">
        <v>50025</v>
      </c>
      <c r="B32" s="30">
        <v>3000</v>
      </c>
      <c r="C32" s="31"/>
      <c r="D32" s="47">
        <v>5.9760000000000001E-2</v>
      </c>
      <c r="E32" s="25"/>
      <c r="F32" s="25">
        <f t="shared" si="0"/>
        <v>8.6956521739130432E-2</v>
      </c>
      <c r="G32" s="25"/>
      <c r="H32" s="26">
        <f t="shared" si="1"/>
        <v>5.1965217391304348E-3</v>
      </c>
      <c r="I32" s="10"/>
    </row>
    <row r="33" spans="1:9" s="1" customFormat="1" x14ac:dyDescent="0.35">
      <c r="A33" s="46">
        <v>51241</v>
      </c>
      <c r="B33" s="30">
        <v>1250</v>
      </c>
      <c r="C33" s="31"/>
      <c r="D33" s="47">
        <v>3.3610000000000001E-2</v>
      </c>
      <c r="E33" s="25"/>
      <c r="F33" s="25">
        <f t="shared" si="0"/>
        <v>3.6231884057971016E-2</v>
      </c>
      <c r="G33" s="25"/>
      <c r="H33" s="26">
        <f t="shared" si="1"/>
        <v>1.2177536231884058E-3</v>
      </c>
      <c r="I33" s="10"/>
    </row>
    <row r="34" spans="1:9" s="1" customFormat="1" x14ac:dyDescent="0.35">
      <c r="A34" s="46">
        <v>51394</v>
      </c>
      <c r="B34" s="30">
        <v>500</v>
      </c>
      <c r="C34" s="31"/>
      <c r="D34" s="47">
        <v>5.4199999999999998E-2</v>
      </c>
      <c r="E34" s="25"/>
      <c r="F34" s="25">
        <f t="shared" si="0"/>
        <v>1.4492753623188406E-2</v>
      </c>
      <c r="G34" s="25"/>
      <c r="H34" s="26">
        <f t="shared" si="1"/>
        <v>7.855072463768116E-4</v>
      </c>
      <c r="I34" s="10"/>
    </row>
    <row r="35" spans="1:9" s="1" customFormat="1" x14ac:dyDescent="0.35">
      <c r="A35" s="46">
        <v>51592</v>
      </c>
      <c r="B35" s="30">
        <v>1000</v>
      </c>
      <c r="C35" s="31"/>
      <c r="D35" s="47">
        <v>5.9839999999999997E-2</v>
      </c>
      <c r="E35" s="25"/>
      <c r="F35" s="25">
        <f t="shared" si="0"/>
        <v>2.8985507246376812E-2</v>
      </c>
      <c r="G35" s="25"/>
      <c r="H35" s="26">
        <f t="shared" si="1"/>
        <v>1.7344927536231884E-3</v>
      </c>
      <c r="I35" s="10"/>
    </row>
    <row r="36" spans="1:9" s="1" customFormat="1" x14ac:dyDescent="0.35">
      <c r="A36" s="46">
        <v>52322</v>
      </c>
      <c r="B36" s="30">
        <v>1000</v>
      </c>
      <c r="C36" s="31"/>
      <c r="D36" s="47">
        <v>4.2250000000000003E-2</v>
      </c>
      <c r="E36" s="25"/>
      <c r="F36" s="25">
        <f t="shared" si="0"/>
        <v>2.8985507246376812E-2</v>
      </c>
      <c r="G36" s="25"/>
      <c r="H36" s="26">
        <f t="shared" si="1"/>
        <v>1.2246376811594203E-3</v>
      </c>
      <c r="I36" s="10"/>
    </row>
    <row r="37" spans="1:9" s="1" customFormat="1" x14ac:dyDescent="0.35">
      <c r="A37" s="46">
        <v>52642</v>
      </c>
      <c r="B37" s="30">
        <v>1000</v>
      </c>
      <c r="C37" s="31"/>
      <c r="D37" s="47">
        <v>9.7500000000000003E-2</v>
      </c>
      <c r="E37" s="25"/>
      <c r="F37" s="25">
        <f t="shared" si="0"/>
        <v>2.8985507246376812E-2</v>
      </c>
      <c r="G37" s="25"/>
      <c r="H37" s="26">
        <f t="shared" si="1"/>
        <v>2.8260869565217392E-3</v>
      </c>
      <c r="I37" s="10"/>
    </row>
    <row r="38" spans="1:9" s="1" customFormat="1" x14ac:dyDescent="0.35">
      <c r="A38" s="46">
        <v>53036</v>
      </c>
      <c r="B38" s="30">
        <v>1000</v>
      </c>
      <c r="C38" s="31"/>
      <c r="D38" s="47">
        <v>4.4940000000000001E-2</v>
      </c>
      <c r="E38" s="25"/>
      <c r="F38" s="25">
        <f t="shared" si="0"/>
        <v>2.8985507246376812E-2</v>
      </c>
      <c r="G38" s="25"/>
      <c r="H38" s="26">
        <f t="shared" si="1"/>
        <v>1.3026086956521739E-3</v>
      </c>
      <c r="I38" s="10"/>
    </row>
    <row r="39" spans="1:9" s="1" customFormat="1" x14ac:dyDescent="0.35">
      <c r="A39" s="46">
        <v>53418</v>
      </c>
      <c r="B39" s="30">
        <v>1600</v>
      </c>
      <c r="C39" s="31"/>
      <c r="D39" s="47">
        <v>4.2639999999999997E-2</v>
      </c>
      <c r="E39" s="25"/>
      <c r="F39" s="25">
        <f t="shared" si="0"/>
        <v>4.6376811594202899E-2</v>
      </c>
      <c r="G39" s="25"/>
      <c r="H39" s="26">
        <f t="shared" si="1"/>
        <v>1.9775072463768116E-3</v>
      </c>
      <c r="I39" s="10"/>
    </row>
    <row r="40" spans="1:9" x14ac:dyDescent="0.35">
      <c r="A40" s="46">
        <v>53858</v>
      </c>
      <c r="B40" s="30">
        <v>1150</v>
      </c>
      <c r="C40" s="31"/>
      <c r="D40" s="47">
        <v>3.9390000000000001E-2</v>
      </c>
      <c r="E40" s="25"/>
      <c r="F40" s="25">
        <f t="shared" si="0"/>
        <v>3.3333333333333333E-2</v>
      </c>
      <c r="G40" s="25"/>
      <c r="H40" s="26">
        <f t="shared" si="1"/>
        <v>1.3129999999999999E-3</v>
      </c>
    </row>
    <row r="41" spans="1:9" x14ac:dyDescent="0.35">
      <c r="A41" s="46">
        <v>54398</v>
      </c>
      <c r="B41" s="30">
        <v>1500</v>
      </c>
      <c r="C41" s="31"/>
      <c r="D41" s="47">
        <v>4.6050000000000001E-2</v>
      </c>
      <c r="E41" s="25"/>
      <c r="F41" s="25">
        <f t="shared" si="0"/>
        <v>4.3478260869565216E-2</v>
      </c>
      <c r="G41" s="25"/>
      <c r="H41" s="26">
        <f t="shared" si="1"/>
        <v>2.0021739130434784E-3</v>
      </c>
    </row>
    <row r="42" spans="1:9" x14ac:dyDescent="0.35">
      <c r="A42" s="46">
        <v>54772</v>
      </c>
      <c r="B42" s="30">
        <v>1250</v>
      </c>
      <c r="C42" s="31"/>
      <c r="D42" s="47">
        <v>3.1919999999999997E-2</v>
      </c>
      <c r="E42" s="25"/>
      <c r="F42" s="25">
        <f t="shared" si="0"/>
        <v>3.6231884057971016E-2</v>
      </c>
      <c r="G42" s="25"/>
      <c r="H42" s="26">
        <f t="shared" si="1"/>
        <v>1.1565217391304348E-3</v>
      </c>
    </row>
    <row r="43" spans="1:9" x14ac:dyDescent="0.35">
      <c r="A43" s="46">
        <v>54893</v>
      </c>
      <c r="B43" s="30">
        <v>1500</v>
      </c>
      <c r="C43" s="31"/>
      <c r="D43" s="47">
        <v>3.4110000000000001E-2</v>
      </c>
      <c r="E43" s="25"/>
      <c r="F43" s="25">
        <f t="shared" si="0"/>
        <v>4.3478260869565216E-2</v>
      </c>
      <c r="G43" s="25"/>
      <c r="H43" s="26">
        <f t="shared" si="1"/>
        <v>1.4830434782608696E-3</v>
      </c>
    </row>
    <row r="44" spans="1:9" x14ac:dyDescent="0.35">
      <c r="A44" s="46">
        <v>57238</v>
      </c>
      <c r="B44" s="30">
        <v>1000</v>
      </c>
      <c r="C44" s="31"/>
      <c r="D44" s="47">
        <v>3.5900000000000001E-2</v>
      </c>
      <c r="E44" s="25"/>
      <c r="F44" s="25">
        <f t="shared" si="0"/>
        <v>2.8985507246376812E-2</v>
      </c>
      <c r="G44" s="25"/>
      <c r="H44" s="26">
        <f t="shared" si="1"/>
        <v>1.0405797101449275E-3</v>
      </c>
    </row>
    <row r="45" spans="1:9" x14ac:dyDescent="0.35">
      <c r="A45" s="29"/>
      <c r="B45" s="30"/>
      <c r="C45" s="31"/>
      <c r="D45" s="33"/>
      <c r="E45" s="25"/>
      <c r="F45" s="25"/>
      <c r="G45" s="25"/>
      <c r="H45" s="26"/>
    </row>
    <row r="46" spans="1:9" x14ac:dyDescent="0.35">
      <c r="A46" s="28" t="s">
        <v>20</v>
      </c>
      <c r="B46" s="32">
        <f>SUM(B14:B44)</f>
        <v>34500</v>
      </c>
      <c r="D46" s="28" t="s">
        <v>19</v>
      </c>
      <c r="E46" s="28"/>
      <c r="F46" s="28"/>
      <c r="G46" s="28"/>
      <c r="H46" s="26">
        <f>SUM(H14:H44)</f>
        <v>3.8029695652173921E-2</v>
      </c>
    </row>
    <row r="49" spans="1:8" x14ac:dyDescent="0.35">
      <c r="A49" s="24" t="s">
        <v>3</v>
      </c>
      <c r="B49" s="10"/>
      <c r="C49" s="10"/>
      <c r="D49" s="10"/>
      <c r="E49" s="10"/>
      <c r="F49" s="10"/>
      <c r="G49" s="10"/>
      <c r="H49" s="10"/>
    </row>
    <row r="50" spans="1:8" x14ac:dyDescent="0.35">
      <c r="A50" s="11"/>
      <c r="B50" s="10"/>
      <c r="C50" s="12" t="s">
        <v>5</v>
      </c>
      <c r="D50" s="10"/>
      <c r="E50" s="10"/>
      <c r="F50" s="10"/>
      <c r="G50" s="10"/>
      <c r="H50" s="10"/>
    </row>
    <row r="51" spans="1:8" x14ac:dyDescent="0.35">
      <c r="A51" s="10" t="s">
        <v>0</v>
      </c>
      <c r="B51" s="10">
        <f>B46*1000000</f>
        <v>34500000000</v>
      </c>
      <c r="C51" s="25">
        <f>B51/$B$53</f>
        <v>0.12854140130008487</v>
      </c>
      <c r="D51" s="10"/>
      <c r="E51" s="10"/>
      <c r="F51" s="10"/>
      <c r="G51" s="10"/>
      <c r="H51" s="10"/>
    </row>
    <row r="52" spans="1:8" x14ac:dyDescent="0.35">
      <c r="A52" s="10" t="s">
        <v>2</v>
      </c>
      <c r="B52" s="49">
        <f>B5*B7</f>
        <v>233896016000</v>
      </c>
      <c r="C52" s="34">
        <f>B52/$B$53</f>
        <v>0.87145859869991515</v>
      </c>
      <c r="D52" s="10"/>
      <c r="E52" s="10"/>
      <c r="F52" s="10"/>
      <c r="G52" s="10"/>
      <c r="H52" s="10"/>
    </row>
    <row r="53" spans="1:8" x14ac:dyDescent="0.35">
      <c r="A53" s="10" t="s">
        <v>4</v>
      </c>
      <c r="B53" s="10">
        <f>SUM(B51:B52)</f>
        <v>268396016000</v>
      </c>
      <c r="C53" s="13">
        <f>B53/$B$53</f>
        <v>1</v>
      </c>
      <c r="D53" s="10"/>
      <c r="E53" s="10"/>
      <c r="F53" s="10"/>
      <c r="G53" s="10"/>
      <c r="H53" s="10"/>
    </row>
    <row r="54" spans="1:8" x14ac:dyDescent="0.35">
      <c r="A54" s="10"/>
      <c r="B54" s="10"/>
      <c r="C54" s="10"/>
      <c r="D54" s="15"/>
      <c r="E54" s="10"/>
      <c r="F54" s="10"/>
      <c r="G54" s="10"/>
      <c r="H54" s="10"/>
    </row>
    <row r="55" spans="1:8" x14ac:dyDescent="0.35">
      <c r="A55" s="11" t="s">
        <v>7</v>
      </c>
      <c r="B55" s="45">
        <v>0.16400000000000001</v>
      </c>
      <c r="C55" s="10"/>
      <c r="D55" s="15"/>
      <c r="E55" s="10"/>
      <c r="F55" s="10"/>
      <c r="G55" s="10"/>
      <c r="H55" s="10"/>
    </row>
    <row r="56" spans="1:8" x14ac:dyDescent="0.35">
      <c r="A56" s="11"/>
      <c r="B56" s="16"/>
      <c r="C56" s="10"/>
      <c r="D56" s="15"/>
      <c r="E56" s="10"/>
      <c r="F56" s="10"/>
      <c r="G56" s="10"/>
      <c r="H56" s="10"/>
    </row>
    <row r="57" spans="1:8" x14ac:dyDescent="0.35">
      <c r="A57" s="23" t="s">
        <v>21</v>
      </c>
      <c r="B57" s="25">
        <f>B8+B6*(B9-B8)</f>
        <v>9.8250000000000004E-2</v>
      </c>
      <c r="C57" s="10"/>
      <c r="D57" s="15"/>
      <c r="E57" s="10"/>
      <c r="F57" s="10"/>
      <c r="G57" s="10"/>
      <c r="H57" s="10"/>
    </row>
    <row r="58" spans="1:8" x14ac:dyDescent="0.35">
      <c r="A58" s="11"/>
      <c r="B58" s="16"/>
      <c r="C58" s="10"/>
      <c r="D58" s="15"/>
      <c r="E58" s="10"/>
      <c r="F58" s="10"/>
      <c r="G58" s="10"/>
      <c r="H58" s="10"/>
    </row>
    <row r="59" spans="1:8" x14ac:dyDescent="0.35">
      <c r="A59" s="10"/>
      <c r="B59" s="10"/>
      <c r="C59" s="10"/>
      <c r="D59" s="10"/>
      <c r="E59" s="10"/>
      <c r="F59" s="10"/>
      <c r="G59" s="10"/>
      <c r="H59" s="10"/>
    </row>
    <row r="60" spans="1:8" x14ac:dyDescent="0.35">
      <c r="A60" s="17" t="s">
        <v>6</v>
      </c>
      <c r="B60" s="14"/>
      <c r="C60" s="14"/>
      <c r="D60" s="14"/>
      <c r="E60" s="10"/>
      <c r="F60" s="10"/>
      <c r="G60" s="10"/>
      <c r="H60" s="10"/>
    </row>
    <row r="61" spans="1:8" x14ac:dyDescent="0.35">
      <c r="A61" s="10"/>
      <c r="B61" s="18" t="s">
        <v>8</v>
      </c>
      <c r="C61" s="18" t="s">
        <v>9</v>
      </c>
      <c r="D61" s="18" t="s">
        <v>10</v>
      </c>
      <c r="E61" s="10"/>
      <c r="F61" s="10"/>
      <c r="G61" s="10"/>
      <c r="H61" s="10"/>
    </row>
    <row r="62" spans="1:8" x14ac:dyDescent="0.35">
      <c r="A62" s="10" t="s">
        <v>0</v>
      </c>
      <c r="B62" s="19">
        <f>C51</f>
        <v>0.12854140130008487</v>
      </c>
      <c r="C62" s="19">
        <f>H46*(1-B55)</f>
        <v>3.1792825565217397E-2</v>
      </c>
      <c r="D62" s="19">
        <f t="shared" ref="D62:D63" si="2">B62*C62</f>
        <v>4.086694349442207E-3</v>
      </c>
      <c r="E62" s="10"/>
      <c r="F62" s="10"/>
      <c r="G62" s="10"/>
      <c r="H62" s="10"/>
    </row>
    <row r="63" spans="1:8" x14ac:dyDescent="0.35">
      <c r="A63" s="10" t="s">
        <v>2</v>
      </c>
      <c r="B63" s="19">
        <f>C52</f>
        <v>0.87145859869991515</v>
      </c>
      <c r="C63" s="19">
        <f>B8+B6*(B9-B8)</f>
        <v>9.8250000000000004E-2</v>
      </c>
      <c r="D63" s="20">
        <f t="shared" si="2"/>
        <v>8.5620807322266665E-2</v>
      </c>
      <c r="E63" s="10"/>
      <c r="F63" s="10"/>
      <c r="G63" s="10"/>
      <c r="H63" s="10"/>
    </row>
    <row r="64" spans="1:8" x14ac:dyDescent="0.35">
      <c r="A64" s="10"/>
      <c r="B64" s="21"/>
      <c r="C64" s="43" t="s">
        <v>6</v>
      </c>
      <c r="D64" s="22">
        <f>SUM(D62:D63)</f>
        <v>8.9707501671708878E-2</v>
      </c>
      <c r="E64" s="10"/>
      <c r="F64" s="10"/>
      <c r="G64" s="10"/>
      <c r="H64" s="10"/>
    </row>
    <row r="65" spans="1:8" x14ac:dyDescent="0.35">
      <c r="A65" s="23"/>
      <c r="B65" s="10"/>
      <c r="C65" s="10"/>
      <c r="D65" s="10"/>
      <c r="E65" s="10"/>
      <c r="F65" s="10"/>
      <c r="G65" s="10"/>
      <c r="H65" s="10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20"/>
  <sheetViews>
    <sheetView zoomScaleNormal="100" workbookViewId="0">
      <selection activeCell="F7" sqref="F7"/>
    </sheetView>
  </sheetViews>
  <sheetFormatPr defaultColWidth="9.1796875" defaultRowHeight="15.5" x14ac:dyDescent="0.35"/>
  <cols>
    <col min="1" max="1" width="4.1796875" style="2" customWidth="1"/>
    <col min="2" max="2" width="26.26953125" style="2" customWidth="1"/>
    <col min="3" max="3" width="35.453125" style="2" customWidth="1"/>
    <col min="4" max="4" width="23.1796875" style="2" customWidth="1"/>
    <col min="5" max="5" width="8.26953125" style="2" customWidth="1"/>
    <col min="6" max="6" width="12" style="2" bestFit="1" customWidth="1"/>
    <col min="7" max="7" width="14.1796875" style="2" bestFit="1" customWidth="1"/>
    <col min="8" max="8" width="15.81640625" style="2" bestFit="1" customWidth="1"/>
    <col min="9" max="16384" width="9.1796875" style="2"/>
  </cols>
  <sheetData>
    <row r="2" spans="2:8" x14ac:dyDescent="0.35">
      <c r="B2" s="36"/>
      <c r="C2" s="36" t="s">
        <v>25</v>
      </c>
      <c r="D2" s="36"/>
      <c r="E2" s="36" t="s">
        <v>11</v>
      </c>
      <c r="F2" s="36" t="s">
        <v>22</v>
      </c>
      <c r="G2" s="36" t="s">
        <v>23</v>
      </c>
      <c r="H2" s="36" t="s">
        <v>24</v>
      </c>
    </row>
    <row r="3" spans="2:8" x14ac:dyDescent="0.35">
      <c r="B3" s="2" t="s">
        <v>29</v>
      </c>
      <c r="C3" s="35">
        <f>'Wayfair Inc.'!B5*'Wayfair Inc.'!B7</f>
        <v>11555504000</v>
      </c>
      <c r="D3" s="35"/>
      <c r="E3" s="2">
        <f>'Wayfair Inc.'!B6</f>
        <v>2</v>
      </c>
      <c r="F3" s="6">
        <f>'Wayfair Inc.'!H18</f>
        <v>4.7073529411764707E-3</v>
      </c>
      <c r="G3" s="6">
        <f>'Wayfair Inc.'!B34</f>
        <v>0.14470222576448666</v>
      </c>
      <c r="H3" s="6">
        <f>'Wayfair Inc.'!B35</f>
        <v>0.85529777423551334</v>
      </c>
    </row>
    <row r="4" spans="2:8" x14ac:dyDescent="0.35">
      <c r="B4" s="2" t="s">
        <v>38</v>
      </c>
      <c r="C4" s="35">
        <f>'The Michaels Company, Inc.'!B5*'The Michaels Company, Inc.'!B7</f>
        <v>411040000</v>
      </c>
      <c r="D4" s="35"/>
      <c r="E4" s="2">
        <f>'The Michaels Company, Inc.'!B6</f>
        <v>1.77</v>
      </c>
      <c r="F4" s="6">
        <f>'The Michaels Company, Inc.'!H20</f>
        <v>2.3759573759573757E-2</v>
      </c>
      <c r="G4" s="6">
        <f>'The Michaels Company, Inc.'!B35</f>
        <v>0.93594554498647353</v>
      </c>
      <c r="H4" s="6">
        <f>'The Michaels Company, Inc.'!B36</f>
        <v>6.4054455013526482E-2</v>
      </c>
    </row>
    <row r="5" spans="2:8" x14ac:dyDescent="0.35">
      <c r="B5" s="2" t="s">
        <v>31</v>
      </c>
      <c r="C5" s="35">
        <f>'The Home Depot, Inc.'!B5*'The Home Depot, Inc.'!B7</f>
        <v>233896016000</v>
      </c>
      <c r="D5" s="35"/>
      <c r="E5" s="2">
        <f>'The Home Depot, Inc.'!B6</f>
        <v>0.98</v>
      </c>
      <c r="F5" s="6">
        <f>'The Home Depot, Inc.'!H46</f>
        <v>3.8029695652173921E-2</v>
      </c>
      <c r="G5" s="6">
        <f>'The Home Depot, Inc.'!B62</f>
        <v>0.12854140130008487</v>
      </c>
      <c r="H5" s="6">
        <f>'The Home Depot, Inc.'!B63</f>
        <v>0.87145859869991515</v>
      </c>
    </row>
    <row r="7" spans="2:8" x14ac:dyDescent="0.35">
      <c r="D7" s="2" t="s">
        <v>28</v>
      </c>
      <c r="E7" s="37">
        <f>($C$3/SUM($C$3:$C$5))*E3+($C$4/SUM($C$3:$C$5))*E4+($C$5/SUM($C$3:$C$5))*E5</f>
        <v>1.0292605937235828</v>
      </c>
      <c r="F7" s="25">
        <f t="shared" ref="F7:H7" si="0">($C$3/SUM($C$3:$C$5))*F3+($C$4/SUM($C$3:$C$5))*F4+($C$5/SUM($C$3:$C$5))*F5</f>
        <v>3.6439693272840371E-2</v>
      </c>
      <c r="G7" s="25">
        <f t="shared" si="0"/>
        <v>0.13065079880640931</v>
      </c>
      <c r="H7" s="25">
        <f t="shared" si="0"/>
        <v>0.86934920119359071</v>
      </c>
    </row>
    <row r="10" spans="2:8" x14ac:dyDescent="0.35">
      <c r="C10" s="2" t="s">
        <v>13</v>
      </c>
      <c r="D10" s="6">
        <v>1.2500000000000001E-2</v>
      </c>
    </row>
    <row r="11" spans="2:8" x14ac:dyDescent="0.35">
      <c r="C11" s="10" t="s">
        <v>14</v>
      </c>
      <c r="D11" s="6">
        <v>0.1</v>
      </c>
    </row>
    <row r="12" spans="2:8" x14ac:dyDescent="0.35">
      <c r="C12" s="2" t="s">
        <v>7</v>
      </c>
      <c r="D12" s="53">
        <v>0.16400000000000001</v>
      </c>
    </row>
    <row r="14" spans="2:8" x14ac:dyDescent="0.35">
      <c r="B14" s="3" t="s">
        <v>21</v>
      </c>
      <c r="C14" s="25">
        <f>D10+E7*(D11-D10)</f>
        <v>0.1025603019508135</v>
      </c>
    </row>
    <row r="16" spans="2:8" x14ac:dyDescent="0.35">
      <c r="B16" s="17" t="s">
        <v>6</v>
      </c>
      <c r="C16" s="14"/>
      <c r="D16" s="14"/>
      <c r="E16" s="14"/>
    </row>
    <row r="17" spans="2:5" x14ac:dyDescent="0.35">
      <c r="B17" s="10"/>
      <c r="C17" s="18" t="s">
        <v>8</v>
      </c>
      <c r="D17" s="18" t="s">
        <v>9</v>
      </c>
      <c r="E17" s="18" t="s">
        <v>10</v>
      </c>
    </row>
    <row r="18" spans="2:5" x14ac:dyDescent="0.35">
      <c r="B18" s="10" t="s">
        <v>0</v>
      </c>
      <c r="C18" s="19">
        <f>G7</f>
        <v>0.13065079880640931</v>
      </c>
      <c r="D18" s="19">
        <f>F7*(1-D12)</f>
        <v>3.0463583576094549E-2</v>
      </c>
      <c r="E18" s="19">
        <f t="shared" ref="E18:E19" si="1">C18*D18</f>
        <v>3.9800915287225638E-3</v>
      </c>
    </row>
    <row r="19" spans="2:5" x14ac:dyDescent="0.35">
      <c r="B19" s="10" t="s">
        <v>2</v>
      </c>
      <c r="C19" s="19">
        <f>H7</f>
        <v>0.86934920119359071</v>
      </c>
      <c r="D19" s="19">
        <f>C14</f>
        <v>0.1025603019508135</v>
      </c>
      <c r="E19" s="20">
        <f t="shared" si="1"/>
        <v>8.916071657511318E-2</v>
      </c>
    </row>
    <row r="20" spans="2:5" x14ac:dyDescent="0.35">
      <c r="B20" s="10"/>
      <c r="C20" s="21"/>
      <c r="D20" s="43" t="s">
        <v>6</v>
      </c>
      <c r="E20" s="22">
        <f>SUM(E18:E19)</f>
        <v>9.3140808103835737E-2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EAD4F-02B1-4BF2-BA2C-E7D9A71F4AFC}">
  <dimension ref="A1:I17"/>
  <sheetViews>
    <sheetView workbookViewId="0">
      <selection activeCell="C15" sqref="C15"/>
    </sheetView>
  </sheetViews>
  <sheetFormatPr defaultRowHeight="12.5" x14ac:dyDescent="0.25"/>
  <cols>
    <col min="1" max="1" width="23.1796875" customWidth="1"/>
    <col min="2" max="2" width="21.81640625" customWidth="1"/>
    <col min="3" max="3" width="19.26953125" customWidth="1"/>
    <col min="4" max="4" width="19.7265625" customWidth="1"/>
    <col min="5" max="5" width="23.81640625" customWidth="1"/>
    <col min="6" max="6" width="19.54296875" customWidth="1"/>
    <col min="7" max="7" width="15.453125" customWidth="1"/>
    <col min="8" max="8" width="13.54296875" customWidth="1"/>
    <col min="9" max="9" width="14" customWidth="1"/>
  </cols>
  <sheetData>
    <row r="1" spans="1:9" ht="13.5" thickBot="1" x14ac:dyDescent="0.35">
      <c r="A1" s="55" t="s">
        <v>39</v>
      </c>
      <c r="B1" s="57"/>
      <c r="C1" s="57"/>
      <c r="D1" s="58"/>
      <c r="E1" s="58"/>
      <c r="F1" s="58"/>
      <c r="G1" s="58"/>
      <c r="H1" s="58"/>
      <c r="I1" s="68"/>
    </row>
    <row r="2" spans="1:9" ht="13.5" thickBot="1" x14ac:dyDescent="0.35">
      <c r="A2" s="59"/>
      <c r="B2" s="60" t="s">
        <v>40</v>
      </c>
      <c r="C2" s="61">
        <v>0</v>
      </c>
      <c r="D2" s="61">
        <v>1</v>
      </c>
      <c r="E2" s="61">
        <v>2</v>
      </c>
      <c r="F2" s="61">
        <v>3</v>
      </c>
      <c r="G2" s="61">
        <v>4</v>
      </c>
      <c r="H2" s="66">
        <v>5</v>
      </c>
      <c r="I2" s="67"/>
    </row>
    <row r="3" spans="1:9" ht="33" customHeight="1" thickTop="1" thickBot="1" x14ac:dyDescent="0.35">
      <c r="A3" s="57" t="s">
        <v>41</v>
      </c>
      <c r="B3" s="57"/>
      <c r="C3" s="57"/>
      <c r="D3" s="62">
        <v>-31030.15</v>
      </c>
      <c r="E3" s="62">
        <v>42258.09</v>
      </c>
      <c r="F3" s="62">
        <v>128256.26</v>
      </c>
      <c r="G3" s="62">
        <v>127525.73</v>
      </c>
      <c r="H3" s="62">
        <v>127525.73</v>
      </c>
    </row>
    <row r="4" spans="1:9" ht="24.75" customHeight="1" thickBot="1" x14ac:dyDescent="0.35">
      <c r="A4" s="57" t="s">
        <v>42</v>
      </c>
      <c r="B4" s="57"/>
      <c r="C4" s="62">
        <v>-53500</v>
      </c>
      <c r="D4" s="62">
        <v>-24000</v>
      </c>
      <c r="E4" s="62">
        <v>-30500</v>
      </c>
      <c r="F4" s="63" t="s">
        <v>43</v>
      </c>
      <c r="G4" s="63" t="s">
        <v>43</v>
      </c>
      <c r="H4" s="62">
        <v>108000</v>
      </c>
    </row>
    <row r="5" spans="1:9" ht="24.75" customHeight="1" thickBot="1" x14ac:dyDescent="0.35">
      <c r="A5" s="57" t="s">
        <v>44</v>
      </c>
      <c r="B5" s="57"/>
      <c r="C5" s="64">
        <v>-58000</v>
      </c>
      <c r="D5" s="65"/>
      <c r="E5" s="65"/>
      <c r="F5" s="65"/>
      <c r="G5" s="65"/>
      <c r="H5" s="64">
        <v>19505.03</v>
      </c>
    </row>
    <row r="6" spans="1:9" ht="26.5" thickBot="1" x14ac:dyDescent="0.35">
      <c r="A6" s="57" t="s">
        <v>45</v>
      </c>
      <c r="B6" s="57"/>
      <c r="C6" s="62">
        <v>-111500</v>
      </c>
      <c r="D6" s="62">
        <v>-55030.15</v>
      </c>
      <c r="E6" s="62">
        <v>11758.09</v>
      </c>
      <c r="F6" s="62">
        <v>128256.26</v>
      </c>
      <c r="G6" s="62">
        <v>127525.73</v>
      </c>
      <c r="H6" s="62">
        <v>255030.76</v>
      </c>
    </row>
    <row r="7" spans="1:9" ht="13.5" thickBot="1" x14ac:dyDescent="0.35">
      <c r="A7" s="71"/>
      <c r="B7" s="57"/>
      <c r="C7" s="72"/>
      <c r="D7" s="72"/>
      <c r="E7" s="72"/>
      <c r="F7" s="72"/>
      <c r="G7" s="72"/>
      <c r="H7" s="72"/>
    </row>
    <row r="8" spans="1:9" ht="13.5" thickBot="1" x14ac:dyDescent="0.35">
      <c r="A8" s="73" t="s">
        <v>51</v>
      </c>
      <c r="B8" s="74">
        <v>0.27</v>
      </c>
      <c r="C8" s="72"/>
      <c r="D8" s="72"/>
      <c r="E8" s="72"/>
      <c r="F8" s="72"/>
      <c r="G8" s="72"/>
      <c r="H8" s="72"/>
    </row>
    <row r="9" spans="1:9" ht="13.5" thickBot="1" x14ac:dyDescent="0.35">
      <c r="A9" s="56"/>
      <c r="B9" s="57"/>
      <c r="C9" s="56"/>
      <c r="D9" s="56"/>
      <c r="E9" s="56"/>
      <c r="F9" s="56"/>
      <c r="G9" s="56"/>
      <c r="H9" s="56"/>
    </row>
    <row r="10" spans="1:9" ht="13" x14ac:dyDescent="0.3">
      <c r="A10" s="56" t="s">
        <v>48</v>
      </c>
      <c r="B10" s="56"/>
      <c r="C10" s="70">
        <f t="shared" ref="C10:H10" si="0">C6/(1+$F13)^C2</f>
        <v>-111500</v>
      </c>
      <c r="D10" s="70">
        <f t="shared" si="0"/>
        <v>-50343.198243527586</v>
      </c>
      <c r="E10" s="70">
        <f t="shared" si="0"/>
        <v>9840.4960529476575</v>
      </c>
      <c r="F10" s="70">
        <f t="shared" si="0"/>
        <v>98197.151206536859</v>
      </c>
      <c r="G10" s="70">
        <f t="shared" si="0"/>
        <v>89321.959337668566</v>
      </c>
      <c r="H10" s="70">
        <f t="shared" si="0"/>
        <v>163415.44224538747</v>
      </c>
    </row>
    <row r="11" spans="1:9" ht="13" x14ac:dyDescent="0.3">
      <c r="B11" s="56"/>
    </row>
    <row r="12" spans="1:9" ht="13" x14ac:dyDescent="0.3">
      <c r="B12" s="56"/>
    </row>
    <row r="13" spans="1:9" ht="13" x14ac:dyDescent="0.3">
      <c r="B13" s="56" t="s">
        <v>46</v>
      </c>
      <c r="C13" s="70">
        <f>SUM(C10:H10)</f>
        <v>198931.85059901298</v>
      </c>
      <c r="E13" s="56" t="s">
        <v>49</v>
      </c>
      <c r="F13" s="69">
        <v>9.3100000000000002E-2</v>
      </c>
    </row>
    <row r="14" spans="1:9" ht="13" x14ac:dyDescent="0.3">
      <c r="C14" s="56"/>
    </row>
    <row r="15" spans="1:9" ht="13" x14ac:dyDescent="0.3">
      <c r="B15" s="56" t="s">
        <v>47</v>
      </c>
      <c r="C15" s="75">
        <f>IRR(C6:H6)</f>
        <v>0.35380980136037543</v>
      </c>
    </row>
    <row r="17" spans="2:2" ht="13" x14ac:dyDescent="0.3">
      <c r="B17" s="5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E748-B32F-4D85-9DC1-61245764E418}">
  <dimension ref="A1:C7"/>
  <sheetViews>
    <sheetView workbookViewId="0">
      <selection activeCell="C7" sqref="C7"/>
    </sheetView>
  </sheetViews>
  <sheetFormatPr defaultRowHeight="12.5" x14ac:dyDescent="0.25"/>
  <cols>
    <col min="2" max="2" width="12.26953125" customWidth="1"/>
  </cols>
  <sheetData>
    <row r="1" spans="1:3" x14ac:dyDescent="0.25">
      <c r="A1" s="51" t="s">
        <v>33</v>
      </c>
      <c r="C1" s="52" t="s">
        <v>32</v>
      </c>
    </row>
    <row r="3" spans="1:3" x14ac:dyDescent="0.25">
      <c r="A3" s="51" t="s">
        <v>35</v>
      </c>
      <c r="C3" s="52" t="s">
        <v>34</v>
      </c>
    </row>
    <row r="5" spans="1:3" x14ac:dyDescent="0.25">
      <c r="A5" s="51" t="s">
        <v>37</v>
      </c>
      <c r="C5" s="52" t="s">
        <v>36</v>
      </c>
    </row>
    <row r="7" spans="1:3" x14ac:dyDescent="0.25">
      <c r="A7" s="51" t="s">
        <v>53</v>
      </c>
      <c r="C7" s="52" t="s">
        <v>52</v>
      </c>
    </row>
  </sheetData>
  <hyperlinks>
    <hyperlink ref="C1" r:id="rId1" xr:uid="{F41EAC5E-73F0-4AA6-A121-FDC392DD45C9}"/>
    <hyperlink ref="C3" r:id="rId2" xr:uid="{D8E4B633-0694-4E82-A589-CE3D98F2DDBA}"/>
    <hyperlink ref="C5" r:id="rId3" xr:uid="{41897953-A4E9-47D1-830D-DC8AB0A20B6B}"/>
    <hyperlink ref="C7" r:id="rId4" xr:uid="{9C41EA43-7479-4017-9D5B-BE1E0F908D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Wayfair Inc.</vt:lpstr>
      <vt:lpstr>The Michaels Company, Inc.</vt:lpstr>
      <vt:lpstr>The Home Depot, Inc.</vt:lpstr>
      <vt:lpstr>Wonder Wall WACC</vt:lpstr>
      <vt:lpstr>Financial NPV &amp; IRR</vt:lpstr>
      <vt:lpstr>Reference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</dc:creator>
  <cp:lastModifiedBy>Francisco Contreras</cp:lastModifiedBy>
  <cp:lastPrinted>2016-11-28T20:02:49Z</cp:lastPrinted>
  <dcterms:created xsi:type="dcterms:W3CDTF">2004-12-03T16:22:03Z</dcterms:created>
  <dcterms:modified xsi:type="dcterms:W3CDTF">2025-03-24T01:21:30Z</dcterms:modified>
</cp:coreProperties>
</file>