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showInkAnnotation="0" codeName="EstaPasta_de_trabalho"/>
  <mc:AlternateContent xmlns:mc="http://schemas.openxmlformats.org/markup-compatibility/2006">
    <mc:Choice Requires="x15">
      <x15ac:absPath xmlns:x15ac="http://schemas.microsoft.com/office/spreadsheetml/2010/11/ac" url="C:\Users\Francisco Tavares\Desktop\"/>
    </mc:Choice>
  </mc:AlternateContent>
  <xr:revisionPtr revIDLastSave="0" documentId="13_ncr:1_{A1B78D27-A2C8-4848-9DE7-C548C6D24C34}" xr6:coauthVersionLast="40" xr6:coauthVersionMax="40" xr10:uidLastSave="{00000000-0000-0000-0000-000000000000}"/>
  <bookViews>
    <workbookView xWindow="0" yWindow="0" windowWidth="20400" windowHeight="6930" tabRatio="883" activeTab="6" xr2:uid="{00000000-000D-0000-FFFF-FFFF00000000}"/>
  </bookViews>
  <sheets>
    <sheet name="Database" sheetId="1" r:id="rId1"/>
    <sheet name="Histórico Pessoal" sheetId="2" r:id="rId2"/>
    <sheet name="Informações Gerais" sheetId="3" r:id="rId3"/>
    <sheet name="Especificações" sheetId="4" r:id="rId4"/>
    <sheet name="Personalização" sheetId="5" r:id="rId5"/>
    <sheet name="Calculadora" sheetId="6" r:id="rId6"/>
    <sheet name="Efeitos +" sheetId="7" r:id="rId7"/>
    <sheet name="Efeitos -" sheetId="8" r:id="rId8"/>
    <sheet name="Bonificações" sheetId="9" r:id="rId9"/>
    <sheet name="BD" sheetId="10" r:id="rId10"/>
  </sheets>
  <definedNames>
    <definedName name="_xlnm._FilterDatabase" localSheetId="2" hidden="1">'Informações Gerais'!$A$2:$U$40</definedName>
    <definedName name="aptbonus">Database!$J$33:$K$36</definedName>
    <definedName name="aptidão">Database!$D$33:$D$36</definedName>
    <definedName name="arteebônus">Database!$J$6:$K$10</definedName>
    <definedName name="artes">Database!$J$6:$J$10</definedName>
    <definedName name="artesplus">Database!$K$6:$K$10</definedName>
    <definedName name="Bakudou">Database!$A$65:$A$88</definedName>
    <definedName name="bakudoulist">Database!$A$65:$C$88</definedName>
    <definedName name="bleach_game_rpg" localSheetId="9">BD!$A$1:$D$78</definedName>
    <definedName name="bônus">Database!$I$2:$I$15</definedName>
    <definedName name="bônusatributo">Database!$I$1:$I$6</definedName>
    <definedName name="bônusmeio">Database!$L$1:$L$9</definedName>
    <definedName name="CalculadoraHabilidade">Database!$A$154:$A$158</definedName>
    <definedName name="classes">Database!$S$1:$S$61</definedName>
    <definedName name="classesebônus">Database!$S$1:$U$61</definedName>
    <definedName name="cores">Database!$C$1:$C$31</definedName>
    <definedName name="divisões">Database!$B$22:$B$38</definedName>
    <definedName name="Efeitosnegativos">Database!$G$39:$G$129</definedName>
    <definedName name="Efeitospositivos">Database!$E$32:$E$149</definedName>
    <definedName name="Especiais">Database!$A$103:$A$138</definedName>
    <definedName name="especiaislist">Database!$A$103:$C$138</definedName>
    <definedName name="especialização">Database!$L$71:$L$79</definedName>
    <definedName name="essênciaebônus">Database!$A$161:$B$180</definedName>
    <definedName name="essências">Database!$A$161:$A$180</definedName>
    <definedName name="FichaToda">'Informações Gerais'!$A$2:$V$34</definedName>
    <definedName name="Hadou">Database!$A$46:$A$63</definedName>
    <definedName name="hadoulist">Database!$A$46:$C$63</definedName>
    <definedName name="hohou">Database!$J$85:$J$91</definedName>
    <definedName name="hohoutec">Database!$J$84:$Q$91</definedName>
    <definedName name="Hollow">Database!$A$90:$A$101</definedName>
    <definedName name="hollowlist">Database!$A$90:$C$101</definedName>
    <definedName name="lenda">Database!$M$8:$M$8</definedName>
    <definedName name="Lendario" comment="Sim">'Informações Gerais'!$F$4</definedName>
    <definedName name="listanomes">BD!$A$2:$A$104</definedName>
    <definedName name="multiplicadores">Database!$L$71:$S$79</definedName>
    <definedName name="Name">'Informações Gerais'!$B$4</definedName>
    <definedName name="Parentesco">Database!$J$46:$J$79</definedName>
    <definedName name="patente">Database!$C$36:$C$42</definedName>
    <definedName name="Posto">Database!$M$55:$N$66</definedName>
    <definedName name="PostoCerto">Database!$L$46</definedName>
    <definedName name="postoebônus">Database!$L$13:$O$19</definedName>
    <definedName name="PPCerto">Database!$L$47</definedName>
    <definedName name="PPCerto2">Database!$L$50</definedName>
    <definedName name="pplista">BD!$A$2:$C$104</definedName>
    <definedName name="procvessencias">Database!$L$45:$N$66</definedName>
    <definedName name="qlbônus">Database!$A$39:$B$41</definedName>
    <definedName name="raça">Database!$D$154:$D$162</definedName>
    <definedName name="redutores">Database!$I$16:$I$29</definedName>
    <definedName name="Senha">'Informações Gerais'!$B$8</definedName>
    <definedName name="SenhaCerta">Database!$L$48</definedName>
    <definedName name="sexo">Database!$C$32:$C$35</definedName>
    <definedName name="status1">Database!$D$37:$D$39</definedName>
    <definedName name="status2">Database!$D$40:$D$43</definedName>
    <definedName name="Synder">'Informações Gerais'!$A$2:$F$2</definedName>
    <definedName name="tbônus">Database!$A$42:$B$44</definedName>
    <definedName name="Z_5F7E442B_9104_458B_9892_4194DBB06FCD_.wvu.Cols" localSheetId="1" hidden="1">'Histórico Pessoal'!$C:$F</definedName>
    <definedName name="Z_5F7E442B_9104_458B_9892_4194DBB06FCD_.wvu.FilterData" localSheetId="2" hidden="1">'Informações Gerais'!$A$2:$U$40</definedName>
    <definedName name="zeroàcinco">Database!$A$1:$A$6</definedName>
    <definedName name="zeroàdez">Database!$A$1:$A$11</definedName>
    <definedName name="zeroàvinte">Database!$A$1:$A$21</definedName>
  </definedNames>
  <calcPr calcId="181029" iterate="1"/>
  <customWorkbookViews>
    <customWorkbookView name="Bollacha Aka Murilo Rotta - Modo de exibição pessoal" guid="{5F7E442B-9104-458B-9892-4194DBB06FCD}" mergeInterval="0" personalView="1" maximized="1" xWindow="-9" yWindow="-9" windowWidth="1938" windowHeight="1050" tabRatio="745" activeSheetId="3"/>
  </customWorkbookViews>
</workbook>
</file>

<file path=xl/calcChain.xml><?xml version="1.0" encoding="utf-8"?>
<calcChain xmlns="http://schemas.openxmlformats.org/spreadsheetml/2006/main">
  <c r="G3" i="3" l="1"/>
  <c r="H2" i="3" l="1"/>
  <c r="G2" i="3"/>
  <c r="G4" i="3" l="1"/>
  <c r="G7" i="3"/>
  <c r="G6" i="3"/>
  <c r="G5" i="3"/>
  <c r="F34" i="5" l="1"/>
  <c r="F33" i="5" s="1"/>
  <c r="F26" i="5"/>
  <c r="U35" i="3"/>
  <c r="K2" i="3"/>
  <c r="P1" i="5"/>
  <c r="R2" i="5" s="1"/>
  <c r="I1" i="4"/>
  <c r="K2" i="4" s="1"/>
  <c r="L2" i="3"/>
  <c r="J2" i="3"/>
  <c r="F25" i="5" l="1"/>
  <c r="J2" i="4"/>
  <c r="Q2" i="5"/>
  <c r="S20" i="3" l="1"/>
  <c r="O8" i="5" l="1"/>
  <c r="O9" i="5"/>
  <c r="O10" i="5"/>
  <c r="O11" i="5"/>
  <c r="O12" i="5"/>
  <c r="O13" i="5"/>
  <c r="O14" i="5"/>
  <c r="O15" i="5"/>
  <c r="O16" i="5"/>
  <c r="O17" i="5"/>
  <c r="O18" i="5"/>
  <c r="O19" i="5"/>
  <c r="O20" i="5"/>
  <c r="O21" i="5"/>
  <c r="O22" i="5"/>
  <c r="O23" i="5"/>
  <c r="O24" i="5"/>
  <c r="O25" i="5"/>
  <c r="O26" i="5"/>
  <c r="O27" i="5"/>
  <c r="O28" i="5"/>
  <c r="O29" i="5"/>
  <c r="O30" i="5"/>
  <c r="O31" i="5"/>
  <c r="O32" i="5"/>
  <c r="O33" i="5"/>
  <c r="O7" i="5"/>
  <c r="J10" i="5"/>
  <c r="J11" i="5"/>
  <c r="J12" i="5"/>
  <c r="J13" i="5"/>
  <c r="J14" i="5"/>
  <c r="J15" i="5"/>
  <c r="J16" i="5"/>
  <c r="J17" i="5"/>
  <c r="J18" i="5"/>
  <c r="J19" i="5"/>
  <c r="J20" i="5"/>
  <c r="J21" i="5"/>
  <c r="J22" i="5"/>
  <c r="J23" i="5"/>
  <c r="J24" i="5"/>
  <c r="J25" i="5"/>
  <c r="J26" i="5"/>
  <c r="J27" i="5"/>
  <c r="J28" i="5"/>
  <c r="J29" i="5"/>
  <c r="J30" i="5"/>
  <c r="J31" i="5"/>
  <c r="J32" i="5"/>
  <c r="J33" i="5"/>
  <c r="J7" i="5"/>
  <c r="U7" i="5" s="1"/>
  <c r="J8" i="5"/>
  <c r="J9" i="5"/>
  <c r="T7" i="4" l="1"/>
  <c r="Q8" i="4"/>
  <c r="Q16" i="4"/>
  <c r="T11" i="3" l="1"/>
  <c r="T26" i="3" l="1"/>
  <c r="T27" i="3"/>
  <c r="E33" i="3" l="1"/>
  <c r="C10" i="4" l="1"/>
  <c r="Q7" i="4"/>
  <c r="L50" i="1" l="1"/>
  <c r="L47" i="1" l="1"/>
  <c r="K7" i="3" s="1"/>
  <c r="L7" i="3" s="1"/>
  <c r="L48" i="1"/>
  <c r="K8" i="3" s="1"/>
  <c r="F2" i="4" l="1"/>
  <c r="L6" i="3" l="1"/>
  <c r="L5" i="3"/>
  <c r="S3" i="3"/>
  <c r="G17" i="4"/>
  <c r="F16" i="5" l="1"/>
  <c r="F8" i="5"/>
  <c r="G18" i="4"/>
  <c r="N18" i="4"/>
  <c r="N17" i="4"/>
  <c r="N16" i="4" l="1"/>
  <c r="N15" i="4"/>
  <c r="G16" i="4"/>
  <c r="G15" i="4"/>
  <c r="H38" i="3" l="1"/>
  <c r="P57" i="6" l="1"/>
  <c r="O57" i="6" s="1"/>
  <c r="K53" i="6"/>
  <c r="G53" i="6"/>
  <c r="S52" i="6"/>
  <c r="S51" i="6"/>
  <c r="S50" i="6"/>
  <c r="S49" i="6"/>
  <c r="O49" i="6"/>
  <c r="S45" i="6"/>
  <c r="S44" i="6"/>
  <c r="S43" i="6"/>
  <c r="S42" i="6"/>
  <c r="S41" i="6"/>
  <c r="O41" i="6"/>
  <c r="T37" i="6"/>
  <c r="S37" i="6"/>
  <c r="T36" i="6"/>
  <c r="S36" i="6"/>
  <c r="O35" i="6"/>
  <c r="O37" i="6" s="1"/>
  <c r="O45" i="6" l="1"/>
  <c r="K42" i="6" s="1"/>
  <c r="P45" i="6" s="1"/>
  <c r="O43" i="6"/>
  <c r="O42" i="6"/>
  <c r="O44" i="6"/>
  <c r="K41" i="6" s="1"/>
  <c r="P44" i="6" s="1"/>
  <c r="O53" i="6"/>
  <c r="G42" i="6" s="1"/>
  <c r="P53" i="6" s="1"/>
  <c r="G38" i="6"/>
  <c r="P49" i="6" s="1"/>
  <c r="T50" i="6"/>
  <c r="T52" i="6"/>
  <c r="T51" i="6"/>
  <c r="P59" i="6"/>
  <c r="T49" i="6"/>
  <c r="P37" i="6"/>
  <c r="T43" i="6"/>
  <c r="T41" i="6"/>
  <c r="T44" i="6"/>
  <c r="T42" i="6"/>
  <c r="P35" i="6"/>
  <c r="K38" i="6"/>
  <c r="P41" i="6" s="1"/>
  <c r="T45" i="6"/>
  <c r="P58" i="6"/>
  <c r="O36" i="6"/>
  <c r="P36" i="6" s="1"/>
  <c r="K39" i="6"/>
  <c r="P42" i="6" s="1"/>
  <c r="K40" i="6"/>
  <c r="P43" i="6" s="1"/>
  <c r="O50" i="6"/>
  <c r="G39" i="6" s="1"/>
  <c r="P50" i="6" s="1"/>
  <c r="O51" i="6"/>
  <c r="G40" i="6" s="1"/>
  <c r="P51" i="6" s="1"/>
  <c r="O52" i="6"/>
  <c r="G41" i="6" s="1"/>
  <c r="P52" i="6" s="1"/>
  <c r="D24" i="3" l="1"/>
  <c r="E15" i="3"/>
  <c r="E14" i="3"/>
  <c r="U8" i="5" l="1"/>
  <c r="B4" i="6"/>
  <c r="B34" i="6" s="1"/>
  <c r="B38" i="6" s="1"/>
  <c r="T4" i="3" l="1"/>
  <c r="T12" i="3"/>
  <c r="C9" i="4"/>
  <c r="Q6" i="3"/>
  <c r="T6" i="6"/>
  <c r="T5" i="6"/>
  <c r="S6" i="6"/>
  <c r="S5" i="6"/>
  <c r="U26" i="3"/>
  <c r="U27" i="3"/>
  <c r="U28" i="3"/>
  <c r="U29" i="3"/>
  <c r="U30" i="3"/>
  <c r="U31" i="3"/>
  <c r="U32" i="3"/>
  <c r="U33" i="3"/>
  <c r="U34" i="3"/>
  <c r="U25" i="3"/>
  <c r="U24" i="3"/>
  <c r="U15" i="3"/>
  <c r="U16" i="3"/>
  <c r="U17" i="3"/>
  <c r="U18" i="3"/>
  <c r="U19" i="3"/>
  <c r="U20" i="3"/>
  <c r="U21" i="3"/>
  <c r="U22" i="3"/>
  <c r="U23" i="3"/>
  <c r="U14" i="3"/>
  <c r="B38" i="3"/>
  <c r="B8" i="6"/>
  <c r="U10" i="5" l="1"/>
  <c r="U9" i="5"/>
  <c r="U32" i="5"/>
  <c r="U30" i="5"/>
  <c r="U28" i="5"/>
  <c r="U26" i="5"/>
  <c r="U24" i="5"/>
  <c r="U22" i="5"/>
  <c r="U20" i="5"/>
  <c r="U18" i="5"/>
  <c r="U16" i="5"/>
  <c r="U14" i="5"/>
  <c r="U12" i="5"/>
  <c r="U33" i="5"/>
  <c r="U31" i="5"/>
  <c r="U29" i="5"/>
  <c r="U27" i="5"/>
  <c r="U25" i="5"/>
  <c r="U23" i="5"/>
  <c r="U21" i="5"/>
  <c r="U19" i="5"/>
  <c r="U17" i="5"/>
  <c r="U15" i="5"/>
  <c r="U13" i="5"/>
  <c r="U11" i="5"/>
  <c r="J12" i="4"/>
  <c r="C12" i="4"/>
  <c r="O28" i="4"/>
  <c r="O27" i="4"/>
  <c r="O26" i="4"/>
  <c r="O25" i="4"/>
  <c r="H28" i="4"/>
  <c r="H27" i="4"/>
  <c r="H26" i="4"/>
  <c r="H25" i="4"/>
  <c r="T7" i="3"/>
  <c r="T6" i="3"/>
  <c r="T5" i="3"/>
  <c r="S7" i="3"/>
  <c r="S6" i="3"/>
  <c r="S5" i="3"/>
  <c r="S4" i="3"/>
  <c r="R7" i="3"/>
  <c r="R6" i="3"/>
  <c r="R5" i="3"/>
  <c r="R4" i="3"/>
  <c r="H39" i="3"/>
  <c r="H40" i="3"/>
  <c r="H41" i="3"/>
  <c r="E39" i="3"/>
  <c r="H42" i="3"/>
  <c r="E40" i="3"/>
  <c r="E38" i="3"/>
  <c r="B39" i="3"/>
  <c r="B40" i="3"/>
  <c r="B41" i="3"/>
  <c r="B42" i="3"/>
  <c r="S26" i="3"/>
  <c r="S35" i="3" s="1"/>
  <c r="S24" i="3"/>
  <c r="S21" i="3" l="1"/>
  <c r="S23" i="3"/>
  <c r="S25" i="3"/>
  <c r="S22" i="3"/>
  <c r="S28" i="3"/>
  <c r="S30" i="3"/>
  <c r="S32" i="3"/>
  <c r="S34" i="3"/>
  <c r="S36" i="3"/>
  <c r="S27" i="3"/>
  <c r="S29" i="3"/>
  <c r="S31" i="3"/>
  <c r="S33" i="3"/>
  <c r="T20" i="3"/>
  <c r="T21" i="3"/>
  <c r="T22" i="3"/>
  <c r="T23" i="3"/>
  <c r="T24" i="3"/>
  <c r="T25" i="3"/>
  <c r="T19" i="3"/>
  <c r="T15" i="3"/>
  <c r="T14" i="3"/>
  <c r="T13" i="3"/>
  <c r="E30" i="3" l="1"/>
  <c r="E31" i="3"/>
  <c r="E32" i="3"/>
  <c r="E29" i="3"/>
  <c r="D23" i="3"/>
  <c r="D22" i="3"/>
  <c r="E16" i="3"/>
  <c r="E17" i="3"/>
  <c r="E13" i="3"/>
  <c r="G7" i="4"/>
  <c r="P6" i="3"/>
  <c r="R3" i="3" l="1"/>
  <c r="K6" i="3" s="1"/>
  <c r="U40" i="6" l="1"/>
  <c r="U41" i="6"/>
  <c r="U42" i="6"/>
  <c r="U43" i="6"/>
  <c r="U44" i="6"/>
  <c r="U48" i="6"/>
  <c r="U49" i="6"/>
  <c r="Q59" i="6" s="1"/>
  <c r="O59" i="6" s="1"/>
  <c r="Q58" i="6" l="1"/>
  <c r="O58" i="6" s="1"/>
  <c r="C13" i="5" l="1"/>
  <c r="D13" i="5" s="1"/>
  <c r="G16" i="5" s="1"/>
  <c r="C19" i="5" s="1"/>
  <c r="G15" i="5"/>
  <c r="D19" i="5" l="1"/>
  <c r="C5" i="5"/>
  <c r="D5" i="5" s="1"/>
  <c r="G8" i="5" s="1"/>
  <c r="G7" i="5"/>
  <c r="C11" i="5" l="1"/>
  <c r="D11" i="5"/>
  <c r="U52" i="6"/>
  <c r="U51" i="6"/>
  <c r="U50" i="6"/>
  <c r="G4" i="6"/>
  <c r="K4" i="6"/>
  <c r="O4" i="6"/>
  <c r="P4" i="6"/>
  <c r="O5" i="6"/>
  <c r="P5" i="6"/>
  <c r="O6" i="6"/>
  <c r="P6" i="6"/>
  <c r="G7" i="6"/>
  <c r="K7" i="6"/>
  <c r="G8" i="6"/>
  <c r="K8" i="6"/>
  <c r="G9" i="6"/>
  <c r="K9" i="6"/>
  <c r="G10" i="6"/>
  <c r="K10" i="6"/>
  <c r="O10" i="6"/>
  <c r="P10" i="6"/>
  <c r="S10" i="6"/>
  <c r="T10" i="6"/>
  <c r="U10" i="6"/>
  <c r="G11" i="6"/>
  <c r="K11" i="6"/>
  <c r="O11" i="6"/>
  <c r="P11" i="6"/>
  <c r="S11" i="6"/>
  <c r="T11" i="6"/>
  <c r="U11" i="6"/>
  <c r="O12" i="6"/>
  <c r="P12" i="6"/>
  <c r="S12" i="6"/>
  <c r="T12" i="6"/>
  <c r="U12" i="6"/>
  <c r="O13" i="6"/>
  <c r="P13" i="6"/>
  <c r="S13" i="6"/>
  <c r="T13" i="6"/>
  <c r="U13" i="6"/>
  <c r="O14" i="6"/>
  <c r="P14" i="6"/>
  <c r="S14" i="6"/>
  <c r="T14" i="6"/>
  <c r="U14" i="6"/>
  <c r="O18" i="6"/>
  <c r="P18" i="6"/>
  <c r="S18" i="6"/>
  <c r="T18" i="6"/>
  <c r="U18" i="6"/>
  <c r="O19" i="6"/>
  <c r="P19" i="6"/>
  <c r="S19" i="6"/>
  <c r="T19" i="6"/>
  <c r="U19" i="6"/>
  <c r="O20" i="6"/>
  <c r="P20" i="6"/>
  <c r="S20" i="6"/>
  <c r="T20" i="6"/>
  <c r="U20" i="6"/>
  <c r="O21" i="6"/>
  <c r="P21" i="6"/>
  <c r="S21" i="6"/>
  <c r="T21" i="6"/>
  <c r="U21" i="6"/>
  <c r="G22" i="6"/>
  <c r="K22" i="6"/>
  <c r="O22" i="6"/>
  <c r="P22" i="6"/>
  <c r="S22" i="6"/>
  <c r="T22" i="6"/>
  <c r="U22" i="6"/>
  <c r="O26" i="6"/>
  <c r="P26" i="6"/>
  <c r="O27" i="6"/>
  <c r="P27" i="6"/>
  <c r="Q27" i="6"/>
  <c r="O28" i="6"/>
  <c r="P28" i="6"/>
  <c r="Q28" i="6"/>
  <c r="M85" i="1"/>
  <c r="M86" i="1"/>
  <c r="M87" i="1"/>
  <c r="M88" i="1"/>
  <c r="Q88" i="1"/>
  <c r="M89" i="1"/>
  <c r="Q89" i="1"/>
  <c r="M90" i="1"/>
  <c r="Q90" i="1"/>
  <c r="M91" i="1"/>
  <c r="Q91" i="1"/>
  <c r="T6" i="4"/>
  <c r="U6" i="4"/>
  <c r="G8" i="4"/>
  <c r="G13" i="4"/>
  <c r="N13" i="4"/>
  <c r="G14" i="4"/>
  <c r="N14" i="4"/>
  <c r="F25" i="4"/>
  <c r="G25" i="4"/>
  <c r="M25" i="4"/>
  <c r="N25" i="4"/>
  <c r="F26" i="4"/>
  <c r="G26" i="4"/>
  <c r="M26" i="4"/>
  <c r="N26" i="4"/>
  <c r="F27" i="4"/>
  <c r="G27" i="4"/>
  <c r="M27" i="4"/>
  <c r="N27" i="4"/>
  <c r="F28" i="4"/>
  <c r="G28" i="4"/>
  <c r="M28" i="4"/>
  <c r="N28" i="4"/>
  <c r="T3" i="3"/>
  <c r="I4" i="3"/>
  <c r="I5" i="3"/>
  <c r="I6" i="3"/>
  <c r="O6" i="3"/>
  <c r="I7" i="3"/>
  <c r="P7" i="3"/>
  <c r="Q7" i="3"/>
  <c r="I8" i="3"/>
  <c r="P8" i="3"/>
  <c r="Q8" i="3"/>
  <c r="I9" i="3"/>
  <c r="T9" i="3"/>
  <c r="D13" i="3"/>
  <c r="F13" i="3"/>
  <c r="D14" i="3"/>
  <c r="F14" i="3"/>
  <c r="D15" i="3"/>
  <c r="F15" i="3"/>
  <c r="D16" i="3"/>
  <c r="F16" i="3"/>
  <c r="D17" i="3"/>
  <c r="F17" i="3"/>
  <c r="C22" i="3"/>
  <c r="E22" i="3"/>
  <c r="F22" i="3"/>
  <c r="C23" i="3"/>
  <c r="E23" i="3"/>
  <c r="F23" i="3"/>
  <c r="C24" i="3"/>
  <c r="E24" i="3"/>
  <c r="F24" i="3"/>
  <c r="D29" i="3"/>
  <c r="F29" i="3"/>
  <c r="D30" i="3"/>
  <c r="F30" i="3"/>
  <c r="D31" i="3"/>
  <c r="F31" i="3"/>
  <c r="D32" i="3"/>
  <c r="F32" i="3"/>
  <c r="D33" i="3"/>
  <c r="F33" i="3"/>
  <c r="C38" i="3"/>
  <c r="F38" i="3"/>
  <c r="I38" i="3"/>
  <c r="C39" i="3"/>
  <c r="F39" i="3"/>
  <c r="I39" i="3"/>
  <c r="C40" i="3"/>
  <c r="F40" i="3"/>
  <c r="I40" i="3"/>
  <c r="C41" i="3"/>
  <c r="I41" i="3"/>
  <c r="C42" i="3"/>
  <c r="I42" i="3"/>
  <c r="S1" i="5"/>
  <c r="C2" i="5"/>
  <c r="S7" i="5"/>
  <c r="T7" i="5"/>
  <c r="S8" i="5"/>
  <c r="T8" i="5"/>
  <c r="S9" i="5"/>
  <c r="T9" i="5"/>
  <c r="C10" i="5"/>
  <c r="S10" i="5"/>
  <c r="T10" i="5"/>
  <c r="S11" i="5"/>
  <c r="T11" i="5"/>
  <c r="S12" i="5"/>
  <c r="T12" i="5"/>
  <c r="S13" i="5"/>
  <c r="T13" i="5"/>
  <c r="S14" i="5"/>
  <c r="T14" i="5"/>
  <c r="S15" i="5"/>
  <c r="T15" i="5"/>
  <c r="S16" i="5"/>
  <c r="T16" i="5"/>
  <c r="S17" i="5"/>
  <c r="T17" i="5"/>
  <c r="C18" i="5"/>
  <c r="S18" i="5"/>
  <c r="T18" i="5"/>
  <c r="S19" i="5"/>
  <c r="T19" i="5"/>
  <c r="S20" i="5"/>
  <c r="T20" i="5"/>
  <c r="S21" i="5"/>
  <c r="T21" i="5"/>
  <c r="S22" i="5"/>
  <c r="T22" i="5"/>
  <c r="G23" i="5"/>
  <c r="S23" i="5"/>
  <c r="T23" i="5"/>
  <c r="F24" i="5"/>
  <c r="G24" i="5"/>
  <c r="S24" i="5"/>
  <c r="T24" i="5"/>
  <c r="S25" i="5"/>
  <c r="T25" i="5"/>
  <c r="S26" i="5"/>
  <c r="T26" i="5"/>
  <c r="S27" i="5"/>
  <c r="T27" i="5"/>
  <c r="S28" i="5"/>
  <c r="T28" i="5"/>
  <c r="S29" i="5"/>
  <c r="T29" i="5"/>
  <c r="S30" i="5"/>
  <c r="T30" i="5"/>
  <c r="G31" i="5"/>
  <c r="S31" i="5"/>
  <c r="T31" i="5"/>
  <c r="F32" i="5"/>
  <c r="G32" i="5"/>
  <c r="S32" i="5"/>
  <c r="T32" i="5"/>
  <c r="S33" i="5"/>
  <c r="T3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exão" type="4" refreshedVersion="6" background="1" refreshOnLoad="1" saveData="1">
    <webPr sourceData="1" parsePre="1" consecutive="1" xl2000="1" url="https://bleachgamerpg.wordpress.com/2016/11/15/bleach-game-rpg" htmlTables="1"/>
  </connection>
</connections>
</file>

<file path=xl/sharedStrings.xml><?xml version="1.0" encoding="utf-8"?>
<sst xmlns="http://schemas.openxmlformats.org/spreadsheetml/2006/main" count="2292" uniqueCount="1118">
  <si>
    <t>Força</t>
  </si>
  <si>
    <t>Inteligência</t>
  </si>
  <si>
    <t>Destreza</t>
  </si>
  <si>
    <t>Resistência</t>
  </si>
  <si>
    <t>Vigor</t>
  </si>
  <si>
    <t>Zanjutsu</t>
  </si>
  <si>
    <t>Kidou</t>
  </si>
  <si>
    <t>Hakuda</t>
  </si>
  <si>
    <t>Hohou</t>
  </si>
  <si>
    <t>Taichou</t>
  </si>
  <si>
    <t>EXP</t>
  </si>
  <si>
    <t>Teste</t>
  </si>
  <si>
    <t>Atributo</t>
  </si>
  <si>
    <t>Nível</t>
  </si>
  <si>
    <t>Bônus</t>
  </si>
  <si>
    <t>Nome:</t>
  </si>
  <si>
    <t>Sexo:</t>
  </si>
  <si>
    <t>Divisão:</t>
  </si>
  <si>
    <t>Classe:</t>
  </si>
  <si>
    <t>Posto:</t>
  </si>
  <si>
    <t>ATRIBUTOS</t>
  </si>
  <si>
    <t>Força:</t>
  </si>
  <si>
    <t>Inteligência:</t>
  </si>
  <si>
    <t>Destreza:</t>
  </si>
  <si>
    <t>Vigor:</t>
  </si>
  <si>
    <t>Resistência:</t>
  </si>
  <si>
    <t>ARTES</t>
  </si>
  <si>
    <t>Zanjutsu:</t>
  </si>
  <si>
    <t>Hakuda:</t>
  </si>
  <si>
    <t>Kidou:</t>
  </si>
  <si>
    <t>Hohou:</t>
  </si>
  <si>
    <t>STATUS</t>
  </si>
  <si>
    <t>Atual:</t>
  </si>
  <si>
    <t>PERÍCIAS</t>
  </si>
  <si>
    <t>Absorção Espiritual:</t>
  </si>
  <si>
    <t>Percepção:</t>
  </si>
  <si>
    <t>Reflexo:</t>
  </si>
  <si>
    <t>Vestuário:</t>
  </si>
  <si>
    <t>Físico:</t>
  </si>
  <si>
    <t>Psicológico:</t>
  </si>
  <si>
    <t>ANOTAÇÕES</t>
  </si>
  <si>
    <t>DESCRIÇÕES</t>
  </si>
  <si>
    <t>Ofensivo</t>
  </si>
  <si>
    <t>Defensivo</t>
  </si>
  <si>
    <t>Man. Elemental:</t>
  </si>
  <si>
    <t>PV's Máx:</t>
  </si>
  <si>
    <t>PE's Máx:</t>
  </si>
  <si>
    <t>Máximo:</t>
  </si>
  <si>
    <t>REIATSU</t>
  </si>
  <si>
    <t>Custo</t>
  </si>
  <si>
    <t>Cor:</t>
  </si>
  <si>
    <t>Nível:</t>
  </si>
  <si>
    <t>INVENTÁRIO</t>
  </si>
  <si>
    <t>Ítem</t>
  </si>
  <si>
    <t>ZANPAKUTOU</t>
  </si>
  <si>
    <t>Dano</t>
  </si>
  <si>
    <t>SHIKAI</t>
  </si>
  <si>
    <t>Efeito [+]:</t>
  </si>
  <si>
    <t>Efeito [-]:</t>
  </si>
  <si>
    <t>TÉCNICAS</t>
  </si>
  <si>
    <t>01ª:</t>
  </si>
  <si>
    <t>02ª:</t>
  </si>
  <si>
    <t>03ª:</t>
  </si>
  <si>
    <t>04ª:</t>
  </si>
  <si>
    <t>Nome</t>
  </si>
  <si>
    <t>Descrição</t>
  </si>
  <si>
    <t>Forma:</t>
  </si>
  <si>
    <t>Dano:</t>
  </si>
  <si>
    <t>EXP:</t>
  </si>
  <si>
    <t>Custo:</t>
  </si>
  <si>
    <t>EXP [+]:</t>
  </si>
  <si>
    <t>EXP [-]:</t>
  </si>
  <si>
    <t>BANKAI</t>
  </si>
  <si>
    <t>Mundo:</t>
  </si>
  <si>
    <t>KIDOU</t>
  </si>
  <si>
    <t>Tipo</t>
  </si>
  <si>
    <t>ESTILO DE LUTA</t>
  </si>
  <si>
    <t>Descrição:</t>
  </si>
  <si>
    <t>Cálculo:</t>
  </si>
  <si>
    <t>Técnica:</t>
  </si>
  <si>
    <t>QUEBRA DE LIMITE</t>
  </si>
  <si>
    <t>Status</t>
  </si>
  <si>
    <t>Água</t>
  </si>
  <si>
    <t>Animal</t>
  </si>
  <si>
    <t>Areia</t>
  </si>
  <si>
    <t>Cristal</t>
  </si>
  <si>
    <t>Eletricidade</t>
  </si>
  <si>
    <t>Fogo</t>
  </si>
  <si>
    <t>Gelo</t>
  </si>
  <si>
    <t>Lava</t>
  </si>
  <si>
    <t>Luz</t>
  </si>
  <si>
    <t>Mente</t>
  </si>
  <si>
    <t>Metal</t>
  </si>
  <si>
    <t>Multielemental</t>
  </si>
  <si>
    <t>Neutro</t>
  </si>
  <si>
    <t>Som</t>
  </si>
  <si>
    <t>Pedra</t>
  </si>
  <si>
    <t>Trevas</t>
  </si>
  <si>
    <t>Vapor</t>
  </si>
  <si>
    <t>Vegetal</t>
  </si>
  <si>
    <t>Veneno</t>
  </si>
  <si>
    <t>Vento</t>
  </si>
  <si>
    <t/>
  </si>
  <si>
    <t>Amarelo</t>
  </si>
  <si>
    <t>FOR+1</t>
  </si>
  <si>
    <t>Azul</t>
  </si>
  <si>
    <t>DES+1</t>
  </si>
  <si>
    <t>Azul marinho</t>
  </si>
  <si>
    <t>RES+1</t>
  </si>
  <si>
    <t>Bordô</t>
  </si>
  <si>
    <t>INT+1</t>
  </si>
  <si>
    <t>Branco</t>
  </si>
  <si>
    <t>Bronze</t>
  </si>
  <si>
    <t>VIG+1</t>
  </si>
  <si>
    <t>Carmesim</t>
  </si>
  <si>
    <t>Ciano</t>
  </si>
  <si>
    <t>Cinza</t>
  </si>
  <si>
    <t>Cobre</t>
  </si>
  <si>
    <t>Coral</t>
  </si>
  <si>
    <t>Cor-de-rosa</t>
  </si>
  <si>
    <t>Dourado</t>
  </si>
  <si>
    <t>Incolor</t>
  </si>
  <si>
    <t>Índigo</t>
  </si>
  <si>
    <t>Laranja</t>
  </si>
  <si>
    <t>Lilás</t>
  </si>
  <si>
    <t>Magenta</t>
  </si>
  <si>
    <t>Marfim</t>
  </si>
  <si>
    <t>Marrom</t>
  </si>
  <si>
    <t>Multicolorido</t>
  </si>
  <si>
    <t>Ocre</t>
  </si>
  <si>
    <t>Pêssego</t>
  </si>
  <si>
    <t>Prateado</t>
  </si>
  <si>
    <t>Preto</t>
  </si>
  <si>
    <t>Roxo</t>
  </si>
  <si>
    <t>Verde</t>
  </si>
  <si>
    <t>Verde-água</t>
  </si>
  <si>
    <t>Vermelho</t>
  </si>
  <si>
    <t>Violeta</t>
  </si>
  <si>
    <t>REF+1</t>
  </si>
  <si>
    <t>HOH+1</t>
  </si>
  <si>
    <t>Algoz</t>
  </si>
  <si>
    <t>KID+1</t>
  </si>
  <si>
    <t>PER+1</t>
  </si>
  <si>
    <t>HAK+1</t>
  </si>
  <si>
    <t>Assassino</t>
  </si>
  <si>
    <t>Atleta</t>
  </si>
  <si>
    <t>Bárbaro</t>
  </si>
  <si>
    <t>Bardo</t>
  </si>
  <si>
    <t>Berserker</t>
  </si>
  <si>
    <t>ZAN+1</t>
  </si>
  <si>
    <t>Caçador</t>
  </si>
  <si>
    <t>Cavaleiro</t>
  </si>
  <si>
    <t>ABS+1</t>
  </si>
  <si>
    <t>Cientista</t>
  </si>
  <si>
    <t>Clérigo</t>
  </si>
  <si>
    <t>Druida</t>
  </si>
  <si>
    <t>MAN+1</t>
  </si>
  <si>
    <t>Feiticeiro</t>
  </si>
  <si>
    <t>Ferreiro</t>
  </si>
  <si>
    <t>Guarda</t>
  </si>
  <si>
    <t>Guerreiro</t>
  </si>
  <si>
    <t>Mago</t>
  </si>
  <si>
    <t>Ninja</t>
  </si>
  <si>
    <t>Paladino</t>
  </si>
  <si>
    <t>Samurai</t>
  </si>
  <si>
    <t>Soldado</t>
  </si>
  <si>
    <t>Titã</t>
  </si>
  <si>
    <t>01ª Divisão</t>
  </si>
  <si>
    <t>02ª Divisão</t>
  </si>
  <si>
    <t>03ª Divisão</t>
  </si>
  <si>
    <t>04ª Divisão</t>
  </si>
  <si>
    <t>05ª Divisão</t>
  </si>
  <si>
    <t>06ª Divisão</t>
  </si>
  <si>
    <t>07ª Divisão</t>
  </si>
  <si>
    <t>09ª Divisão</t>
  </si>
  <si>
    <t>10ª Divisão</t>
  </si>
  <si>
    <t>11ª Divisão</t>
  </si>
  <si>
    <t>12ª Divisão</t>
  </si>
  <si>
    <t>13ª Divisão</t>
  </si>
  <si>
    <t>Masculino</t>
  </si>
  <si>
    <t>Feminino</t>
  </si>
  <si>
    <t>Soutaichou</t>
  </si>
  <si>
    <t>Fukutaichou</t>
  </si>
  <si>
    <t>San Saki</t>
  </si>
  <si>
    <t>Saki</t>
  </si>
  <si>
    <t>REI+1</t>
  </si>
  <si>
    <t>ON</t>
  </si>
  <si>
    <t>OFF</t>
  </si>
  <si>
    <t>Usuário</t>
  </si>
  <si>
    <t>Kurohitsugi</t>
  </si>
  <si>
    <t>Shou</t>
  </si>
  <si>
    <t>Golpe Explosivo</t>
  </si>
  <si>
    <t>Byakurai</t>
  </si>
  <si>
    <t>Golpe Perfurante</t>
  </si>
  <si>
    <t>Tsuzuri Raiden</t>
  </si>
  <si>
    <t>Descarga de Energia</t>
  </si>
  <si>
    <t>Shakkahou</t>
  </si>
  <si>
    <t>Ouka Sen</t>
  </si>
  <si>
    <t>Soukatsui</t>
  </si>
  <si>
    <t>Haien</t>
  </si>
  <si>
    <t>Tenran</t>
  </si>
  <si>
    <t>Golpe Atordoante</t>
  </si>
  <si>
    <t>Raikouhou</t>
  </si>
  <si>
    <t>Souren Soukatsui</t>
  </si>
  <si>
    <t>Contenção Total + Dano</t>
  </si>
  <si>
    <t>Senjyu Kouten Taihou</t>
  </si>
  <si>
    <t>Ataque Múltiplo</t>
  </si>
  <si>
    <t>Ittou Kasou</t>
  </si>
  <si>
    <t>Sai</t>
  </si>
  <si>
    <t>Contenção de Membros Superiores</t>
  </si>
  <si>
    <t>Hainawa</t>
  </si>
  <si>
    <t>Contenção Seletiva</t>
  </si>
  <si>
    <t>Seki</t>
  </si>
  <si>
    <t>Repulsão de Golpes</t>
  </si>
  <si>
    <t>Geki</t>
  </si>
  <si>
    <t>Contenção Total</t>
  </si>
  <si>
    <t>Hõrin</t>
  </si>
  <si>
    <t>Contenção Parcial</t>
  </si>
  <si>
    <t>Fushibi</t>
  </si>
  <si>
    <t>Combinação de Energia</t>
  </si>
  <si>
    <t>Tsuchihaaku</t>
  </si>
  <si>
    <t>Contenção de Membros Inferiores</t>
  </si>
  <si>
    <t>Sekienton</t>
  </si>
  <si>
    <t>Ocultação em Grupo</t>
  </si>
  <si>
    <t>Kyakko</t>
  </si>
  <si>
    <t>Ocultação Individual</t>
  </si>
  <si>
    <t>Shitotsu Sansen</t>
  </si>
  <si>
    <t>Tsuriboshi</t>
  </si>
  <si>
    <t>Suporte</t>
  </si>
  <si>
    <t>Enkousen</t>
  </si>
  <si>
    <t>Bloqueio Mágico</t>
  </si>
  <si>
    <t>Kakushitsuijaku</t>
  </si>
  <si>
    <t>Rastreamento</t>
  </si>
  <si>
    <t>Rikujou Kourou</t>
  </si>
  <si>
    <t>Hyappo Rankan</t>
  </si>
  <si>
    <t>Contenção Parcial + Golpe Perfurante</t>
  </si>
  <si>
    <t>Sajou Sabaku</t>
  </si>
  <si>
    <t>Tozansho</t>
  </si>
  <si>
    <t>Barreira Mágica + Contenção Parcial</t>
  </si>
  <si>
    <t>Gochuu Tekkan</t>
  </si>
  <si>
    <t>Tenteikuura</t>
  </si>
  <si>
    <t>Comunicação</t>
  </si>
  <si>
    <t>Kuyou Shibari</t>
  </si>
  <si>
    <t>Dankuu</t>
  </si>
  <si>
    <t>Barreira Mágica</t>
  </si>
  <si>
    <t>Bankin</t>
  </si>
  <si>
    <t>Bankin Taihou</t>
  </si>
  <si>
    <t>Kin</t>
  </si>
  <si>
    <t>Bala</t>
  </si>
  <si>
    <t>Disparo Sônico</t>
  </si>
  <si>
    <t>Cero</t>
  </si>
  <si>
    <t>Garganta</t>
  </si>
  <si>
    <t>Transporte</t>
  </si>
  <si>
    <t>Caja Negación</t>
  </si>
  <si>
    <t>Pesquisa</t>
  </si>
  <si>
    <t>Cero de Reiatsu</t>
  </si>
  <si>
    <t>Gran Rey Cero</t>
  </si>
  <si>
    <t>Negacíon</t>
  </si>
  <si>
    <t>Barreira Mágica + Transporte</t>
  </si>
  <si>
    <t>Cero Sincrético</t>
  </si>
  <si>
    <t>Cero Oscuras</t>
  </si>
  <si>
    <t>Hierro</t>
  </si>
  <si>
    <t>Neutralização de Dano</t>
  </si>
  <si>
    <t>Suzushii</t>
  </si>
  <si>
    <t>Reconstituição Espiritual</t>
  </si>
  <si>
    <t>Keikatsu</t>
  </si>
  <si>
    <t>Cura</t>
  </si>
  <si>
    <t>Kongoubaku</t>
  </si>
  <si>
    <t>Ryuubi no Joumon</t>
  </si>
  <si>
    <t>Barreira Mágica + Início de Contenção</t>
  </si>
  <si>
    <t>Kokou no Joumon</t>
  </si>
  <si>
    <t>Kigai no Joumon</t>
  </si>
  <si>
    <t>Hoyoku no Joumon</t>
  </si>
  <si>
    <t>Hachigyousousai</t>
  </si>
  <si>
    <t>Barreira de Ocultação</t>
  </si>
  <si>
    <t>Hakufuku</t>
  </si>
  <si>
    <t>Kyoumon</t>
  </si>
  <si>
    <t>Keikaigi</t>
  </si>
  <si>
    <t>Millon Escudo</t>
  </si>
  <si>
    <t>Gakirekkou</t>
  </si>
  <si>
    <t>Goyougai</t>
  </si>
  <si>
    <t>Hako Okuri</t>
  </si>
  <si>
    <t>Roppou Fuujin</t>
  </si>
  <si>
    <t>Hyougaseiran</t>
  </si>
  <si>
    <t>Contenção Parcial + Dano</t>
  </si>
  <si>
    <t>Sutandingu Obeushon</t>
  </si>
  <si>
    <t>Shijuu Saimon</t>
  </si>
  <si>
    <t>Barreira Mágica + Contenção Máxima</t>
  </si>
  <si>
    <t>Shunkou</t>
  </si>
  <si>
    <t>Fuusatsu Kakei</t>
  </si>
  <si>
    <t>Selamento de Poder</t>
  </si>
  <si>
    <t>Shisou Kekkai</t>
  </si>
  <si>
    <t>Contenção Total + Selamento de Poder</t>
  </si>
  <si>
    <t>Essência</t>
  </si>
  <si>
    <t>E. Luta</t>
  </si>
  <si>
    <t>Hab</t>
  </si>
  <si>
    <t>QL</t>
  </si>
  <si>
    <t>Ress</t>
  </si>
  <si>
    <t>Inventário</t>
  </si>
  <si>
    <t>QL4</t>
  </si>
  <si>
    <t>QL5</t>
  </si>
  <si>
    <t>FOR</t>
  </si>
  <si>
    <t>INT</t>
  </si>
  <si>
    <t>DES</t>
  </si>
  <si>
    <t>VIG</t>
  </si>
  <si>
    <t>RES</t>
  </si>
  <si>
    <t>ZAN</t>
  </si>
  <si>
    <t>HAK</t>
  </si>
  <si>
    <t>HOH</t>
  </si>
  <si>
    <t>KID</t>
  </si>
  <si>
    <t>PER</t>
  </si>
  <si>
    <t>ABS</t>
  </si>
  <si>
    <t>REF</t>
  </si>
  <si>
    <t>MAN</t>
  </si>
  <si>
    <t>Cor</t>
  </si>
  <si>
    <t>Sansaki</t>
  </si>
  <si>
    <t>Reiatsu +1</t>
  </si>
  <si>
    <t>1º</t>
  </si>
  <si>
    <t>2º</t>
  </si>
  <si>
    <t>3º</t>
  </si>
  <si>
    <t>4º</t>
  </si>
  <si>
    <t>Colapso</t>
  </si>
  <si>
    <t>Técnicas de Bankai</t>
  </si>
  <si>
    <t>Técnicas de Shikai</t>
  </si>
  <si>
    <t>Classe</t>
  </si>
  <si>
    <t>Patente</t>
  </si>
  <si>
    <t>Técnica</t>
  </si>
  <si>
    <t>Nível Zan.</t>
  </si>
  <si>
    <t>Aliança</t>
  </si>
  <si>
    <t>Armadura</t>
  </si>
  <si>
    <t>Aumentar Peso</t>
  </si>
  <si>
    <t>Auxílio de Campo</t>
  </si>
  <si>
    <t>Boneco de Voodoo</t>
  </si>
  <si>
    <t>Carregar</t>
  </si>
  <si>
    <t>Clones</t>
  </si>
  <si>
    <t>Concentração</t>
  </si>
  <si>
    <t>Confusão Mental</t>
  </si>
  <si>
    <t>Constrição</t>
  </si>
  <si>
    <t>Cúpula Protetora</t>
  </si>
  <si>
    <t>Dano Contínuo</t>
  </si>
  <si>
    <t>Dano Progressivo</t>
  </si>
  <si>
    <t>Desespero</t>
  </si>
  <si>
    <t>Divisão</t>
  </si>
  <si>
    <t>Dreno Espiritual</t>
  </si>
  <si>
    <t>Dreno Vital</t>
  </si>
  <si>
    <t>Escudo</t>
  </si>
  <si>
    <t>Espelho</t>
  </si>
  <si>
    <t>Espírito Protetor</t>
  </si>
  <si>
    <t>Evolução</t>
  </si>
  <si>
    <t>Experiência</t>
  </si>
  <si>
    <t>Explosão</t>
  </si>
  <si>
    <t>Extensão Temporal</t>
  </si>
  <si>
    <t>Extinção</t>
  </si>
  <si>
    <t>Fio Surpresa</t>
  </si>
  <si>
    <t>Fortalecimento</t>
  </si>
  <si>
    <t>Fração de Segundo</t>
  </si>
  <si>
    <t>Fragmentária</t>
  </si>
  <si>
    <t>Fusão</t>
  </si>
  <si>
    <t>Golpe Curativo</t>
  </si>
  <si>
    <t>Golpe Pesado</t>
  </si>
  <si>
    <t>Ignora Diferença de Dano</t>
  </si>
  <si>
    <t>Indestrutível</t>
  </si>
  <si>
    <t>Intimidação</t>
  </si>
  <si>
    <t>Inutilizar Permanentemente</t>
  </si>
  <si>
    <t>Inutilizar Temporariamente</t>
  </si>
  <si>
    <t>Inversão</t>
  </si>
  <si>
    <t>Invocação</t>
  </si>
  <si>
    <t>Liberar Atacando</t>
  </si>
  <si>
    <t>Longo Alcance</t>
  </si>
  <si>
    <t>Mimetismo</t>
  </si>
  <si>
    <t>Morte em Dois Toques</t>
  </si>
  <si>
    <t>Mudança de Cenário</t>
  </si>
  <si>
    <t>Nulificação</t>
  </si>
  <si>
    <t>Pacto de Sangue</t>
  </si>
  <si>
    <t>Paralisia</t>
  </si>
  <si>
    <t>Prisão</t>
  </si>
  <si>
    <t>Quebra de Dano</t>
  </si>
  <si>
    <t>Receptora</t>
  </si>
  <si>
    <t>Recuperação Espiritual</t>
  </si>
  <si>
    <t>Recuperação Vital</t>
  </si>
  <si>
    <t>Refletir Absorção</t>
  </si>
  <si>
    <t>Reflexos Amplificados</t>
  </si>
  <si>
    <t>Regeneração Instantânea</t>
  </si>
  <si>
    <t>Rejeição</t>
  </si>
  <si>
    <t>Repelente Espiritual</t>
  </si>
  <si>
    <t>Ressonância Física</t>
  </si>
  <si>
    <t>Ressonância Mágica</t>
  </si>
  <si>
    <t>Sensibilidade</t>
  </si>
  <si>
    <t>Sonífero</t>
  </si>
  <si>
    <t>Sumiço</t>
  </si>
  <si>
    <t>Telecinese</t>
  </si>
  <si>
    <t>Transmorfo</t>
  </si>
  <si>
    <t>Vingativa</t>
  </si>
  <si>
    <t>Shikai</t>
  </si>
  <si>
    <t>Bankai</t>
  </si>
  <si>
    <t>x</t>
  </si>
  <si>
    <t>Apenas Combate</t>
  </si>
  <si>
    <t>Apenas Suporte</t>
  </si>
  <si>
    <t>Apresentação</t>
  </si>
  <si>
    <t>Autodestrutivo 1</t>
  </si>
  <si>
    <t>Autodestrutivo 2</t>
  </si>
  <si>
    <t>Autodestrutivo 3</t>
  </si>
  <si>
    <t>Azar</t>
  </si>
  <si>
    <t>Calibrar</t>
  </si>
  <si>
    <t>Código de Honra 1</t>
  </si>
  <si>
    <t>Código de Honra 2</t>
  </si>
  <si>
    <t>Código de Honra 3</t>
  </si>
  <si>
    <t>Confundir Movimentos</t>
  </si>
  <si>
    <t>Consciência Pesada</t>
  </si>
  <si>
    <t>Debilitação</t>
  </si>
  <si>
    <t>Desconexão</t>
  </si>
  <si>
    <t>Descontrolada</t>
  </si>
  <si>
    <t>Distração</t>
  </si>
  <si>
    <t>Duas Mãos</t>
  </si>
  <si>
    <t>Enfraquecimento</t>
  </si>
  <si>
    <t>Espalhafatoso</t>
  </si>
  <si>
    <t>Exaustão</t>
  </si>
  <si>
    <t>Exigente</t>
  </si>
  <si>
    <t>Fraqueza 1</t>
  </si>
  <si>
    <t>Fraqueza 2</t>
  </si>
  <si>
    <t>Fraqueza 3</t>
  </si>
  <si>
    <t>Gigantesca</t>
  </si>
  <si>
    <t>Golpe Arriscado</t>
  </si>
  <si>
    <t>Imprevisível</t>
  </si>
  <si>
    <t>Imprudente</t>
  </si>
  <si>
    <t>Imutável</t>
  </si>
  <si>
    <t>Insanidade</t>
  </si>
  <si>
    <t>Intervalo Ruim</t>
  </si>
  <si>
    <t>Lentidão</t>
  </si>
  <si>
    <t>Minúscula</t>
  </si>
  <si>
    <t>Não-nociva</t>
  </si>
  <si>
    <t>Orgulhosa 1</t>
  </si>
  <si>
    <t>Orgulhosa 2</t>
  </si>
  <si>
    <t>Orgulhosa 3</t>
  </si>
  <si>
    <t>Orgulhosa 4</t>
  </si>
  <si>
    <t>Preguiçosa</t>
  </si>
  <si>
    <t>Queda de Produção</t>
  </si>
  <si>
    <t>Recarga</t>
  </si>
  <si>
    <t>Redução Temporal</t>
  </si>
  <si>
    <t>Sem Cabo</t>
  </si>
  <si>
    <t>Sem Protetor de Mão</t>
  </si>
  <si>
    <t>Sentimentalismo Extremo</t>
  </si>
  <si>
    <t>Simples</t>
  </si>
  <si>
    <t>Tributo 1</t>
  </si>
  <si>
    <t>Tributo 2</t>
  </si>
  <si>
    <t>Tributo 3</t>
  </si>
  <si>
    <t>Uso Único</t>
  </si>
  <si>
    <t>Vergonha</t>
  </si>
  <si>
    <t>Vínculo</t>
  </si>
  <si>
    <t xml:space="preserve">A Zanpakutou é incapaz de causar danos. </t>
  </si>
  <si>
    <t>Orgulhosa Extremista</t>
  </si>
  <si>
    <t>+</t>
  </si>
  <si>
    <t>-</t>
  </si>
  <si>
    <t>PV's Máximos</t>
  </si>
  <si>
    <t>PE's Máximos</t>
  </si>
  <si>
    <t>Essência de Zanpakutou</t>
  </si>
  <si>
    <t>[+]</t>
  </si>
  <si>
    <t>[-]</t>
  </si>
  <si>
    <t>Gastos</t>
  </si>
  <si>
    <t>Perdidos</t>
  </si>
  <si>
    <t>Curados</t>
  </si>
  <si>
    <t>PV's Finais</t>
  </si>
  <si>
    <t>PE's Finais</t>
  </si>
  <si>
    <t>Testes de Fadiga Por Luta</t>
  </si>
  <si>
    <t>Testes de Fadiga Por Turno</t>
  </si>
  <si>
    <t>5º</t>
  </si>
  <si>
    <t>Porcentagem de Dano</t>
  </si>
  <si>
    <t>Testes de Desmaio</t>
  </si>
  <si>
    <t>Testes de Morte</t>
  </si>
  <si>
    <t>//////////////////////////////////////////////////////////////////////////////////////////////////////////////////////////////////////////////////////////////////////////////////////////////////////////////////////////////////////////////////////////////</t>
  </si>
  <si>
    <t>Aptidão:</t>
  </si>
  <si>
    <t>Física Corporal</t>
  </si>
  <si>
    <t>Física Sensorial</t>
  </si>
  <si>
    <t>Mágica Elemental</t>
  </si>
  <si>
    <t>Mágica Espiritual</t>
  </si>
  <si>
    <t>08ª Divisão</t>
  </si>
  <si>
    <t>FORMA EXTRA</t>
  </si>
  <si>
    <t>Alcance:</t>
  </si>
  <si>
    <t>Alcance</t>
  </si>
  <si>
    <t>Deslocamento Livre:</t>
  </si>
  <si>
    <t>Deslocamento com Teste:</t>
  </si>
  <si>
    <t>Golpe Surpresa</t>
  </si>
  <si>
    <t>Dreno de Reiatsu</t>
  </si>
  <si>
    <t>HABILIDADE ESPECIAL</t>
  </si>
  <si>
    <t>Materializar Barreiras</t>
  </si>
  <si>
    <t>Catalisador Mágico</t>
  </si>
  <si>
    <t>Amplificação de Reiatsu</t>
  </si>
  <si>
    <t>Animação de Seres</t>
  </si>
  <si>
    <t>Sempre Liberada</t>
  </si>
  <si>
    <t>Transformação Elemental</t>
  </si>
  <si>
    <t>Expansão</t>
  </si>
  <si>
    <t>Hipnose Absoluta</t>
  </si>
  <si>
    <t>Ignora Bloqueio</t>
  </si>
  <si>
    <t>Pacto Vital</t>
  </si>
  <si>
    <t>Todo o dano infligido no usuário é refletido no oponente, não importando a origem do mesmo.</t>
  </si>
  <si>
    <t>Quebra de Velocidade</t>
  </si>
  <si>
    <t>Shoutenkyu</t>
  </si>
  <si>
    <t>Golpe Explosivo + Contenção Total</t>
  </si>
  <si>
    <t>Jikanteishi</t>
  </si>
  <si>
    <t>Kuukanten'i</t>
  </si>
  <si>
    <t>Transporte Dimensional</t>
  </si>
  <si>
    <t>Hanki</t>
  </si>
  <si>
    <t>Nulificação de Magia</t>
  </si>
  <si>
    <t>Inemuri</t>
  </si>
  <si>
    <t>Tanma Otoshi</t>
  </si>
  <si>
    <t>Shibireyubi</t>
  </si>
  <si>
    <t>Sentan Hakuja</t>
  </si>
  <si>
    <t>El Escudo</t>
  </si>
  <si>
    <t>Juugeki Byakurai</t>
  </si>
  <si>
    <t>Noren Mekuri</t>
  </si>
  <si>
    <t>Nulificação de Ilusão</t>
  </si>
  <si>
    <t>Sonido</t>
  </si>
  <si>
    <t>Aumento de Velocidade</t>
  </si>
  <si>
    <t>Peso Absurdo</t>
  </si>
  <si>
    <t>Não Atordoa</t>
  </si>
  <si>
    <t>Indiscreta</t>
  </si>
  <si>
    <t>Inutilizar Membros</t>
  </si>
  <si>
    <t>Receptor Espiritual</t>
  </si>
  <si>
    <t>N/D</t>
  </si>
  <si>
    <t>Tributo 4</t>
  </si>
  <si>
    <t>Sedenta</t>
  </si>
  <si>
    <t>Arte</t>
  </si>
  <si>
    <t>Fragilidade Extrema</t>
  </si>
  <si>
    <t>Todo o dano infligido no oponente é refletido no usuário, não importando a origem do mesmo.</t>
  </si>
  <si>
    <t>Frágil</t>
  </si>
  <si>
    <t>Suspensão Temporal</t>
  </si>
  <si>
    <t>D/R Kidou</t>
  </si>
  <si>
    <t>Recuperados</t>
  </si>
  <si>
    <t>Parentesco</t>
  </si>
  <si>
    <t>Esposa</t>
  </si>
  <si>
    <t>Marido</t>
  </si>
  <si>
    <t>Namorada</t>
  </si>
  <si>
    <t>Namorado</t>
  </si>
  <si>
    <t>Filho</t>
  </si>
  <si>
    <t>Filha</t>
  </si>
  <si>
    <t>Avô</t>
  </si>
  <si>
    <t>Avó</t>
  </si>
  <si>
    <t>Bisavô</t>
  </si>
  <si>
    <t>Bisavó</t>
  </si>
  <si>
    <t>Tio</t>
  </si>
  <si>
    <t>Tia</t>
  </si>
  <si>
    <t>Sobrinho</t>
  </si>
  <si>
    <t>Sobrinha</t>
  </si>
  <si>
    <t>Sogro</t>
  </si>
  <si>
    <t>Sogra</t>
  </si>
  <si>
    <t>Genro</t>
  </si>
  <si>
    <t>Nora</t>
  </si>
  <si>
    <t>Neto</t>
  </si>
  <si>
    <t>Neta</t>
  </si>
  <si>
    <t>Primo</t>
  </si>
  <si>
    <t>Prima</t>
  </si>
  <si>
    <t>Irmão</t>
  </si>
  <si>
    <t>Pai</t>
  </si>
  <si>
    <t>Mãe</t>
  </si>
  <si>
    <t>Cunhado</t>
  </si>
  <si>
    <t>Cunhada</t>
  </si>
  <si>
    <t>Bisneto</t>
  </si>
  <si>
    <t>Bisneta</t>
  </si>
  <si>
    <t>Bantai</t>
  </si>
  <si>
    <t>Ex Marido</t>
  </si>
  <si>
    <t>Ex Esposa</t>
  </si>
  <si>
    <t>Ex Namorado</t>
  </si>
  <si>
    <t>Ex Namorada</t>
  </si>
  <si>
    <t>Acontecimento</t>
  </si>
  <si>
    <t>Data</t>
  </si>
  <si>
    <t>Teste Obrigatório</t>
  </si>
  <si>
    <t>Bônus e Redutores Temporários</t>
  </si>
  <si>
    <t xml:space="preserve">Testes Status Elemental </t>
  </si>
  <si>
    <t>Teste Obrigatório pelo Status Elemental</t>
  </si>
  <si>
    <t>Dano Físico</t>
  </si>
  <si>
    <t>D/R Reiatsu</t>
  </si>
  <si>
    <t>Dano Selado</t>
  </si>
  <si>
    <t>Nível de Kidou</t>
  </si>
  <si>
    <t>FOR-1</t>
  </si>
  <si>
    <t>INT-1</t>
  </si>
  <si>
    <t>DES-1</t>
  </si>
  <si>
    <t>VIG-1</t>
  </si>
  <si>
    <t>RES-1</t>
  </si>
  <si>
    <t>ZAN-1</t>
  </si>
  <si>
    <t>HAK-1</t>
  </si>
  <si>
    <t>HOH-1</t>
  </si>
  <si>
    <t>KID-1</t>
  </si>
  <si>
    <t>PER-1</t>
  </si>
  <si>
    <t>ABS-1</t>
  </si>
  <si>
    <t>REF-1</t>
  </si>
  <si>
    <t>MAN-1</t>
  </si>
  <si>
    <t>REI-1</t>
  </si>
  <si>
    <t>Caluladora Número de Testes</t>
  </si>
  <si>
    <t>SE/Atordoamento:</t>
  </si>
  <si>
    <t>Desmaio:</t>
  </si>
  <si>
    <t>Morte:</t>
  </si>
  <si>
    <t>Dano Recebido:</t>
  </si>
  <si>
    <t>TRAJETÓRIA MILITAR</t>
  </si>
  <si>
    <t>PAINEL HISTÓRICO</t>
  </si>
  <si>
    <t>Tudo que a liberação atinge aumenta de peso. A cada vez em que o oponente for atingido diretamente ou bloquear o golpe da liberação, todos os testes de ataque ou bloqueio dele diminuem em 1. Se a arma dele se chocar com a do usuário, esses ônus só serão válidos enquanto ele permanecer segurando a arma.</t>
  </si>
  <si>
    <t>O usuário deixa de agir para ficar parado potencializando o dano de sua liberação. Após sacrificar uma ação, o dano do usuário sofre um acréscimo de 20%. Caso ele sacrifique duas ações, o dano é acrescido de 50%.</t>
  </si>
  <si>
    <t>Permite o uso do dano de Kidous ofensivos para a amplificação do poder da Zanpakutou. Ao se utilizar um  Kidou que visa causar dano, o dano da liberação será somado a este.</t>
  </si>
  <si>
    <t>O usuário torna-se mais concentrado em suas ações, diminuindo as chances de erro. Os testes do usuário referentes às suas ações são aumentados em 1d4 enquanto a liberação se mantiver ativa.</t>
  </si>
  <si>
    <t>A liberação é capaz de conjurar uma cúpula que proteja o corpo do usuário e/ou de aliados próximos em 360º. Apenas um teste de bloqueio é capaz de realizar diversas defesas no mesmo turno. A cúpula cobre uma área igual ao nível de deslocamento livre. A cúpula tem as propriedades de barreira.</t>
  </si>
  <si>
    <t>A liberação se fortalece à medida que golpeia. O dano aumenta em 20% da liberação a cada golpe acertado, sendo o limite de 80%.</t>
  </si>
  <si>
    <t>Quando a liberação entra em contato com o oponente, absorve sua Reiatsu. 1 nível de Reiatsu é absorvido a cada golpe, sendo possível absorver no máximo 5 níveis . O efeito só mantém absorvido os níveis enquanto a liberação estiver em curso.</t>
  </si>
  <si>
    <t>O usuário só é capaz de mostrar toda sua força quando luta a sério, pois sua Reiatsu precisa ser estimulada para atingir seu ápice. Aumenta-se um nível de Reiatsu a cada turno em que o usuário é golpeado, não podendo ultrapassar 5 bônus.</t>
  </si>
  <si>
    <t>O usuário torna-se capaz de identificar formas e padrões nos golpes inimigos com facilidade. Aumenta-se um nível em Zanjutsu a cada turno, sendo o limite de 5.</t>
  </si>
  <si>
    <t>A liberação faz com que o tempo corra de forma mais lenta para o usuário. O usuário ganha uma ação extra por turno.</t>
  </si>
  <si>
    <t>A liberação passa a possuir vários fios de lâmina, sendo um deles mais afiado que os demais. Rola-se 1d4 a cada golpe; caso o resultado seja 1, o dano do golpe dobra.</t>
  </si>
  <si>
    <t>A liberação torna-se extremamente rígida. Qualquer dano referente à liberação sofre um acréscimo de 40%.</t>
  </si>
  <si>
    <t>A liberação pode se dividir em vários pedaços, que podem ser remontados à vontade do usuário enquanto o dano ainda está reversível. A liberação poderá atacar mais de um oponente com dano integral. O alcance será baseado no deslocamento livre.</t>
  </si>
  <si>
    <t>A liberação pode curar com seus golpes. O usuário poderá escolher quando seu ataque irá causar dano ou irá curar com os golpes da liberação.</t>
  </si>
  <si>
    <t>O ataque é forte a ponto de deixar o oponente zonzo. Rola-se um teste de resistência quando o oponente for golpeado; em caso de falha, ele está atordoado.</t>
  </si>
  <si>
    <t>Possui um orifício, dobra ou camuflagem na liberação que esconda uma lâmina ou algo semelhante que possa atingir o oponente de surpresa quando ele se aproximar. Quando o inimigo bloquear, sofre um ataque extra que possui 50% do dano da liberação. Rolar-se-á um teste de reflexo para oponente, se êxito poderá tentar uma ação defensiva extra contra este golpe.</t>
  </si>
  <si>
    <t>A liberação não se quebra, independentemente do dano que recaia sobre ela. A diferença de dano, quando existir, é aplicada ao usuário normalmente, mas sua liberação não pode ser quebrada.    </t>
  </si>
  <si>
    <t>A liberação toma uma forma assustadora. Rola-se um teste de inteligência com 5 de redutor para o alvo toda vez que o usuário golpear. Em caso de falha, a ação defensiva do alvo é ignorada.</t>
  </si>
  <si>
    <t>A liberação inverte as noções de distância, quantidade e localização na mente do alvo, tornando impossível para ele defender e atacar fisicamente e passando a depender apenas da própria mente. Rolar-se-á um teste de inteligência para cada ação do oponente e, sempre que resultar em falha, a referida ação será ignorada.</t>
  </si>
  <si>
    <t>Invoca uma criatura para combater em conjunto. A criatura em questão compartilhará os mesmos PV's e testes do usuário, mas para seu uso de Zanjutsu, calcular-se-á sempre o dano da liberação.</t>
  </si>
  <si>
    <t>O usuário oferece seu sangue para que a liberação se torne mais forte. O usuário escolhe parte de seus PV's. Estes PV's lhe são imediatamente subtraídos e acrescentados ao dano da liberação. A quantidade escolhida só poderá ser menor do que a quantidade de PV's que o usuário ainda possuir.</t>
  </si>
  <si>
    <t xml:space="preserve">Trava o corpo de quem é atingido, tornando sua movimentação totalmente imprevisível. Ao atingir o primeiro golpe no oponente, rola-se 1d6, a cada golpe acertado o efeito se acumula reduzindo a chance de escapatória, diminui-se um lado no dado, estagnando-se em 1d2 ; sempre que o resultado for 1, o inimigo estará atordoado no turno seguinte. </t>
  </si>
  <si>
    <t>Ao atingir o oponente, faz com que seus golpes fiquem mais fracos. A cada acerto, o dano é decrescido em 10%, sendo o máximo 50%. Todo golpe desferido pelo oponente sofrerá a redução de dano conforme o efeito esteja agindo. Ao se cessa/cancelar a liberação responsável os danos voltaram ao normal.</t>
  </si>
  <si>
    <t xml:space="preserve">A arma do usuário é apenas um suporte para potencializar os golpes físicos do próprio. O dano desarmado do usuário é somado ao dano da liberação quando o teste for de Hakuda. </t>
  </si>
  <si>
    <t>Uma vez liberada, a Shikai não mais se desfará, sendo impossível para o usuário tornar a selá-la. O usuário sempre carregará a Zanpakutou já com a Shikai liberada, não sendo necessário chamá-la na hora de lutar.</t>
  </si>
  <si>
    <t>A liberação torna-se mais receptiva aos spíritrons na atmosfera. O consumo de PE's nas técnicas é reduzido em 50% .</t>
  </si>
  <si>
    <t>Só pode ser liberada em combate. Ao fim da luta, inevitavelmente sela-se.</t>
  </si>
  <si>
    <t>Só pode ser liberada fora de combate. Ao entrar em combate, inevitavelmente sela-se.</t>
  </si>
  <si>
    <t>A Zanpakutou só tem eficácia sobre o inimigo que assistir à liberação. Os efeitos positivos da liberação só podem ser usados contra aqueles que viram o ritual de liberação.</t>
  </si>
  <si>
    <t>Ao golpear o oponente, o usuário também se fere. Sofre 10% de qualquer dano que causar a outrem.</t>
  </si>
  <si>
    <t>Ao golpear o oponente, o usuário também se fere. Sofre 20% de qualquer dano que causar a outrem.</t>
  </si>
  <si>
    <t>Ao golpear o oponente, o usuário também se fere. Sofre 30% de qualquer dano que causar a outrem.</t>
  </si>
  <si>
    <t>O usuário torna-se azarado, passando a ter uma péssima intuição. Quando sair 19 no rolar do dado, também considera-se falha crítica.</t>
  </si>
  <si>
    <t>A Zanpakutou precisa de um tempo até despertar todo o potencial de sua liberação. Ao ser liberada, o dano da Zanpakutou é 20% menor; essa desvantagem vai diminuindo 5% ao turno até estabilizar-se.</t>
  </si>
  <si>
    <t>O usuário considera todos os inimigos  honrados e não gosta de se envolver em lutas, nunca toma a iniciativa de uma luta nem realiza ataques surpresa. Só será possível atacar somente após receber algum dano do oponente após realizar a liberação.</t>
  </si>
  <si>
    <t>O usuário considera uma desonra não dar ao inimigo as mesmas chances de combate. Não ataca oponentes em desvantagem numérica após realizar a liberação.</t>
  </si>
  <si>
    <t>O usuário considera uma desonra atacar oponentes desprotegidos. Sempre que o oponente se encontrar fora de combate, atordoado ou sem ação defensiva, o usuário não poderá atacá-lo após realizar a liberação.</t>
  </si>
  <si>
    <t>O usuário sofre um colapso interno quando é golpeado. Toda vez que receber dano, rolar-se-á um teste de resistência para o usuário. Em caso de falha, ele está atordoado.</t>
  </si>
  <si>
    <t>O usuário começa a ter visões dos inimigos que matou e feriu usando aquela liberação, tendo a concentração perturbada por elas. O usuário terá todos os seus testes diminuídos em 1 durante 1d6 turnos; o dado será rolado assim que a liberação for efetuada.</t>
  </si>
  <si>
    <t>A liberação deixa o usuário extremamente debilitado. Rola-se 1d4 ao final de cada turno; quando o resultado for 1, o usuário estará atordoado.</t>
  </si>
  <si>
    <t>O usuário perderá o controle sobre a Zanpakutou após usá-la repetidamente. O Nível da Zanpakutou do usuário indicará quantos ataques o usuário poderá desferir com a Zanpakutou até que ela saia de controle. Ao sair de controle, ela ataca a esmo, sendo necessário rolar-se um dado com o número de faces igual ao de quantidade de pessoas no campo de batalha (incluindo o próprio usuário) e o alvo será aquele referente ao número resultante. O usuário não poderá chamar sua Zanpakutou de volta nem sequer selá-la após ela sair de controle; ela apenas retornará ao normal quando o usuário for morto, perder a consciência, quando algum dos efeitos ou a falta de PEs forçar o Selamento ou quando a própria Zanpakutou se quebrar.</t>
  </si>
  <si>
    <t>A liberação sofre constantes conflitos após seu uso. Após cada ação feita com a Zanpakutou será rolado 1d4. Se o resultado for um a liberação irá se desfazer.</t>
  </si>
  <si>
    <t>A Zanpakutou nem sempre se dispõe a ajudar o usuário. Atira-se cara ou coroa quando o usuário tentar liberar. Se o resultado for coroa, a liberação simplesmente falha.</t>
  </si>
  <si>
    <t>O usuário perde a atenção com facilidade após liberar a Zanpakutou. Antes de cada ação, rola-se 1d4; sempre que o resultado for 1, o usuário terá ação ignorada.</t>
  </si>
  <si>
    <t>A liberação diminui a resistência do usuário. O dano recebido pelo usuário sofre 20% de acréscimo.</t>
  </si>
  <si>
    <t>Os golpes da Zanpakutou são pouco discretos ou excessivamente elaborados, possibilitando que se aproveite das aberturas que ela cria. Não pode desferir mais de um ataque por turno.</t>
  </si>
  <si>
    <t>É extremamente cansativo para o usuário lutar com a Zanpakutou liberada. O usuário perde a consciência sempre que a liberação for selada/cessada.</t>
  </si>
  <si>
    <t>A Zanpakutou perde praticamente toda a resistência, danificando-se com facilidade mesmo nos golpes mais fracos. Após um número de colisões com outras Zanpakutous igual ao nível da Zanpakutou em questão, independentemente dos danos práticos causados, a Zanpakutou se quebrará.</t>
  </si>
  <si>
    <t>A Zanpakutou prejudica a força física e espiritual do usuário. Quando o usuário ataca ou defende, o dano dele diminui em 10%.</t>
  </si>
  <si>
    <t>A Zanpakutou prejudica a força física e espiritual do  usuário. Quando o usuário ataca ou defende, o dano dele diminui em 20%.</t>
  </si>
  <si>
    <t>A Zanpakutou prejudica a força física e espiritual do usuário. Quando o usuário ataca ou defende , o dano dele diminui em 30%.</t>
  </si>
  <si>
    <t>O usuário avança de guarda aberta para cima do oponente, deixando uma grande brecha. Caso o ataque falhe, o usuário não terá possibilidade de se defender.</t>
  </si>
  <si>
    <t>O usuário não tem como saber previamente que forma tomará sua Zanpakutou após ser liberada. O usuário deve possuir uma lista com duas formas diferentes de sua Zanpakutou. Ao liberar, ele deve arriscar uma delas na sorte. Atira-se cara ou coroa ao liberar e, caso o usuário erre o palpite, não poderá usar os efeitos positivos referentes à liberação.</t>
  </si>
  <si>
    <t>A arma não se modifica na liberação. O dano da liberação permanece sendo igual ao dano de Asauchi.</t>
  </si>
  <si>
    <t>A liberação ou aspecto da mesma possui algo que chama muito a atenção. Ao se utilizar a liberação o usuário é facilmente detectável.</t>
  </si>
  <si>
    <t>O usuário perde o controle sobre si mesmo quando é ferido. Toda vez que o usuário receber dano, ele perderá o controle e será obrigado a atacar uma vez por turno até perder o efeito. Rolar-se-á um dado com lados iguais à quantidade de inimigos e aliados, previamente legendados pelo mestre. O usuário obrigatoriamente atacará quem for identificado pelo dado. A insanidade só terá fim quando ele finalmente conseguir infligir dano em alguém, seja aliado ou inimigo, mas o efeito irá ser reativado toda vez que ele for atingido.</t>
  </si>
  <si>
    <t>O intervalo de tempo entre um golpe e outro da Zanpakutou é bastante ruim, sendo fácil para o inimigo perceber um padrão nos golpes observando esse intervalo. A cada turno em que o usuário utilize a Zanpakutou para atacar, a ação defensiva do oponente aumentará em 1 diante da própria Zanpakutou do usuário, sendo o máximo de aumentos 3.</t>
  </si>
  <si>
    <t>A liberação impede o usuário de utilizar os membros livremente. Todas as ações defensivas do usuário serão reduzidas em 5.</t>
  </si>
  <si>
    <t>Quando liberada, o usuário tem suas condições de combate bastante avariadas. O usuário tem todos os seus testes diminuídos em 5 até o término do dia, sendo reversível com cura após cessar a liberação, a cada cura realizada o usuário recupera +1 em seus testes. Os redutores causados não são acumulativos.</t>
  </si>
  <si>
    <t>A liberação  ou de alguma de suas características atrapalha muito as condições de combate do usuário. O usuário tem todos os seus testes diminuídos em 5 até o fim da liberação .</t>
  </si>
  <si>
    <t>A Zanpakutou escolhe um inimigo e o usuário passa a imitar todos os movimentos dele sem controle sobre sua movimentação. Rola-se um dado cuja quantidade de faces é igual à quantidade de inimigos no campo de batalha, sendo estes previamente listados pelo mestre, para saber qual será o inimigo escolhido. A partir dali, os golpes, alvos e defesas do inimigo serão repetidos pelo usuário.</t>
  </si>
  <si>
    <t>A Zanpakutou torna-se extremamente pequena, de modo que o usuário tem seu alcance prejudicado. O usuário terá o seu alcance reduzido pela metade.</t>
  </si>
  <si>
    <t>A liberação possui o golpe muito leve. A liberação não consegue atordoar o oponente, não importando a potência do golpe.</t>
  </si>
  <si>
    <t>O espírito tem um orgulho que lhe impede de ser usado para combater qualquer inimigo, dando preferência apenas a oponentes mais fortes. Somente será possível liberar quando o inimigo tiver mais PP's que o usuário.</t>
  </si>
  <si>
    <t>O espírito tem um orgulho que faz com que sempre subestime o oponente, julgando desnecessário defender-se dele. Não será possível realizar ações defensivas com a Zanpakutou enquanto ela estiver liberada.</t>
  </si>
  <si>
    <t>O espírito da Zanpakutou nem sempre está com disposição para lutar. A cada turno, rola-se 1d4; quando o resultado for 1, todas as ações neste turno serão calculadas com base no dano de Asauchi.</t>
  </si>
  <si>
    <t>Os golpes do usuário ficam mais fracos conforme ele golpeia. A cada golpe desferido pela Zanpakutou, o dano é reduzido em 5%, sendo o limite da redução igual ao dano de Asauchi.</t>
  </si>
  <si>
    <t>A reutilização da técnica exige que o usuário se concentre para repor a energia utilizada na mesma. Após usar a técnica uma vez, é necessário sacrificar uma ação para usá-la novamente.</t>
  </si>
  <si>
    <t>A liberação faz com que o tempo corra de forma mais rápida para o usuário. O usuário perde uma ação por turno.</t>
  </si>
  <si>
    <t>A Zanpakutou não possui empunhadura, tendo o usuário de segurar a mesma pela própria lâmina. Toda diferença de dano gerada por bloqueio de Zanjutsu é aumentada em 25%.</t>
  </si>
  <si>
    <t>Não há um protetor separando a empunhadura da lâmina, de modo que, caso a mão do usuário deslize pela arma, irá se cortar. Quando houver diferença de dano o usuário, este sofrerá 50% do dano da liberação.</t>
  </si>
  <si>
    <t>As técnicas da Zanpakutou não são fortes, sendo apenas suas formas e/ou efeitos diferentes dos golpes normais. As técnicas possuem o mesmo dano da liberação.</t>
  </si>
  <si>
    <t>A liberação é apenas uma via para utilizar suas técnicas. A liberação é incapaz de utilizar golpes normais, apenas consegue atacar com técnicas.</t>
  </si>
  <si>
    <t>A Zanpakutou exige um pagamento pela sua permanência no mundo exterior nesta forma. Paga-se a quantidade de PEs descritos na liberação uma vez a cada turno até que a Zanpakutou sele-se novamente.</t>
  </si>
  <si>
    <t>A Zanpakutou exige um pagamento pela sua permanência no mundo exterior nesta forma. Paga-se uma quantidade de PV's igual ao custo da liberação em PE's uma vez a cada turno até que a Zanpakutou sele-se novamente.</t>
  </si>
  <si>
    <t>A Zanpakutou exige pagamento para ser chamada à sua forma exterior. O usuário perde 10% de seus PV's máximos ao liberar a Zanpakutou.</t>
  </si>
  <si>
    <t>A Zanpakutou exige pagamento para se manter na sua forma exterior. O usuário perde 10% de seus PV's máximos por turno.</t>
  </si>
  <si>
    <t>PATENTE</t>
  </si>
  <si>
    <t>APTIDÃO</t>
  </si>
  <si>
    <t>CLASSES</t>
  </si>
  <si>
    <t>CORES DE REIATSU</t>
  </si>
  <si>
    <t>STATUS ELEMENTAL</t>
  </si>
  <si>
    <t>RELAÇÕES FAMILIARES</t>
  </si>
  <si>
    <t>Básico</t>
  </si>
  <si>
    <t>Avançado</t>
  </si>
  <si>
    <t>Posto</t>
  </si>
  <si>
    <t>Irmã</t>
  </si>
  <si>
    <t>A liberação possui características que atrapalham muito as condições de combate do inimigo. O oponente tem todos os seus testes diminuídos em 5 até o fim da liberação responsável pela inutilização. A raio de alcance do efeito é igual a quantidade em metros do alcance da Zanpakutou.</t>
  </si>
  <si>
    <t>Putrefação</t>
  </si>
  <si>
    <t>Voo</t>
  </si>
  <si>
    <t>CONHECIMENTO</t>
  </si>
  <si>
    <t>Peculiaridades</t>
  </si>
  <si>
    <t>Dimensão Paralela</t>
  </si>
  <si>
    <t>Radar</t>
  </si>
  <si>
    <t>Rigidez</t>
  </si>
  <si>
    <t>Hipoalgia</t>
  </si>
  <si>
    <t>O usuário não sente muita dor, independente do dano que receba e da gravidade do ferimento. Ignora qualquer tipo de atordoamento (inclusive Status Elemental).</t>
  </si>
  <si>
    <t>Hipoalgia Extrema</t>
  </si>
  <si>
    <t>O usuário não sente dor, independente do dano que receba e da gravidade do ferimento. Todos os testes referentes à perda de consciência (Desmaio, Status Elemental e Atordoamento) serão ignorados, ou seja, o usuário só vai a teste de morte.</t>
  </si>
  <si>
    <t>Ventríloquo</t>
  </si>
  <si>
    <t>Premonição</t>
  </si>
  <si>
    <t>Reconstituição</t>
  </si>
  <si>
    <t>Bomba Relógio</t>
  </si>
  <si>
    <t>Reiatsu Fortalecedora</t>
  </si>
  <si>
    <t>Ao usar a liberação, o usuário, por meio de sua reiatsu que transborda, contagia todos os seus aliados ao redor, dando uma bonificação de +2 de êxito para em todos os testes referentes a ataques; é como se a reiatsu do usuário ricocheteasse em seus companheiros, transmitindo-lhes esse tipo de força.</t>
  </si>
  <si>
    <t>Ressurreição</t>
  </si>
  <si>
    <t>Ao sacrificar-se uma ação, a liberação é capaz de reunir energia espalhada durante uma luta para amplificar sua força espiritual. A cada ação sacrificada, durante uma luta, um nível de Reiatsu será aumentado, sendo no máximo 5 níveis amplificados.</t>
  </si>
  <si>
    <t>A liberação é capaz de absorver a energia espiritual do ambiente. Após realizar a liberação, a cada turno, é somado a quantidade de pontos espirituais necessários para a liberação. Ao atingir os PE's Máximos, o efeito perde a validade, até que haja gasto de PE's novamente.</t>
  </si>
  <si>
    <t>O usuário pode criar cópias de si mesmo feitas puramente de spíritrons, mas impossíveis de serem diferenciadas do original. Cada clone custa 10% do preço da liberação e pode-se criar um clone por turno, através de ação passiva, não havendo outra forma de criá-los. Eles não são capazes de infligir dano ou de resistir a golpes, por mais fracos que estes sejam, mas podem confundir o oponente. Quando o usuário for atacado, rola-se um dado cujas faces serão iguais à quantidade de clones mais o usuário e, apenas se o resultado for 1, o oponente encontrará o original. Quando o usuário for realizar um ataque, no qual deseje usar seus clones, rola-se um dado com o número de faces igual à quantidade de clones com que ele deseja avançar ao mesmo tempo; caso o resultado seja diferente de 1, ações defensivas do oponente serão ignoradas.</t>
  </si>
  <si>
    <t>Continua causando danos ao oponente atingido, mesmo depois de desfeito o contato do primeiro golpe. O oponente afetado sofre 15% do dano da liberação a cada turno. Dano não acumulativo, cessa ao selar a liberação.</t>
  </si>
  <si>
    <t xml:space="preserve">A liberação é capaz de se dividir em pedaços que podem ser manipulados pela Reiatsu do usuário. Para cada ataque do usuário, rolam-se testes múltiplos de defesa para o oponente; o número de testes é igual ao nível de Zanpakutou dividido por 2. Para cada nível de Zanpakutou 5% é acrescido ao dano total da liberação e é dividido igualmente entre os testes, sendo cada um deles igual à porcentagem adequada a uma parte da quantidade total. </t>
  </si>
  <si>
    <t>Ao liberar, invoca-se uma criatura de mesma quantidade de PV's máximos que o usuário. Ela atira-se na frente dos golpes desferidos ao usuário indefeso, recebendo o dano. Quando o usuário não possuir ação de defesa, rolar-se-á um bloqueio de Zanjutsu independente da vontade dele; em caso de êxito, a criatura receberá o dano . O efeito perde a validade caso os PV's da criatura acabem ou quando a liberação for cessada ou cancelada.</t>
  </si>
  <si>
    <t>A liberação do usuário torna-se gigantesca, conforme a vontade do usuário. O oponente tem sua ação defensiva diminuída em 2 e o usuário tem seu bloqueio aumentado em 2.</t>
  </si>
  <si>
    <t>O impacto gerado pelo golpe causa uma explosão. O alcance da explosão é igual ao Nível de deslocamento livre. Todos os que estiverem nesse raio sofrerão o dano, menos o usuário.</t>
  </si>
  <si>
    <t>O usuário ataca com velocidade absurda. A defesa do oponente é ignorada, a menos que ele obtenha êxito crítico. Para cada golpe utilizado, é necessário pagar-se a quantidade de PE's referentes a liberação.</t>
  </si>
  <si>
    <t xml:space="preserve"> A liberação é capaz sofrer danos superiores aos que é capaz de infligir, sem que isso se reflita no usuário. O usuário não sofre diferença de dano.</t>
  </si>
  <si>
    <t>Quando atingido pelo golpe, o alvo tem suas condições de combate bastante avariadas. O oponente tem todos os seus testes diminuídos em 5 até o término do dia. Os redutores causados não são acumulativos.</t>
  </si>
  <si>
    <t>O usuário já faz sua liberação realizando uma investida ofensiva. Liberação não gasta ação, mas obrigatoriamente far-se-á uma ação ofensiva quando liberar.</t>
  </si>
  <si>
    <t>Espalha seu próprio elemento pelo campo de batalha. A área tomada pelo elemento é igual ao de deslocamento livre. Esse elemento pode atacar múltiplos alvos sem necessidade de teste com dano baseado no dano de Asauchi do usuário. Golpes no campo de batalha que utilizem o mesmo elemento da liberação, terão seus testes aumentados em 2.</t>
  </si>
  <si>
    <t>Enquanto a liberação estiver em curso, é impossível para qualquer um que esteja próximo fugir do raio de alcance dela por esforço próprio e para qualquer um que esteja longe entrar no campo de batalha, sendo o único meio o próprio usuário conceder passagem. A área da prisão é igual a, no máximo, duas vezes o nível de deslocamento livre.</t>
  </si>
  <si>
    <t xml:space="preserve"> A liberação torna o oponente mais lento. A cada golpe desferido contra o oponente, ele sofrerá 1 de redutor em Hohou, sendo o máximo 5.</t>
  </si>
  <si>
    <t>Ignorar Esquiva</t>
  </si>
  <si>
    <t>A liberação é capaz de armazenar o poder em seu interior, somando-os e liberando-os de uma só vez. Para cada ação sacrificada, o usuário pode reunir os danos de aliados originados em uma ação destes. Após reunir todos os danos, o usuário  poderá realizar um ataque cujo dano é igual à soma dos ataques armazenados mais o dano da própria liberação em questão, com o custo de uma técnica.</t>
  </si>
  <si>
    <t>Quando o usuário se encontra exausto, sua liberação restaura suas forças. Sempre que o usuário for a  teste de fadiga rolar-se-á 1d6; sempre que o resultado for 1, seus PE's serão recuperados ao máximo.</t>
  </si>
  <si>
    <t>Quando o usuário se encontra à beira da morte, sua liberação restaura seu corpo ao normal. Sempre que o usuário estiver com PV's inferiores a 20% do Máximo rolar-se-á 1d6; Sempre que o resultado for 1, seus PV's serão recuperados ao máximo.</t>
  </si>
  <si>
    <t>A liberação absorve os danos recebidos ou bloqueados, sejam os ataques diretos ao usuário ou à sua liberação. Poderá acumular esses danos por quantos turnos desejar e depois liberá-los de uma só vez, com o custo de uma técnica. Os danos que a liberação armazenará serão infligidos ao usuário normalmente.</t>
  </si>
  <si>
    <t>O usuário realiza uma reversão temporal nos ferimentos do alvo, de modo a restaurá-lo totalmente ao que era anteriormente. O usuário é capaz de reatar membros decepados e até de retirar os redutores postos sobre o alvo, sendo o valor da cura igual ao dano da liberação e o custo igual ao necessário para a liberação, a cada uso.</t>
  </si>
  <si>
    <t xml:space="preserve">A liberação do usuário é apenas um suporte para utilizar os golpes mágicos do próprio. Os Kidous usados pelo usuário sofrem a amplificação por parte da liberação, adquirindo as características conforme a liberação. O dano da liberação e efeitos são adicionados ao Kidou referente, quando possível. O nível de Kidou que pode ser utilizado é igual ao nível de Zanpakutou vezes 5. </t>
  </si>
  <si>
    <t>A liberação aproveita-se do dano causado para ficar mais forte. 10% de todo dano causado é absorvido pela Zanpakutou, tornando seu dano ainda mais forte.</t>
  </si>
  <si>
    <t>O usuário terá o controle de uma ação de alguém que estiver no alcance de até 3x o seu deslocamento livre. Rolará teste de Inteligência para quem será dominado pela técnica, em caso de falha, o usuário terá controle de uma ação de quem foi afetado. O afetado não perderá sua ação devido ao controle. Cada controle terá o custo da liberação por uso, e só poderá ser usado uma vez por turno.</t>
  </si>
  <si>
    <t>Faz retroceder a liberação do inimigo e impede que ele venha a liberá-la novamente. Nega e/ou cessa UMA liberação de qualquer tipo, podendo ser usado apenas uma vez ao dia. Após ser negada, a liberação em questão não poderá ser mais usada neste dia.</t>
  </si>
  <si>
    <t>Inconstância</t>
  </si>
  <si>
    <t>O estilo de luta do usuário se torna muito inconstante e imprevisível, não seguindo nenhum padrão. Rolar-se-á teste de reflexo para quem for atacar ou defender algum ataque do usuário, com o intuito de prever o movimento que será feito em seguida.</t>
  </si>
  <si>
    <t>Intensificação</t>
  </si>
  <si>
    <t>Hipermetropia</t>
  </si>
  <si>
    <t>Acrofobia</t>
  </si>
  <si>
    <t>O usuário passa a ter medo de altura, não podendo nunca voar, nem usar ações que saiam do chão.</t>
  </si>
  <si>
    <t>Atração</t>
  </si>
  <si>
    <t>O usuário nunca ataca para causar dano em inimigos do sexo oposto. Sempre que o inimigo for do sexo oposto, a liberação não permitirá que o usuário cause dano algum no oponente.</t>
  </si>
  <si>
    <t>Envelhecimento</t>
  </si>
  <si>
    <t>A liberação faz com que o usuário regenere qualquer parte de seu corpo que foi perdida. Recupera 1 redutor perdido por turno, sem custo de PE e de forma passiva. Se o usuário quiser recuperar mais de 1 redutor por turno, pagará uma ação e o custo da liberação por uso. A Regeneração não tem efeito curativo, ou seja, não cura PV's.</t>
  </si>
  <si>
    <t>Catalisador Físico</t>
  </si>
  <si>
    <t>Permite o uso do dano físico para potencializar os danos da zanpakutou. Ao utilizar golpes de zanjutsu, o usuário drena a sua forma física para sua arma, somando o dano físico para o corrente dano da zanpakutou (asauchi, shikai ou bankai).</t>
  </si>
  <si>
    <t>Contra-Ataque</t>
  </si>
  <si>
    <t>A liberação passa a responder sozinha às investidas dos inimigos. Toda vez que o usuário não possuir direito à ação defensiva ou possuir, mas abster-se de usá-lo, rolar-se-á 1d4; quando o resultado for 1, o usuário desferirá um golpe ao mesmo tempo em que o inimigo golpear, sem que este tenha chance de defesa. O dano maior vence a disputa.</t>
  </si>
  <si>
    <t>Contagem Regressiva 1</t>
  </si>
  <si>
    <t>Contagem Regressiva 2</t>
  </si>
  <si>
    <t>Contagem Regressiva 3</t>
  </si>
  <si>
    <t>A zanpakutou não aguenta ficar liberada por muito tempo. Sela-se, automaticamente, 3 turnos depois de ser liberada.</t>
  </si>
  <si>
    <t>O usuário sente as dores mais intensamente, fazendo com que sua resistência seja diminuída. Qualquer perda de consciência (Morte, Desmaio, Status Elemental e Atordoamento) será efetivada sem teste.</t>
  </si>
  <si>
    <t>Desorientação</t>
  </si>
  <si>
    <t>O usuário perde os sentidos de visão, olfato e audição. Em todas as ações que envolvam o inimigo, o usuário precisa passar por um teste de percepção para ver se consegue sentir a reiatsu do alvo.</t>
  </si>
  <si>
    <t>Assustado</t>
  </si>
  <si>
    <t>Enfermidade</t>
  </si>
  <si>
    <t>A liberação ataca o corpo físico do usuário; impede a recuperação de PV’S.</t>
  </si>
  <si>
    <t>Empréstimo</t>
  </si>
  <si>
    <t>Restauração</t>
  </si>
  <si>
    <t>O usuário pode emprestar uma determinada quantidade de reiatsu para o aliado. O usuário pode passar 1 nível de reiatsu por turno, com o custo de uma ação. A quantidade máxima de nível emprestada é de 5. Ao selar a liberação, o usuário e o aliado voltam aos seus níveis normais de reiatsu.</t>
  </si>
  <si>
    <t>O usuário pode usar os próprios pontos de vida e de energia para passar para um aliado. Com o uso de UMA ação, o usuário pode passar 10% de sua vida ou energia para o companheiro.</t>
  </si>
  <si>
    <t>Quando a liberação entra em contato com o oponente, absorve os pontos espirituais do oponente. 20% de todo dano causado pela liberação é descontado dos PE's do alvo e acrescentado aos PE's do usuário. Caso atinja o limite máximo dos PE's Máximos do usuário, a liberação irá atuar como Absorção Espiritual.</t>
  </si>
  <si>
    <t>Cerca o inimigo de todos os lados, deixando-o sem saída. Impossibilita o alvo de esquivar.</t>
  </si>
  <si>
    <t>Kouken</t>
  </si>
  <si>
    <t>Kidoushuu</t>
  </si>
  <si>
    <t>NÃO</t>
  </si>
  <si>
    <t>SIM</t>
  </si>
  <si>
    <t>Dono</t>
  </si>
  <si>
    <t>Indefinido</t>
  </si>
  <si>
    <t>Criador</t>
  </si>
  <si>
    <t>Lendário:</t>
  </si>
  <si>
    <t>Omnistu Kidou</t>
  </si>
  <si>
    <t>Raça:</t>
  </si>
  <si>
    <t>Gikon</t>
  </si>
  <si>
    <t>Hollow</t>
  </si>
  <si>
    <t>Humano</t>
  </si>
  <si>
    <t>Outro</t>
  </si>
  <si>
    <t>Plus</t>
  </si>
  <si>
    <t>Quincy</t>
  </si>
  <si>
    <t>Shinigami</t>
  </si>
  <si>
    <t>Fullbringer</t>
  </si>
  <si>
    <t>Manipulação Elemental:</t>
  </si>
  <si>
    <t>Reflete todos os golpes recebidos para sua origem, não importando o seu tipo. Rola-se um teste de bloqueio para configurar a defesa e outro de Zanjutsu para configurar a devolução do golpe. Caso qualquer um deles falhe, o usuário receberá o dano cheio. Caso os dois dêem certo, o ataque será atirado de volta à origem, sem que o defensor seja afetado por seus danos e efeitos e sem a possibilidade de defesa para aquele que desferiu o ataque.O limite de dano que pode ser refletido é igual ao da liberação vezes três, caso o usuário tente devolver um golpe que exceda a resistência de sua Zanpakutou, ela se quebrará.</t>
  </si>
  <si>
    <t>Divisão -X-</t>
  </si>
  <si>
    <t>A liberação do usuário repele spíritrons. A liberação impede o uso de golpes mágicos e técnicas contra o usuário.</t>
  </si>
  <si>
    <t>O usuário é capaz de tornar-se oculto, sendo impossível para todos vê-lo, ouvi-lo ou sentir seu cheiro, passando a ser detectado apenas por sua Reiatsu. Rola-se percepção toda vez que o inimigo quiser encontrá-lo. Ao atacar o usuário revelará sua posição ao inimigo, necessitando alterar sua localização para ocultar-se novamente.</t>
  </si>
  <si>
    <t>Barreira Mágica + Dano</t>
  </si>
  <si>
    <t>D.Físico:</t>
  </si>
  <si>
    <t>HISTÓRIA DO PERSONAGEM</t>
  </si>
  <si>
    <t>Bônus:</t>
  </si>
  <si>
    <t>ESPÍRITO DA ZANPAKUTOU</t>
  </si>
  <si>
    <t>O usuário se assusta facilmente, perdendo a confiança em seu ataque. Rola-se um teste de destreza para o usuário toda vez que ele for atacar ou defender; em caso de erro, o dano é decrescido em 50%, tando na defesa, quanto no ataque.</t>
  </si>
  <si>
    <t>Híbrido</t>
  </si>
  <si>
    <t xml:space="preserve"> A liberação é capaz de transformar objetos dentro do raio do deslocamento livre ou o próprio usuário em seu elemento, na forma mais simples e pura. A transformação é feita a qualquer momento - podendo ser tentado apenas uma vez por turno -, em caso de êxito num teste de Manipulação Elemental, sem custo de PE. Enquanto o usuário estiver em forma elemental, não pode realizar ações que não sejam de locomoção, sendo que pode retornar à sua forma sólida quando quiser, sem necessidade de teste ou custo.. Todo bloqueio, enquanto o usuário estiver em forma Elemental, terá as propriedades de esquiva.</t>
  </si>
  <si>
    <t xml:space="preserve"> O golpe se mostra não físico, possibilitando apenas a esquiva para o defensor. Impossibilita o alvo de bloquear.</t>
  </si>
  <si>
    <t xml:space="preserve"> Prende o inimigo numa hipnose da qual ele não poderá se livrar. O usuário poderá manipular totalmente os fatos ao seu redor sem que o alvo perceba. Com o mesmo custo da liberação, rola-se um teste de inteligência com 5 de redutor para o oponente sempre que o usuário quiser anular uma ação inimiga; em caso de falha, a ação do oponente é completamente ignorada.</t>
  </si>
  <si>
    <t>Quando o usuário libera a Zanpakutou, seu sistema nervoso é confundido e ele perde o controle sobre os próprios movimentos. Quando tentar mexer um membro, moverá outro. Rolar-se-á 1d6 e o resultado será igual ao redutor que o usuário sofrerá em todos os testes. A cada turno, esse redutor diminui em 1, estagnando em -1 até o final do dia.</t>
  </si>
  <si>
    <t>O usuário fica confuso, não conseguindo discernir aliados de inimigos com perfeição. Enquanto estiver confuso, a cada ataque dele rolar-se-á um dado cujo número de faces deve ser igual à quantidade de pessoas no campo de batalha, incluindo ele próprio. O ataque dele atingirá aquele cujo número é correspondente. Rola-se um teste de inteligência ao final de cada turno para saber se o usuário conseguirá evitar a confusão no turno seguinte.</t>
  </si>
  <si>
    <t>A zanpakutou não aguenta ficar liberada por muito tempo. Sela-se, automaticamente, 5 turnos depois de ser liberada.</t>
  </si>
  <si>
    <t>A zanpakutou não aguenta ficar liberada por muito tempo. Sela-se, automaticamente, 7 turnos depois de ser liberada.</t>
  </si>
  <si>
    <t>Sua liberação exige muita concentração, de modo que, quando o usuário sofre danos contundentes, torna-se incapaz de mantê-la liberada. Caso o usuário seja atordoado ou for à teste de Status Elemental e falhar, a Zanpakutou irá se selar imediatamente.</t>
  </si>
  <si>
    <t>Espirito Temperamental 2</t>
  </si>
  <si>
    <t>Espirito Temperamental 1</t>
  </si>
  <si>
    <t xml:space="preserve">É necessário usar as duas mãos para sustentar a arma e manuseá-la. Caso o usuário sofra mais de (nivel da zanpakutou)% (da vida total) como dano em um dos membros superiores,  ficará impossibilitado de manejar a liberação e esta irá  se selar em 2 rodadas, caso o usuário não consiga retomar o controle até lá.
</t>
  </si>
  <si>
    <t>A liberação suga a juventude do usuário, fazendo com que o mesmo envelheça, o degradando pouco a pouco, dificultando sua coordenação, visão, audição e todas as noções, até que o mesmo fique muito velho, mal conseguindo combater. O usuário receberá -1 de redutor em todos os testes, por turno, até o máximo de -5. Mesmo após selar a liberação, os redutores se mantêm até o final do dia.</t>
  </si>
  <si>
    <t>A Zanpakutou exige um gasto altíssimo de energia para ser usada. Para golpes normais, gasta-se 15% dos PEs da liberação.</t>
  </si>
  <si>
    <t>A Zanpakutou torna-se grande demais, atrapalhando a mobilidade do usuário. Golpes ofensivos com Zanjutsu e outros golpes que não envolvam Zanjutsu, mas que sejam desferidos enquanto o usuário segura sua Zanpakutou têm seus testes diminuídos em 3.</t>
  </si>
  <si>
    <t>Ao tentar se defender o usuário verá os golpes ofensivos embaçados, na medida em que os mesmos se aproximam. Toda vez que o usuário tentar defender rolará 1d4. Caso tire 1, a ação defensiva do usuário será ignorada.</t>
  </si>
  <si>
    <t>O usuário demora a refazer a guarda depois de realizar um ataque. Toda vez que realizar ação ofensiva, a ação defensiva seguinte será diminuída em 2.</t>
  </si>
  <si>
    <r>
      <t xml:space="preserve">Quando a liberação é feita, rola-se 1d3, para definir a instabilidade da zanpakutou: </t>
    </r>
    <r>
      <rPr>
        <b/>
        <sz val="12"/>
        <color rgb="FF00B050"/>
        <rFont val="Calibri"/>
        <family val="2"/>
        <scheme val="minor"/>
      </rPr>
      <t>1d1:</t>
    </r>
    <r>
      <rPr>
        <b/>
        <sz val="10"/>
        <color theme="0"/>
        <rFont val="Calibri"/>
        <family val="2"/>
        <scheme val="minor"/>
      </rPr>
      <t xml:space="preserve"> A liberação faz com que a Reiatsu do usuário se torne incontrolável. Toda e qualquer ação do usuário usará reiatsu, seja ação ofensiva ou defensiva; será acrescido o dano da Reiatsu junto com o seu custo.</t>
    </r>
    <r>
      <rPr>
        <b/>
        <sz val="12"/>
        <color theme="0"/>
        <rFont val="Calibri"/>
        <family val="2"/>
        <scheme val="minor"/>
      </rPr>
      <t xml:space="preserve"> </t>
    </r>
    <r>
      <rPr>
        <b/>
        <sz val="12"/>
        <color rgb="FF00B050"/>
        <rFont val="Calibri"/>
        <family val="2"/>
        <scheme val="minor"/>
      </rPr>
      <t>1d2:</t>
    </r>
    <r>
      <rPr>
        <b/>
        <sz val="10"/>
        <color rgb="FF00B050"/>
        <rFont val="Calibri"/>
        <family val="2"/>
        <scheme val="minor"/>
      </rPr>
      <t xml:space="preserve"> </t>
    </r>
    <r>
      <rPr>
        <b/>
        <sz val="10"/>
        <color theme="0"/>
        <rFont val="Calibri"/>
        <family val="2"/>
        <scheme val="minor"/>
      </rPr>
      <t xml:space="preserve">A liberação faz com que a Reiatsu do usuário se torne incontrolável, não conseguindo usá-la em nenhuma ação. O usuário nunca irá fazer uso de sua Reiatsu, enquanto a liberação estiver ativa. </t>
    </r>
    <r>
      <rPr>
        <b/>
        <sz val="12"/>
        <color rgb="FF00B050"/>
        <rFont val="Calibri"/>
        <family val="2"/>
        <scheme val="minor"/>
      </rPr>
      <t>1d3:</t>
    </r>
    <r>
      <rPr>
        <b/>
        <sz val="10"/>
        <color theme="0"/>
        <rFont val="Calibri"/>
        <family val="2"/>
        <scheme val="minor"/>
      </rPr>
      <t xml:space="preserve"> O usuário não consegue manter a liberação ativa por muito tempo. Gasta-se o dobro de PE's para qualquer ação que envolva PE's enquanto a liberação estiver em curso.</t>
    </r>
  </si>
  <si>
    <t>Instável</t>
  </si>
  <si>
    <t>A Zanpakutou atrapalha a movimentação do usuário, tornando-o mais lento. Quando o usuário ataca ou defende , os testes dele são diminuídos em 3 e os do oponente aumentados em 3.</t>
  </si>
  <si>
    <t>O espírito tem um orgulho que lhe impede de ser usada a todo instante, atendendo aos apelos do Shinigami apenas quando ele tiver sua vida em risco. Somente será possível liberar quando o usuário tiver perdido ao menos 25% dos PV's máximos.</t>
  </si>
  <si>
    <t>O espírito tem um orgulho que lhe impede de confrontar espíritos que ele considere mais fracos que ele. Somente será possível liberar se o oponente possuir uma Zanpakutou de até 3 niveis a menos que a do usuário.</t>
  </si>
  <si>
    <t>O espírito tem um orgulho que lhe impede de ser usada a todo instante, atendendo aos apelos do Shinigami apenas quando ele correr risco de vida. Somente será possível liberar quando o usuário tiver com PV's iguais ou menores que 10% da vida total</t>
  </si>
  <si>
    <t>A liberação consiste em um  peso quase insuportável. O usuário tem seu deslocamento livre limitado à 1m e seu deslocamento com teste reduzido para a metade.</t>
  </si>
  <si>
    <t>A Zanpakutou tende a atrair golpes mágicos. Todo golpe de origem mágica será atraído diretamente para o usuário, mesmo que este não for o alvo, o usuário terá uma chance de defesa sempre que o golpe vier em sua direção, independente da ação de terceiros.O alcance para a recepção do golpe de origem mágica é igual ao 2x o deslocamento livre do usuário.</t>
  </si>
  <si>
    <t>O usuário é incapaz de combater com aliados. Não é possivel realizar ataques à aliados ou defender-se de seus ataques.</t>
  </si>
  <si>
    <t>Após fazer uso da Zanpakutou de qualquer forma, ela sela-se novamente, ao final da rodada.</t>
  </si>
  <si>
    <t>O usuário tem vergonha da forma de sua liberação e/ou de suas habilidades e, por isso, esconde a verdadeira forma da liberação. Quando chamada diante de aliados, a Zanpakutou não tomará a forma verdadeiro, sendo possível utilizar apenas 1 efeito positivo da liberação (definido no momento da criação) e não poderá fazer uso de técnicas. O dano da liberação permanece como dano de Asauchi. Apenas será possível chamar por sua verdadeira forma quando não houver ninguém além do(s) oponente(s) presenciando a luta.</t>
  </si>
  <si>
    <t>Impactos que causem danos em qualquer parte da Zanpakutou irão se refletir no usuário. Metade do dano causado à zanpakutou, qualquer uma de suas partes ou qualquer coisa que ela invoque é descontado nos PV's do usuário.</t>
  </si>
  <si>
    <t>Ao fazer a liberação o usuário pode invocar criaturas inanimadas que agem de acordo com a sua vontade. Elas possuem PV's iguais ao dano da liberação e seu dano é igual ao da liberação + 2,5% por cada nível da Reiatsu, sendo este, dividido entre as criaturas invocadas. O número de criaturas invocadas é igual ao nível da zanpakutou dividido por 2 e arredondado para baixo quando necessário. Testes de Zanjutsu são aplicados para quaisquer movimentos que sejam feitos.</t>
  </si>
  <si>
    <t>Os ataques da liberação tornam-se mais fortes quando na presença de aliados. Toda vez que estiver lutando ao mesmo tempo que um ou mais aliados, o golpe destinado a um mesmo oponente sofrerá um aumento de 25% em seu dano, para cada aliado que golpear junto do usuário.</t>
  </si>
  <si>
    <t>O usuário torna-se capaz de controlar os movimentos de objetos e/ou pessoas com a mente. O usuário poderá infligir nas ações de terceiros, assim como manipular objetos no campo de batalha, num raio igual a 3x o seu deslocamento livre. Será feito um teste de inteligência para os movimentos desejados, com o custo da liberação por uso. É possivel utilizar de telecinese para mover a própria arma, sem custo de PE (ainda gastando uma ação, como um ataque normal)</t>
  </si>
  <si>
    <t>A liberação transforma o usuário, modificando a aparência dele, ao bel-prazer. O usuário pode tomar a forma de qualquer objeto, pessoa ou animal para infiltrações ou distrações durante as batalhas ou até mesmo tomar a forma de aliados, para confundir o inimigo. Para cada transformação, serão contabilizados os PE's da liberação. Uma transformação por turno (sem gasto de ação). Uma segunda tranformação no mesmo turno, gasta ação e PEs referentes ao custo da liberação.</t>
  </si>
  <si>
    <t>Shihakushou e Hakama</t>
  </si>
  <si>
    <t>Toda vez que o usuário é ferido em batalha, a liberação tende a se vingar. Em todo turno que o usuário sofrer danos causados por um oponente, ele terá ações ofensivas extras, correspondentes ao número de ataques recebidos, no turno seguinte, sendo o máximo de 3 ações extras por turno.</t>
  </si>
  <si>
    <t xml:space="preserve"> A liberação dá ao usuário a capacidade de voar livremente. O usuário pode se mover livremente, não sendo limitado ao seu deslocamento tanto livre como por teste. A única limitação é o alcance da visão do usuário.</t>
  </si>
  <si>
    <t>Quando a liberação entra em contato com o oponente, absorve sua energia vital. 10% de todo dano causado pela liberação é acrescido aos PV's do usuário. Ao atingir o limite dos PV's Máximos, o efeito acumula um escudo de sangue que protege o usuário com até 20% dos PV's totais do usuário.</t>
  </si>
  <si>
    <t>Cria uma miniatura do inimigo, de modo que os danos causados a ela se reproduzem no mesmo. Quem estiver de posse do referido boneco, não precisará de testes para causar danos ao afetado. É necessário atingir um golpe no inimigo, para que o efeito seja ativado. Durante o turno em que o referido golpe foi desferido, considera-se que o boneco está sendo fabricado, estando ele na posse do usuário no início do turno seguinte. O boneco deixará de existir ou de fazer efeito, caso a liberação seja cessada ou cancelada. O boneco é visto apenas pelo usuário e pelo inimigo alvo do Voodoo. É possivel causar dano ao boneco apenas 1 vez por turno.</t>
  </si>
  <si>
    <t>O oponente fica confuso, não conseguindo discernir aliados de inimigos com perfeição. Enquanto estiver confuso, a cada ataque dele rolar-se-á um dado cujo número de faces deve ser igual à quantidade de pessoas no campo de batalha, incluindo ele próprio. O ataque dele atingirá aquele cujo número é correspondente. Rola-se um teste de inteligência antes de cada ação ofensiva do oponente para testar a validade do efeito. Para ativar o efeito, é necessário realizar um ataque contra o oponente (E acerta-lo) e também, enquanto um oponente estiver sendo afetado, outro não poderá passar pelo mesmo processo.</t>
  </si>
  <si>
    <t>Quando golpeia um dos membros do oponente, começa a se degenerar, até que não possa mais ser utilizado. Após o ataque ser efetuado, o local em questão apodrece e deixará de funcionar em 5 turnos. O oponente recebe 5% do dano da liberação por turno por membro afetado (máximo 25%). Caso o oponente alcance 0 PVs, ele morrerá instantaneamente, sem direito à teste, devido à putrefação total de seu corpo.</t>
  </si>
  <si>
    <t xml:space="preserve"> A liberação proporciona ao usuário uma maximização de seus sentidos, tornando-o mais atento ao ambiente ao seu redor. O usuário não precisa passar por testes de reflexo e percepção. Caso não tenha usado o radar para evitar um teste de reflexo ou de percepção na rodada, o usuário recebe +1 em seus testes defensivos naquele turno.</t>
  </si>
  <si>
    <t>Quando o usuário é atingido, sua liberação imediatamente tenta curar o ferimento. Rola-se 1d3 toda vez que o usuário é atingido; sempre que o resultado for 1, efetuar-se-á uma cura  equivalente à 20% da vida máxima.</t>
  </si>
  <si>
    <t>Um ataque de ativação sem dano, que implantaria alguma energia no inimigo, seguido por 1d5 que determinaria quantos turnos rodariam pra o efeito explodir. A cada turno passado, o dano - que é o dano da liberação em questão -  aumentaria em 25%, explodindo após o turno determinado no 1d5, com o dano de liberação + 25% vezes o número de turnos sorteado no 1d5.</t>
  </si>
  <si>
    <t>Pontos</t>
  </si>
  <si>
    <t>Senha</t>
  </si>
  <si>
    <t>Nagisa Yoko</t>
  </si>
  <si>
    <t>Tokugawa Setsuya</t>
  </si>
  <si>
    <t>Yamagata Koji</t>
  </si>
  <si>
    <t>Arima Seryuu</t>
  </si>
  <si>
    <t>Kojiro Hanzo</t>
  </si>
  <si>
    <t>Darhak Hydan</t>
  </si>
  <si>
    <t>Sato Reid</t>
  </si>
  <si>
    <t>ID:</t>
  </si>
  <si>
    <t>Caso a liberação toque o mesmo lugar duas vezes, num alvo, este alvo morre instantaneamente. Mesmo após concluído o êxito no segundo ataque, rola-se 1d10 para verificar se atingiu exatamente o mesmo lugar; porem a cada rolagem diminui-se uma face até chegar em 1d3, e apenas quando o resultado for 1, faz-se uma comparação de (Nivel de zanpakutou + nivel de rei) do usuário contra (Nivel de zanpakutou + nivel de rei) do oponente. Caso o total do usuário seja maior que o do oponente, o oponente morre instantaneamente.</t>
  </si>
  <si>
    <t>Se o usuário atacar e a defesa do oponente possuir dano (ou resistencia) maior, ou o usuário defender e  o ataque do oponente possuir dano maior, a zanpakutou irá se quebrar.
Obs.: O uso do efeito frágil em liberações que visam evitar uma parte ou a totalidade do efeito, serão automaticamente recusadas.</t>
  </si>
  <si>
    <t>A zanpakutou distorce a visão do usuário, tornando os oponentes aterradores. Sempre que o usuário for bloquear, necessita de um teste de int -5. Caso falhe, sua ação de defesa é ignorada.</t>
  </si>
  <si>
    <t>Amedrontado</t>
  </si>
  <si>
    <t>Membro Fixo</t>
  </si>
  <si>
    <t>Avatar</t>
  </si>
  <si>
    <t>Atraente</t>
  </si>
  <si>
    <t>Torna inútil o golpe do inimigo. Pode negar um golpe inimigo qualquer, tornando seus danos e efeitos ineficazes. Rola-se bloqueio de Zanjutsu para testar o êxito. O efeito pode anular golpes de até 3x o dano da liberação. Caso o dano exceda esse valor, a Nulificação falhará, mesmo tendo exito no teste.</t>
  </si>
  <si>
    <t>Ao liberar, o usuário torna-se um ser extremamente poderoso. Ignora todo teste de atordoamento, desmaio e morte, enquanto durar o efeito. A duração é 1/3 do nivel da zanpakutou, arredondado para baixo.</t>
  </si>
  <si>
    <t>Ao efetuar a liberação a mesma se funde com o membro do usuário, o mesmo perde a capacidade de soltar a arma ou mesmo trocar a mesma de braço em casos de necessidade, rola-se 1d4 para saber a que membro do corpo do usuário a lamina ira se fundir. O usuário receberá redutores de -2 se cair na mão e -4 se cair no pé, nos testes de ataque e defesa. (O mestre deve listar os membros na hora da liberação) Caso o membro seja cortado, a liberação sela automaticamente.</t>
  </si>
  <si>
    <t>Shizuka Hotaru</t>
  </si>
  <si>
    <t>TÉCNICAS DE HOHOU</t>
  </si>
  <si>
    <t>Hikou</t>
  </si>
  <si>
    <t>Estratégia de Combate</t>
  </si>
  <si>
    <t>---</t>
  </si>
  <si>
    <t>Permite que o usuário se mova no ar.</t>
  </si>
  <si>
    <t xml:space="preserve">É uma técnica básica ensinada a todos os shinigamis na academia, que consiste em reunir os espíritrons ao seu redor e estabilizá-los como se fossem suportes para os pés. Desta forma, o usuário é capaz de saltar mais alto, voar, caminhar e se sustentar no ar. </t>
  </si>
  <si>
    <t>1 turno</t>
  </si>
  <si>
    <t>Suporte e Estratégia de Combate</t>
  </si>
  <si>
    <t>É uma técnica básica ensinada a todos os shinigamis na academia, onde o usuário se desloca para viajar a grandes distâncias em um tempo inferior, concentrando os espíritrons nos pés. Quando usada em combate, permite ao usuário locomover-se tão rápido que parece se teleportar, sendo necessário um teste de reflexo para acompanhar seus movimentos.</t>
  </si>
  <si>
    <t>Ação</t>
  </si>
  <si>
    <t>Suishin</t>
  </si>
  <si>
    <t>É uma técnica de grande habilidade, na qual o usuário concentra os spíritrons com a intensão de propulsionar a si mesmo, seu kidou ou à outrem parecendo um foguete. Consegue se mover muito velozmente no ar, mal sendo acompanhado  pelos olhos.</t>
  </si>
  <si>
    <t>Furasshu</t>
  </si>
  <si>
    <t>Kami no Shunpo</t>
  </si>
  <si>
    <t>Ignora uma defesa. Uso único.</t>
  </si>
  <si>
    <t>É a evolução máxima do shunpo. O usuário concentra uma quantidade massiva de espíritrons em seus pés e se move tão rapidamente que suprime o espaço entre ele e o oponente, impossibilitando o bloqueio ou a esquiva a não ser que ele tenha um êxito crítico.</t>
  </si>
  <si>
    <t>Utsusemi</t>
  </si>
  <si>
    <t>Permite uma esquiva perfeita a 1 ataque. Só pode ser usado uma vez por dia.</t>
  </si>
  <si>
    <t>O usuário move-se tão velozmente que passa através da matéria, deixando uma peça de roupa. Tem-se a impressão de que foi apanhado pela técnica do inimigo, mas ele aparece em outro local sem sofrer danos.</t>
  </si>
  <si>
    <t>Consideração</t>
  </si>
  <si>
    <t>PE</t>
  </si>
  <si>
    <t>Esquiva</t>
  </si>
  <si>
    <t>400 PP's</t>
  </si>
  <si>
    <t>600 PP's</t>
  </si>
  <si>
    <t>1000 PP's + 12 REIATSU</t>
  </si>
  <si>
    <t>1200 PP's + 15 REIATSU</t>
  </si>
  <si>
    <t>Hayato Karasu</t>
  </si>
  <si>
    <t>Shisuke Kagami</t>
  </si>
  <si>
    <t>Ragnar Sieghart</t>
  </si>
  <si>
    <t>B021</t>
  </si>
  <si>
    <t xml:space="preserve">Em combate, confere um redutor de -2 na defesa frontal ou lateral. Pelas costas o redutor é de -5 caso falhe em um teste de Reflexo. </t>
  </si>
  <si>
    <t>Makoto Touka</t>
  </si>
  <si>
    <t>Seijin Vector</t>
  </si>
  <si>
    <t>Tenzou Mihawk</t>
  </si>
  <si>
    <t>Hai Uruk</t>
  </si>
  <si>
    <t>m265</t>
  </si>
  <si>
    <t>Mitsuki Hazz</t>
  </si>
  <si>
    <t>Shimazu Toyoshi</t>
  </si>
  <si>
    <t>A liberação concede ao usuário uma velocidade acima da sua velocidade normal. Quando o usuário ataca ou defende, os testes dele são aumentados em 2 e os do oponente diminuídos em 2</t>
  </si>
  <si>
    <t xml:space="preserve">A liberação passa a possuir um ou mais escudos em sua forma liberada. Quando o usuário defender, contabilizar-se-á o dano da ultima técnica sem que haja custo em PE's, com um bonus de 2 na defesa. </t>
  </si>
  <si>
    <t>A liberação do usuário torna-se gigantesca. O oponente tem sua ação defensiva diminuída em 2 e o usuário tem seu ataque e bloqueio aumentado em 2.</t>
  </si>
  <si>
    <t>O usuário une-se à liberação, formando com ela um único ser. A duração da fusão é igual ao nível de Zanpakutou dividido por dois, arredondado para baixo. Durante esse tempo, os PV's, PEs e todos os danos do usuário sofrerão um aumento percentual de 5 vezes o nível da Zanpakutou. A fusão pode ser interrompida conforme a vontade do usuário, sem selar a liberação. Assim, podendo ser ativada novamente, desde que não tenha sido usada todo o tempo limite. A liberação pode ser usada uma vez por dia.</t>
  </si>
  <si>
    <t>Materializa escudos, barreiras ou muros num raio de até três vezes o nível de deslocamento livre do usuário. Bloqueia golpes aplicados em aliados distantes sem necessidade de teste de Hohou com um bonus de 2 na defesa. O efeito suporta 200% de diferença de dano.</t>
  </si>
  <si>
    <t>O usuário será capaz de prever acontecimentos, visualizando como será atacado e o resultado de sua próxima defesa. Será rolado o dado para a defesa do usuário e, sempre que ele errar, rolar-se-á o dado uma segunda vez com um bonus de 3. Terá o custo da liberação por uso.</t>
  </si>
  <si>
    <t>O usuário tem certo controle entre a vida e a morte. Sempre que o usuario falhar em um teste de morte o mesmo poderá ser refeito uma vez com um bonus de 2 - com custo da liberação -.  O efeito, em questão, não recupera PV’s ou PE's.</t>
  </si>
  <si>
    <t>Os golpes consistem em prender o alvo, ao invés de lhe infligir dano. O usuário poderá desferir golpes que têm características de  contenção total, sendo a resistência do mesmo calculada pela célula referente ao dano do golpe em questão.Porem a contenção terá o limite de 3 vezes o dano da liberação.</t>
  </si>
  <si>
    <t>As ondas sonoras são invisíveis e seu ruído confunde a direção do golpe, dificultando a defesa do oponente. O oponente tem seu bloqueio diminuído em 5 e sua esquiva diminuída em 3.</t>
  </si>
  <si>
    <t>A liberação aumenta a atenção do usuário. O êxito de bloqueio tem um bônus de 5 e esquiva será aumentado em 3.</t>
  </si>
  <si>
    <t>Baalberith Astaroth</t>
  </si>
  <si>
    <t>Nishizaki Aru</t>
  </si>
  <si>
    <t>Tchort Sammael</t>
  </si>
  <si>
    <t>Jensen Adam</t>
  </si>
  <si>
    <t>savu</t>
  </si>
  <si>
    <t>Fujiwara Daiki</t>
  </si>
  <si>
    <t>Sasaki Shinji</t>
  </si>
  <si>
    <t>Shugoshin Raiki</t>
  </si>
  <si>
    <t>9a91</t>
  </si>
  <si>
    <t>Exorcista</t>
  </si>
  <si>
    <t>Taumaturgo</t>
  </si>
  <si>
    <t>Nobre</t>
  </si>
  <si>
    <t>Warlock</t>
  </si>
  <si>
    <t>Estudioso</t>
  </si>
  <si>
    <t>Bruxo</t>
  </si>
  <si>
    <t>Psíonico</t>
  </si>
  <si>
    <t xml:space="preserve">Professor </t>
  </si>
  <si>
    <t>Wu Jen</t>
  </si>
  <si>
    <t>Herbologista</t>
  </si>
  <si>
    <t>Alquimista</t>
  </si>
  <si>
    <t>Geomante</t>
  </si>
  <si>
    <t>Xamã</t>
  </si>
  <si>
    <t>Hospitalário</t>
  </si>
  <si>
    <t>Infiltrador</t>
  </si>
  <si>
    <t xml:space="preserve">Pirata </t>
  </si>
  <si>
    <t>Minerador</t>
  </si>
  <si>
    <t>Guardião</t>
  </si>
  <si>
    <t>Karate</t>
  </si>
  <si>
    <t>Tae-kwon-do</t>
  </si>
  <si>
    <t>Box</t>
  </si>
  <si>
    <t xml:space="preserve">Capoeira </t>
  </si>
  <si>
    <t>Wu Shu</t>
  </si>
  <si>
    <t>Wing Chun</t>
  </si>
  <si>
    <t>Jeet Kune Do</t>
  </si>
  <si>
    <t>Ninjutsu</t>
  </si>
  <si>
    <t>Krav Magá</t>
  </si>
  <si>
    <t>Sistema</t>
  </si>
  <si>
    <t>Jiu jitsu</t>
  </si>
  <si>
    <t>Judô</t>
  </si>
  <si>
    <t>Westler</t>
  </si>
  <si>
    <t>Aikido</t>
  </si>
  <si>
    <t>Zen Budismo</t>
  </si>
  <si>
    <t>MMA</t>
  </si>
  <si>
    <t>Kung Fu</t>
  </si>
  <si>
    <t>Sumô</t>
  </si>
  <si>
    <t>Grego Romano</t>
  </si>
  <si>
    <t>Kurosuki Asura</t>
  </si>
  <si>
    <t>Orochi Ryoko</t>
  </si>
  <si>
    <t>Shizuoka Hitachiin</t>
  </si>
  <si>
    <t>Yamagawa Fukato</t>
  </si>
  <si>
    <t>Arsenal</t>
  </si>
  <si>
    <t>Ambidestro</t>
  </si>
  <si>
    <t>Sem Restrição</t>
  </si>
  <si>
    <t>Roda da Fortuna</t>
  </si>
  <si>
    <t>Corpo Fraco</t>
  </si>
  <si>
    <t>Cansaço Mental</t>
  </si>
  <si>
    <t>Problema Coronariano</t>
  </si>
  <si>
    <t>Especialista Elemental</t>
  </si>
  <si>
    <t>Duelo</t>
  </si>
  <si>
    <t>Mártir</t>
  </si>
  <si>
    <t>Santuário</t>
  </si>
  <si>
    <t>Ritmo Perfeito</t>
  </si>
  <si>
    <t>Narcolepsia</t>
  </si>
  <si>
    <t>Protagonismo</t>
  </si>
  <si>
    <t>Inabilidade Elementar</t>
  </si>
  <si>
    <t>Counter</t>
  </si>
  <si>
    <t>Amplificação</t>
  </si>
  <si>
    <t>O usuário consegue usar a força completa de ambas mãos recebendo +50% de dano da liberação, podendo ser este bônus advindo de usar 2 armas, ou usar 1 arma de duas mãos.</t>
  </si>
  <si>
    <t>Você fica mais forte a cada instante. No momento da liberação, é rolado 1d5, para definir qual dos 5 atributos será beneficiado pelo bônus, que aumenta em 1 a cada rodada, sendo o máximo + 3 de bônus.</t>
  </si>
  <si>
    <t>Sempre que o usuário for defender um ataque, ele pode fazer um teste de destreza - 5, seguido por um teste de bloqueio e um de ataque. Caso tenha sucesso nos 3, o usuário desfere um contra-ataque no oponente, que deve fazer um teste de reflexo com 5 de redutor. Caso passe, terá direito à defesa com redutor de -3. Caso o oponente não passe no teste de reflexo, ele tomara o ataque.</t>
  </si>
  <si>
    <t>O efeito consiste em liberar as restrições do corpo do usuário acrescentando 1d5x5% para dano físico ou dano da liberação (Shikai / Bankai) ou metade deste valor para dano de kidous e rola-se 1d5 em reiatsu.</t>
  </si>
  <si>
    <t>Como já diz o nome, rola-se 1dx (total de efeitos da ficha), para decidir qual efeito ficará em seu lugar, não podendo realizar outro "sorteio" no dia.</t>
  </si>
  <si>
    <t>Impacto</t>
  </si>
  <si>
    <t>A liberação consegue adicionar em seus ataques, sua essência, sem nenhum tipo de esforço, pois possui total controle do seu elemento. Ao custo da manipulação elemental seu dano é acrescido ao dano da liberação sem necessidade de testes. O usuário pode escolher usar ou não.</t>
  </si>
  <si>
    <t>O usuário liga os seus aliados a si mesmo tomando todo os danos que os mesmos receberem, com um redutor de dano tomado de 25%. O número de pessoas que podem ser ligadas, é o que 1/5 do nível de zampa arredondado para baixo. Paga-se metade do custo da liberação para manter a habilidade ativa.</t>
  </si>
  <si>
    <t>Ritmo perfeito</t>
  </si>
  <si>
    <t>Após o usuário ter um acerto crítico em ações com a zanpakutou, a mesma entra em perfeita sincronia com o usuário aumentando a eficácia de acerto crítico em +1 nos próximos testes. Sendo considerados 1 e 2 como acertos críticos nos próximos testes, e aumentando conforme acertar. Porem caso o mesmo não tenha acerto crítico em 3 ataques seguidos ou erre o ataque o mesmo perde o bônus.</t>
  </si>
  <si>
    <t>A liberação torna o corpo do indivíduo fraco, quando sofrer um ferimento, a ferida se mantem aberta, fazendo com que o usuário fique sangrando, perdendo vida referente a 10% do maior dano recebido, por turno. O sangramento é sempre referente ao maior dano recebido em um único ataque, até que a liberação seja desativada.</t>
  </si>
  <si>
    <t>Enquanto a liberação estiver ativa, o usuário terá um cansaço mental exaustivo, a ponto de não conseguir falar normalmente, rola-se um teste baseado de inteligência para pronunciar as palavras corretamente, caso falhe ninguém é capaz de entender suas falas e qualquer ação envolvendo PE, irá gastar 10% a mais, baseado no gasto da própria habilidade.</t>
  </si>
  <si>
    <t>Cansaço mental</t>
  </si>
  <si>
    <t>O Shinigami não leva uma vida muito saudável com alimentos, ou já possuí um histórico na família. A cada início de turno, será rolado um teste baseado em vigor com redutor de -5, caso ele falhe, irá sofrer um redutor de -3 nas ações do turno.</t>
  </si>
  <si>
    <t>Sua liberação te fazer ter pequenos momentos de sono, o que pode ser indesejável em certos momentos. No início de cada rodada, o usuário rola-se 1d6, se o resultado for 6, ele está automaticamente dormindo e perde sua ação durante uma rodada.</t>
  </si>
  <si>
    <t>Você não sabe utilizar o seu elemento natural da zanpakutou ou ele é fraco demais para ser usado. Independente do dano que der, não se calcula efeito de status elemental.</t>
  </si>
  <si>
    <t>Você se acha o bonzão, que tudo é ao seu redor. Em uma luta, você é o alvo sempre, mesmo que você tenha que pular na frente, você sempre ataca e nuca se dará por vencido e nunca foge de uma batalha a não ser se tiver desmaiado.</t>
  </si>
  <si>
    <t>Boxe</t>
  </si>
  <si>
    <t>Quando a zanpakutou é liberada, todos que estão numa distância igual ao deslocamento livre do usuário podem ser levados a uma dimensão paralela; uma vez na dimensão, todos os testes do oponente recebem um redutor de 2, enquanto todos os testes do usuário recebem um bônus de 2. O custo para manter a dimensão ativa é o de 5% dos PE's totais, por turno.</t>
  </si>
  <si>
    <t>Sua liberação consiste em se transformar em qualquer tipo de arma, como se o usuário fosse um verdadeiro fabricante de armas, com um perfeito conhecimento sobre, ao liberar, rola-se 1d2 para definir a ordem do bônus e do redutor (+2, -3 ou +3, -2), e 1d2 para definir se o defensor receberá o redutor na esquiva ou no bloqueio, o usuário poderá mudar a arma novamente durante a luta, pagando 10% dos PE’s totais, e assim aplicar as duas rolagens novamente.</t>
  </si>
  <si>
    <t>O usuário convoca um adversário para um duelo fazendo com que o alvo ataque somente o usuário ignorando todos a sua volta. Rola-se um teste de resistência com redutor de -5 para o inimigo se livrar do efeito sempre que desejar. Pode se ativar sempre que puder pagando o custo da liberação. Somente pode duelar com um oponente por vez.</t>
  </si>
  <si>
    <t>Após atingir o alvo, seu sistema é confundido e ele perde o controle sobre os próprios movimentos. Quando tentar mexer um membro, moverá outro. Rolar-se-á 1d6 e o resultado será igual ao redutor que o alvo sofrerá em todos os testes. A cada turno, esse redutor diminui em 1, estagnando em -1 até o final do dia.</t>
  </si>
  <si>
    <t>Regeneração de PE's Instantânea</t>
  </si>
  <si>
    <t>Sempre que o usuário gastar PEs, deve ser rolado 1d3. Caso o resultado seja 1, o usuário regenera 10% dos PE's totais. Com esta regeneração, os testes de fadiga devem ser aplicados (caso necessários) após a inclusão dos PEs regenerados.</t>
  </si>
  <si>
    <t>Permite o usuário se teleportar de um lugar para outro dentro da área de deslocamento com teste fazendo teste de Zanjutsu. 
Obs. A sua utilização para esquivar-se de um golpe deve ser considerada ESQUIVA e não teste ofensivo de Zanjutsu.</t>
  </si>
  <si>
    <t>Teleporte</t>
  </si>
  <si>
    <t>A liberação é capaz de esticar-se ou atirar projéteis, sendo possível atingir inimigos distantes sem que haja necessidade de aproximar-se deles. É possível atacar o oponente a qualquer distância.</t>
  </si>
  <si>
    <t>Shunpo C</t>
  </si>
  <si>
    <t>Shunpo L</t>
  </si>
  <si>
    <t>Retroceder o Tempo</t>
  </si>
  <si>
    <t>Fora de combate, usado para percorrer longas distancias em pouco tempo.</t>
  </si>
  <si>
    <t>Duelista</t>
  </si>
  <si>
    <t>Kick Boxer</t>
  </si>
  <si>
    <t>Greco-Romana</t>
  </si>
  <si>
    <t>Uma vez por dia o usuário pode invocar um santuário que cobre o raio de seu deslocamento livre, todos que estiverem sobre o santuário terão seus PV’s curados. Até 2 duas pessoas, a cura é referente a 2x keikatsu por turno, se forem mais pessoas, a cura é referente a 1 keikatsu por turno. Aqueles que forem a teste de morte e estiverem dentro do santuário, e não obtiverem êxito em passar em seus testes, serão desmaiados ao contrário de mortos. Para manter o santuário o usuário deve pagar o mesmo custo da liberação por turno. Enquanto ativo, o santuário acompanha o usuário, que não pode fazer ações ofensivas durante o periodo ativo.</t>
  </si>
  <si>
    <t>Enquanto a liberação estiver ativa, cada golpe desferido pelo usuário irá gerar um deslocamento massivo de ar, causando um impacto após o seu golpe, que pode desequilibrar seu oponente. Rolar-se 1d2, caso saia 1, o oponente irá sofrer um redutor de -4 em sua próxima ação.</t>
  </si>
  <si>
    <t>Shizuoka Shiori</t>
  </si>
  <si>
    <t>Riou Rendar</t>
  </si>
  <si>
    <t xml:space="preserve">Daichi Tenyō </t>
  </si>
  <si>
    <t>Zangerin</t>
  </si>
  <si>
    <t>Goryuutenmetsu</t>
  </si>
  <si>
    <t>Descarga em Área</t>
  </si>
  <si>
    <t>Atordoamento</t>
  </si>
  <si>
    <t>Ura Hadou: Sannodō — Teppūsatsu</t>
  </si>
  <si>
    <t>Hakudan Keppeki</t>
  </si>
  <si>
    <t>Kigen Fuuin</t>
  </si>
  <si>
    <t xml:space="preserve">Kyuujuurokkei Kakafuumetsu </t>
  </si>
  <si>
    <t>Selamento Máximo</t>
  </si>
  <si>
    <t>Akihito Kouta</t>
  </si>
  <si>
    <t>Kotsuchi Bioha</t>
  </si>
  <si>
    <t>Hiryu Gekizoku Shinten Raihou</t>
  </si>
  <si>
    <t>Ayami Akira</t>
  </si>
  <si>
    <t>Kamui Rei</t>
  </si>
  <si>
    <t>Katsumoto Eternit</t>
  </si>
  <si>
    <t>Masamune Dage</t>
  </si>
  <si>
    <t>Shimazu Yuki</t>
  </si>
  <si>
    <t>Yamada Kazui</t>
  </si>
  <si>
    <t>Hadou</t>
  </si>
  <si>
    <t>Especialização:</t>
  </si>
  <si>
    <t>Especial</t>
  </si>
  <si>
    <t>Bakudou</t>
  </si>
  <si>
    <t>Caracteristicas Relevantes</t>
  </si>
  <si>
    <t>PV</t>
  </si>
  <si>
    <t>Elemento:</t>
  </si>
  <si>
    <t>Psicológica</t>
  </si>
  <si>
    <t>Física</t>
  </si>
  <si>
    <t>Zanjutsu Carrier</t>
  </si>
  <si>
    <t>Zanjutsu Guardião</t>
  </si>
  <si>
    <t>Zanjutsu Suporte</t>
  </si>
  <si>
    <t>Hakuda Carrier</t>
  </si>
  <si>
    <t>Hakuda Guardião</t>
  </si>
  <si>
    <t>Hakuda Suporte</t>
  </si>
  <si>
    <t>Kidou Carrier</t>
  </si>
  <si>
    <t>Kidou Guardião</t>
  </si>
  <si>
    <t>Kidou  Suporte</t>
  </si>
  <si>
    <t>Dano Fisico</t>
  </si>
  <si>
    <t>PE Liberação</t>
  </si>
  <si>
    <t>Zanpakutou</t>
  </si>
  <si>
    <t>Orihara Nagai</t>
  </si>
  <si>
    <t>DF</t>
  </si>
  <si>
    <t xml:space="preserve"> Golpe Atordoante</t>
  </si>
  <si>
    <t>Teste Mda</t>
  </si>
  <si>
    <t>EL/HE/QL/FE</t>
  </si>
  <si>
    <t>QL1</t>
  </si>
  <si>
    <t>QL2</t>
  </si>
  <si>
    <t>QL3</t>
  </si>
  <si>
    <t>FE</t>
  </si>
  <si>
    <t>FE1</t>
  </si>
  <si>
    <t>FE2</t>
  </si>
  <si>
    <t>FE3</t>
  </si>
  <si>
    <t>FE4</t>
  </si>
  <si>
    <t>FE5</t>
  </si>
  <si>
    <t>FE6</t>
  </si>
  <si>
    <t>FE7</t>
  </si>
  <si>
    <t>FE8</t>
  </si>
  <si>
    <t>FE9</t>
  </si>
  <si>
    <t>FE10</t>
  </si>
  <si>
    <t>Pode criar clones visuais, decidido por 2d3 o número de clones criados.</t>
  </si>
  <si>
    <t>Técnica extremamente evoluída de shunpo, no qual o usuário movimenta-se tão rápido que parece criar clones ao redor dele. Rola-se o dado com o número de clones criados. Se o oponente tirar 1, acertará diretamente o usuário com um redutor de -5. Em caso contrario, ele erra o golpe automaticamente.</t>
  </si>
  <si>
    <t>Aumenta em 10% o dano do usuário na utilização de golpes físicos(zanjutsu e Hakuda), mas ele levará 5% do dano pelo impacto.  Causa um redutor de -5 a ação de defesa do oponente, caso ele passe no teste de reflexo com redutor de -5 haverá redutor na ação de defesa no valor de -2. No uso de golpes mágicos, utiliza-se apenas o redutor, mas o usuário deve passar em um teste de inteligencia -5 antes de realizar a manobra, para propulsionar seu golpe.</t>
  </si>
  <si>
    <t>Nashi Ichirumy</t>
  </si>
  <si>
    <t>Ficha Beta 4.0</t>
  </si>
  <si>
    <t>For, Des Res: 5 (Des+3)| Hakuda: 10 | Ref,Hoh: 10 | Reiatsu: 15+2 | Zampakutou 15</t>
  </si>
  <si>
    <t>Dano Fisico: 2178 | DS: 839 | Shikai: 216/1509 | Bankai: 389/2717</t>
  </si>
  <si>
    <t>PV: 17848 / PE 2144</t>
  </si>
  <si>
    <t>Aousuke Gantaru</t>
  </si>
  <si>
    <t>Kobayashi Satoru</t>
  </si>
  <si>
    <t>Kohagura Mysashi</t>
  </si>
  <si>
    <t>foda</t>
  </si>
  <si>
    <t>Kurogashi Yuuto</t>
  </si>
  <si>
    <t>Takeda Hiroshi</t>
  </si>
  <si>
    <t>Yushiro Nagato</t>
  </si>
  <si>
    <t>Over</t>
  </si>
  <si>
    <t>Quando o usuário estiver à beira da morte, sua liberação torna-se excessivamente poderosa . Os ataques desferidos pelo usuário, após seus PV's serem postos abaixo de 20% de sua pontuação máxima, terão o dano somado com a diferença entre os PV's máximos e os PV's que ele possuir no momento. Caso o usuário seja curado e retorne à margem acima de 20% dos PV's Máximos, o efeito perde a validade.</t>
  </si>
  <si>
    <t>No momento da liberação, o corpo do usuário é revestido por uma armadura. Esta armadura reduz todos os danos recebidos diretamente em 50% e possui a resistencia de 3x o dano da liberação. Caso receba 2x o dano da liberação do usuário em um mesmo golpe, a armadura se rompe, deixando de proteger o usuário durante uma rodada. Na próxima rodada ela terá se regenerado e voltará à defender o usuário normalmente.</t>
  </si>
  <si>
    <t>Ao efetuar a liberação, a sombra do usuário toma vida. Ela possui o dano da liberação e copia todas as ações do usuário, não necessitando de teste próprio para atacar e se mover, e 50% da vida total do usuário. Todo dano recebido pelo usuário é também refletido em parte na sombra. O dano que a sombra recebe é de  110-(5 vezes o nível da zanpakutou)% do total do golpe recebido pelo usuário. A sombra pode ser também atacada diretamente. Caso seja destruída, o jogador deve gastar 1 ação e 20% dos PE's totais para invoca-la novamente.</t>
  </si>
  <si>
    <t>Sombra</t>
  </si>
  <si>
    <t>A liberação possui o efeito de provocar sonolência, ao menor toque, no oponente. Sempre que quiser, o usuário pode optar por não causar dano no golpe e aplicar o efeito de colocar o oponente para dormir, porem pode tentar resistir, com um teste de resistência com redutor de -5.</t>
  </si>
  <si>
    <t>A liberação do usuário permite que seus músculos se tornem mais rígidos, impedindo-o de sentir golpes que tenham como base o dano físico caso o usuário tenha reiatsu de nivel igual ou superior ao do oponente. Golpes de Hakuda não causam dano no usuário.</t>
  </si>
  <si>
    <t>A liberação do usuário repele spíritrons. A liberação impede o uso de golpes mágicos e funcionará apenas caso o usuário tenha reiatsu igual ou maior que o oponente que dera origem aos ataques mágicos e técnicas contra o usuário.</t>
  </si>
  <si>
    <t>O usuário ao liberar sua zanpakutou, torna-se angelical e/ou incrivelmente belo. Inimigos devem ser bem sucedidos em um teste de int-5 para poderem atacar o usuário. Não é possível usar este efeito combinado com o efeito "Intimidação".</t>
  </si>
  <si>
    <t>Moedas</t>
  </si>
  <si>
    <t>Amano Haru</t>
  </si>
  <si>
    <t>Dezato Kito</t>
  </si>
  <si>
    <t>Fui Hana</t>
  </si>
  <si>
    <t>Fujinuma Hisoka</t>
  </si>
  <si>
    <t>Fukushu Rin</t>
  </si>
  <si>
    <t>Ginteki Tsukai</t>
  </si>
  <si>
    <t>asd1</t>
  </si>
  <si>
    <t>Hiki Kyo</t>
  </si>
  <si>
    <t>Hiroki Rakan</t>
  </si>
  <si>
    <t>Hitodame Senkuro</t>
  </si>
  <si>
    <t>Igarashi Hibiki</t>
  </si>
  <si>
    <t>Inuzuri Shingo</t>
  </si>
  <si>
    <t>anni</t>
  </si>
  <si>
    <t>Kagutsuchi Ken</t>
  </si>
  <si>
    <t>Kazuhira Sunny</t>
  </si>
  <si>
    <t>Kazumi Tatsuo</t>
  </si>
  <si>
    <t>Kotomine Kain</t>
  </si>
  <si>
    <t>Kou Mabuchi</t>
  </si>
  <si>
    <t>Nagato Shinji</t>
  </si>
  <si>
    <t>Nijiiro Chara</t>
  </si>
  <si>
    <t>h0p3</t>
  </si>
  <si>
    <t>Reizo Murano</t>
  </si>
  <si>
    <t>Saigo no Oto</t>
  </si>
  <si>
    <t>Sasaki Daichi</t>
  </si>
  <si>
    <t>L3OQ</t>
  </si>
  <si>
    <t>Shimura Hazel</t>
  </si>
  <si>
    <t>Shimura Seiken</t>
  </si>
  <si>
    <t>Shimura Shaw</t>
  </si>
  <si>
    <t>Shimura Takezo</t>
  </si>
  <si>
    <t>Shimura Yu</t>
  </si>
  <si>
    <t>Takeshi Hizashi</t>
  </si>
  <si>
    <t>Wader Ren</t>
  </si>
  <si>
    <t>Ye Qiu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</si>
</sst>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quot;M&quot;"/>
    <numFmt numFmtId="165" formatCode="0\ &quot;Metros&quot;"/>
    <numFmt numFmtId="166" formatCode="0.0"/>
    <numFmt numFmtId="167" formatCode="dd/mm/yy;@"/>
  </numFmts>
  <fonts count="46" x14ac:knownFonts="1">
    <font>
      <sz val="11"/>
      <color theme="1"/>
      <name val="Calibri"/>
      <family val="2"/>
      <scheme val="minor"/>
    </font>
    <font>
      <b/>
      <i/>
      <sz val="10"/>
      <color theme="0"/>
      <name val="Calibri"/>
      <family val="2"/>
      <scheme val="minor"/>
    </font>
    <font>
      <b/>
      <i/>
      <sz val="10"/>
      <name val="Calibri"/>
      <family val="2"/>
      <scheme val="minor"/>
    </font>
    <font>
      <b/>
      <i/>
      <sz val="10"/>
      <color theme="1"/>
      <name val="Calibri"/>
      <family val="2"/>
      <scheme val="minor"/>
    </font>
    <font>
      <i/>
      <sz val="10"/>
      <color theme="0"/>
      <name val="Calibri"/>
      <family val="2"/>
      <scheme val="minor"/>
    </font>
    <font>
      <i/>
      <sz val="9"/>
      <color theme="0"/>
      <name val="Calibri"/>
      <family val="2"/>
      <scheme val="minor"/>
    </font>
    <font>
      <b/>
      <i/>
      <sz val="11"/>
      <color theme="1"/>
      <name val="Calibri"/>
      <family val="2"/>
      <scheme val="minor"/>
    </font>
    <font>
      <b/>
      <i/>
      <sz val="9"/>
      <color theme="1"/>
      <name val="Calibri"/>
      <family val="2"/>
      <scheme val="minor"/>
    </font>
    <font>
      <b/>
      <i/>
      <sz val="8"/>
      <color indexed="8"/>
      <name val="Calibri"/>
      <family val="2"/>
      <scheme val="minor"/>
    </font>
    <font>
      <i/>
      <sz val="11"/>
      <color theme="0"/>
      <name val="Calibri"/>
      <family val="2"/>
      <scheme val="minor"/>
    </font>
    <font>
      <b/>
      <i/>
      <sz val="8"/>
      <color theme="1"/>
      <name val="Calibri"/>
      <family val="2"/>
      <scheme val="minor"/>
    </font>
    <font>
      <b/>
      <sz val="11"/>
      <color theme="1"/>
      <name val="Calibri"/>
      <family val="2"/>
      <scheme val="minor"/>
    </font>
    <font>
      <b/>
      <sz val="10"/>
      <color theme="0"/>
      <name val="Calibri"/>
      <family val="2"/>
      <scheme val="minor"/>
    </font>
    <font>
      <b/>
      <sz val="10"/>
      <color theme="0"/>
      <name val="Segoe UI"/>
      <family val="2"/>
    </font>
    <font>
      <b/>
      <u/>
      <sz val="10"/>
      <color theme="0"/>
      <name val="Segoe UI"/>
      <family val="2"/>
    </font>
    <font>
      <sz val="10"/>
      <color theme="0"/>
      <name val="Segoe UI"/>
      <family val="2"/>
    </font>
    <font>
      <sz val="10"/>
      <name val="Segoe UI"/>
      <family val="2"/>
    </font>
    <font>
      <u/>
      <sz val="10"/>
      <color theme="0"/>
      <name val="Segoe UI"/>
      <family val="2"/>
    </font>
    <font>
      <sz val="9"/>
      <color theme="1"/>
      <name val="Segoe UI"/>
      <family val="2"/>
    </font>
    <font>
      <sz val="10"/>
      <color theme="1"/>
      <name val="Segoe UI"/>
      <family val="2"/>
    </font>
    <font>
      <sz val="9"/>
      <color theme="0"/>
      <name val="Segoe UI"/>
      <family val="2"/>
    </font>
    <font>
      <sz val="11"/>
      <color theme="1"/>
      <name val="Segoe UI"/>
      <family val="2"/>
    </font>
    <font>
      <sz val="10"/>
      <color theme="0"/>
      <name val="Calibri"/>
      <family val="2"/>
      <scheme val="minor"/>
    </font>
    <font>
      <i/>
      <sz val="11"/>
      <color theme="1"/>
      <name val="Calibri"/>
      <family val="2"/>
      <scheme val="minor"/>
    </font>
    <font>
      <b/>
      <sz val="9"/>
      <color theme="0"/>
      <name val="Segoe UI"/>
      <family val="2"/>
    </font>
    <font>
      <b/>
      <sz val="12"/>
      <color theme="0"/>
      <name val="Calibri"/>
      <family val="2"/>
      <scheme val="minor"/>
    </font>
    <font>
      <b/>
      <sz val="10"/>
      <name val="Calibri"/>
      <family val="2"/>
      <scheme val="minor"/>
    </font>
    <font>
      <i/>
      <sz val="9"/>
      <name val="Calibri"/>
      <family val="2"/>
      <scheme val="minor"/>
    </font>
    <font>
      <sz val="10"/>
      <name val="Calibri"/>
      <family val="2"/>
      <scheme val="minor"/>
    </font>
    <font>
      <b/>
      <u/>
      <sz val="11"/>
      <color theme="0"/>
      <name val="Segoe UI"/>
      <family val="2"/>
    </font>
    <font>
      <b/>
      <u/>
      <sz val="10"/>
      <name val="Segoe UI"/>
      <family val="2"/>
    </font>
    <font>
      <b/>
      <sz val="10"/>
      <color theme="1"/>
      <name val="Calibri"/>
      <family val="2"/>
      <scheme val="minor"/>
    </font>
    <font>
      <b/>
      <u/>
      <sz val="10"/>
      <color theme="0"/>
      <name val="Calibri"/>
      <family val="2"/>
      <scheme val="minor"/>
    </font>
    <font>
      <b/>
      <sz val="12"/>
      <color rgb="FF00B050"/>
      <name val="Calibri"/>
      <family val="2"/>
      <scheme val="minor"/>
    </font>
    <font>
      <b/>
      <sz val="10"/>
      <color rgb="FF00B050"/>
      <name val="Calibri"/>
      <family val="2"/>
      <scheme val="minor"/>
    </font>
    <font>
      <b/>
      <i/>
      <sz val="9"/>
      <color theme="0"/>
      <name val="Calibri"/>
      <family val="2"/>
      <scheme val="minor"/>
    </font>
    <font>
      <b/>
      <sz val="12"/>
      <color theme="0"/>
      <name val="Segoe UI"/>
      <family val="2"/>
    </font>
    <font>
      <sz val="11"/>
      <name val="Calibri"/>
      <family val="2"/>
      <scheme val="minor"/>
    </font>
    <font>
      <b/>
      <i/>
      <sz val="8"/>
      <color theme="0"/>
      <name val="Century Gothic"/>
      <family val="2"/>
    </font>
    <font>
      <sz val="8"/>
      <name val="Century Gothic"/>
      <family val="2"/>
    </font>
    <font>
      <b/>
      <u/>
      <sz val="10"/>
      <color rgb="FFFF0000"/>
      <name val="Segoe UI"/>
      <family val="2"/>
    </font>
    <font>
      <b/>
      <sz val="10"/>
      <color rgb="FFFF0000"/>
      <name val="Segoe UI"/>
      <family val="2"/>
    </font>
    <font>
      <sz val="10"/>
      <color rgb="FFFF0000"/>
      <name val="Segoe UI"/>
      <family val="2"/>
    </font>
    <font>
      <b/>
      <sz val="10"/>
      <name val="Segoe UI"/>
      <family val="2"/>
    </font>
    <font>
      <u/>
      <sz val="14"/>
      <color theme="0"/>
      <name val="Segoe UI"/>
      <family val="2"/>
    </font>
    <font>
      <b/>
      <i/>
      <sz val="11"/>
      <color rgb="FFFF0000"/>
      <name val="Calibri"/>
      <family val="2"/>
      <scheme val="minor"/>
    </font>
  </fonts>
  <fills count="38">
    <fill>
      <patternFill patternType="none"/>
    </fill>
    <fill>
      <patternFill patternType="gray125"/>
    </fill>
    <fill>
      <patternFill patternType="solid">
        <fgColor theme="1"/>
        <bgColor indexed="64"/>
      </patternFill>
    </fill>
    <fill>
      <patternFill patternType="solid">
        <fgColor theme="0"/>
        <bgColor indexed="64"/>
      </patternFill>
    </fill>
    <fill>
      <gradientFill type="path" left="0.5" right="0.5" top="0.5" bottom="0.5">
        <stop position="0">
          <color rgb="FF00B050"/>
        </stop>
        <stop position="1">
          <color theme="1"/>
        </stop>
      </gradientFill>
    </fill>
    <fill>
      <gradientFill type="path" left="0.5" right="0.5" top="0.5" bottom="0.5">
        <stop position="0">
          <color rgb="FFC00000"/>
        </stop>
        <stop position="1">
          <color theme="1"/>
        </stop>
      </gradientFill>
    </fill>
    <fill>
      <gradientFill type="path" left="0.5" right="0.5" top="0.5" bottom="0.5">
        <stop position="0">
          <color rgb="FFFF0000"/>
        </stop>
        <stop position="1">
          <color theme="1"/>
        </stop>
      </gradientFill>
    </fill>
    <fill>
      <gradientFill type="path" left="0.5" right="0.5" top="0.5" bottom="0.5">
        <stop position="0">
          <color theme="0" tint="-0.49803155613879818"/>
        </stop>
        <stop position="1">
          <color theme="1"/>
        </stop>
      </gradientFill>
    </fill>
    <fill>
      <patternFill patternType="solid">
        <fgColor theme="1"/>
        <bgColor auto="1"/>
      </patternFill>
    </fill>
    <fill>
      <gradientFill type="path" left="0.5" right="0.5" top="0.5" bottom="0.5">
        <stop position="0">
          <color rgb="FFFF6600"/>
        </stop>
        <stop position="1">
          <color theme="1"/>
        </stop>
      </gradientFill>
    </fill>
    <fill>
      <patternFill patternType="solid">
        <fgColor theme="3" tint="0.59999389629810485"/>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3"/>
        <bgColor indexed="64"/>
      </patternFill>
    </fill>
    <fill>
      <patternFill patternType="solid">
        <fgColor theme="1" tint="0.34998626667073579"/>
        <bgColor indexed="64"/>
      </patternFill>
    </fill>
    <fill>
      <patternFill patternType="solid">
        <fgColor theme="0" tint="-4.9989318521683403E-2"/>
        <bgColor indexed="64"/>
      </patternFill>
    </fill>
    <fill>
      <gradientFill type="path" left="0.5" right="0.5" top="0.5" bottom="0.5">
        <stop position="0">
          <color theme="8" tint="-0.25098422193060094"/>
        </stop>
        <stop position="1">
          <color theme="1"/>
        </stop>
      </gradientFill>
    </fill>
    <fill>
      <gradientFill type="path" left="0.5" right="0.5" top="0.5" bottom="0.5">
        <stop position="0">
          <color theme="5"/>
        </stop>
        <stop position="1">
          <color theme="1"/>
        </stop>
      </gradientFill>
    </fill>
    <fill>
      <gradientFill type="path" left="0.5" right="0.5" top="0.5" bottom="0.5">
        <stop position="0">
          <color theme="3" tint="-0.49803155613879818"/>
        </stop>
        <stop position="1">
          <color theme="1"/>
        </stop>
      </gradientFill>
    </fill>
    <fill>
      <gradientFill type="path" left="0.5" right="0.5" top="0.5" bottom="0.5">
        <stop position="0">
          <color rgb="FF3A163B"/>
        </stop>
        <stop position="1">
          <color theme="1"/>
        </stop>
      </gradientFill>
    </fill>
    <fill>
      <gradientFill type="path" left="0.5" right="0.5" top="0.5" bottom="0.5">
        <stop position="0">
          <color theme="0" tint="-0.25098422193060094"/>
        </stop>
        <stop position="1">
          <color theme="1"/>
        </stop>
      </gradientFill>
    </fill>
    <fill>
      <gradientFill type="path" left="0.5" right="0.5" top="0.5" bottom="0.5">
        <stop position="0">
          <color theme="1" tint="0.25098422193060094"/>
        </stop>
        <stop position="1">
          <color theme="1"/>
        </stop>
      </gradientFill>
    </fill>
    <fill>
      <patternFill patternType="solid">
        <fgColor theme="0"/>
        <bgColor auto="1"/>
      </patternFill>
    </fill>
    <fill>
      <gradientFill type="path" left="0.5" right="0.5" top="0.5" bottom="0.5">
        <stop position="0">
          <color rgb="FF00B0F0"/>
        </stop>
        <stop position="1">
          <color theme="1"/>
        </stop>
      </gradientFill>
    </fill>
    <fill>
      <gradientFill type="path" left="0.5" right="0.5" top="0.5" bottom="0.5">
        <stop position="0">
          <color theme="4" tint="-0.49803155613879818"/>
        </stop>
        <stop position="1">
          <color theme="1"/>
        </stop>
      </gradientFill>
    </fill>
    <fill>
      <gradientFill type="path" left="0.5" right="0.5" top="0.5" bottom="0.5">
        <stop position="0">
          <color theme="1" tint="0.1490218817712943"/>
        </stop>
        <stop position="1">
          <color theme="1"/>
        </stop>
      </gradientFill>
    </fill>
    <fill>
      <gradientFill type="path" left="0.5" right="0.5" top="0.5" bottom="0.5">
        <stop position="0">
          <color rgb="FF0070C0"/>
        </stop>
        <stop position="1">
          <color theme="1"/>
        </stop>
      </gradientFill>
    </fill>
    <fill>
      <gradientFill type="path" left="0.5" right="0.5" top="0.5" bottom="0.5">
        <stop position="0">
          <color theme="1" tint="0.34900967436750391"/>
        </stop>
        <stop position="1">
          <color theme="1"/>
        </stop>
      </gradientFill>
    </fill>
    <fill>
      <gradientFill type="path" left="0.5" right="0.5" top="0.5" bottom="0.5">
        <stop position="0">
          <color theme="2" tint="-0.49803155613879818"/>
        </stop>
        <stop position="1">
          <color theme="1"/>
        </stop>
      </gradientFill>
    </fill>
    <fill>
      <gradientFill type="path" left="0.5" right="0.5" top="0.5" bottom="0.5">
        <stop position="0">
          <color theme="6" tint="-0.49803155613879818"/>
        </stop>
        <stop position="1">
          <color theme="1"/>
        </stop>
      </gradientFill>
    </fill>
    <fill>
      <gradientFill type="path" left="0.5" right="0.5" top="0.5" bottom="0.5">
        <stop position="0">
          <color theme="5" tint="-0.49803155613879818"/>
        </stop>
        <stop position="1">
          <color theme="1"/>
        </stop>
      </gradientFill>
    </fill>
    <fill>
      <gradientFill type="path">
        <stop position="0">
          <color theme="1" tint="0.34900967436750391"/>
        </stop>
        <stop position="1">
          <color theme="1"/>
        </stop>
      </gradientFill>
    </fill>
    <fill>
      <gradientFill type="path" left="0.5" right="0.5" top="0.5" bottom="0.5">
        <stop position="0">
          <color rgb="FF92D050"/>
        </stop>
        <stop position="1">
          <color theme="1"/>
        </stop>
      </gradientFill>
    </fill>
    <fill>
      <gradientFill type="path" left="0.5" right="0.5" top="0.5" bottom="0.5">
        <stop position="0">
          <color rgb="FFFFFF00"/>
        </stop>
        <stop position="1">
          <color theme="1"/>
        </stop>
      </gradientFill>
    </fill>
    <fill>
      <gradientFill type="path" left="0.5" right="0.5" top="0.5" bottom="0.5">
        <stop position="0">
          <color rgb="FF7030A0"/>
        </stop>
        <stop position="1">
          <color theme="1"/>
        </stop>
      </gradientFill>
    </fill>
    <fill>
      <gradientFill type="path" left="0.5" right="0.5" top="0.5" bottom="0.5">
        <stop position="0">
          <color theme="0" tint="-0.34900967436750391"/>
        </stop>
        <stop position="1">
          <color theme="1"/>
        </stop>
      </gradientFill>
    </fill>
    <fill>
      <gradientFill type="path" left="0.5" right="0.5" top="0.5" bottom="0.5">
        <stop position="0">
          <color theme="8"/>
        </stop>
        <stop position="1">
          <color theme="1"/>
        </stop>
      </gradientFill>
    </fill>
    <fill>
      <patternFill patternType="solid">
        <fgColor theme="4" tint="0.59999389629810485"/>
        <bgColor auto="1"/>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theme="1"/>
      </left>
      <right style="thin">
        <color theme="0"/>
      </right>
      <top style="thin">
        <color theme="1"/>
      </top>
      <bottom style="thin">
        <color theme="1"/>
      </bottom>
      <diagonal/>
    </border>
    <border>
      <left style="thin">
        <color theme="0"/>
      </left>
      <right style="thin">
        <color theme="1"/>
      </right>
      <top style="thin">
        <color theme="1"/>
      </top>
      <bottom style="thin">
        <color theme="1"/>
      </bottom>
      <diagonal/>
    </border>
    <border>
      <left style="thin">
        <color theme="0"/>
      </left>
      <right style="thin">
        <color theme="0"/>
      </right>
      <top style="thin">
        <color auto="1"/>
      </top>
      <bottom style="thin">
        <color auto="1"/>
      </bottom>
      <diagonal/>
    </border>
    <border>
      <left/>
      <right style="thin">
        <color indexed="64"/>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2" fillId="32" borderId="0">
      <alignment horizontal="center" vertical="center" wrapText="1" readingOrder="1"/>
    </xf>
    <xf numFmtId="0" fontId="12" fillId="9" borderId="0">
      <alignment horizontal="center" vertical="center" wrapText="1" readingOrder="1"/>
    </xf>
    <xf numFmtId="0" fontId="12" fillId="6" borderId="0">
      <alignment horizontal="center" vertical="center" wrapText="1" readingOrder="1"/>
    </xf>
    <xf numFmtId="0" fontId="31" fillId="33" borderId="0">
      <alignment horizontal="center" vertical="center" wrapText="1" readingOrder="1"/>
    </xf>
    <xf numFmtId="0" fontId="31" fillId="34" borderId="0">
      <alignment horizontal="center" vertical="center" wrapText="1" readingOrder="1"/>
    </xf>
    <xf numFmtId="0" fontId="31" fillId="17" borderId="0">
      <alignment horizontal="center" vertical="center" wrapText="1" readingOrder="1"/>
    </xf>
    <xf numFmtId="0" fontId="31" fillId="35" borderId="0">
      <alignment horizontal="center" vertical="center" wrapText="1" readingOrder="1"/>
    </xf>
    <xf numFmtId="0" fontId="12" fillId="23" borderId="0">
      <alignment horizontal="center" vertical="center" wrapText="1" readingOrder="1"/>
    </xf>
  </cellStyleXfs>
  <cellXfs count="352">
    <xf numFmtId="0" fontId="0" fillId="0" borderId="0" xfId="0"/>
    <xf numFmtId="0" fontId="4" fillId="2" borderId="0" xfId="0" applyFont="1" applyFill="1"/>
    <xf numFmtId="0" fontId="5" fillId="8" borderId="1" xfId="0" applyFont="1" applyFill="1" applyBorder="1" applyAlignment="1">
      <alignment horizontal="center" vertical="center" wrapText="1"/>
    </xf>
    <xf numFmtId="0" fontId="6" fillId="0" borderId="1" xfId="0" quotePrefix="1" applyFont="1" applyBorder="1" applyAlignment="1">
      <alignment horizontal="center" vertical="center"/>
    </xf>
    <xf numFmtId="0" fontId="7" fillId="11" borderId="1" xfId="0" applyFont="1" applyFill="1" applyBorder="1" applyAlignment="1" applyProtection="1">
      <alignment horizontal="center" vertical="center"/>
    </xf>
    <xf numFmtId="0" fontId="6" fillId="13" borderId="1" xfId="0" applyFont="1" applyFill="1" applyBorder="1" applyAlignment="1">
      <alignment horizontal="center" vertical="center"/>
    </xf>
    <xf numFmtId="0" fontId="6" fillId="14" borderId="1" xfId="0" applyFont="1" applyFill="1" applyBorder="1" applyAlignment="1">
      <alignment horizontal="center" vertical="center"/>
    </xf>
    <xf numFmtId="0" fontId="7" fillId="12" borderId="1" xfId="0" applyFont="1" applyFill="1" applyBorder="1" applyAlignment="1" applyProtection="1">
      <alignment horizontal="center" vertical="center"/>
    </xf>
    <xf numFmtId="0" fontId="7" fillId="10" borderId="1" xfId="0" applyFont="1" applyFill="1" applyBorder="1" applyAlignment="1">
      <alignment horizontal="center" vertical="center"/>
    </xf>
    <xf numFmtId="0" fontId="7" fillId="15" borderId="1" xfId="0" applyFont="1" applyFill="1" applyBorder="1" applyAlignment="1">
      <alignment horizontal="center" vertical="center"/>
    </xf>
    <xf numFmtId="0" fontId="7" fillId="10" borderId="1" xfId="0" quotePrefix="1" applyFont="1" applyFill="1" applyBorder="1" applyAlignment="1">
      <alignment horizontal="center" vertical="center"/>
    </xf>
    <xf numFmtId="1" fontId="8" fillId="3" borderId="1" xfId="0" applyNumberFormat="1" applyFont="1" applyFill="1" applyBorder="1" applyAlignment="1">
      <alignment horizontal="center" vertical="center"/>
    </xf>
    <xf numFmtId="1" fontId="8" fillId="15" borderId="1" xfId="0" applyNumberFormat="1" applyFont="1" applyFill="1" applyBorder="1" applyAlignment="1">
      <alignment horizontal="center" vertical="center"/>
    </xf>
    <xf numFmtId="1" fontId="8" fillId="1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NumberFormat="1" applyFont="1" applyBorder="1" applyAlignment="1">
      <alignment horizontal="center" vertical="center"/>
    </xf>
    <xf numFmtId="0" fontId="5" fillId="8" borderId="0" xfId="0" applyFont="1" applyFill="1" applyAlignment="1">
      <alignment horizontal="center" vertical="center" wrapText="1"/>
    </xf>
    <xf numFmtId="0" fontId="9" fillId="2" borderId="0" xfId="0" applyFont="1" applyFill="1" applyBorder="1" applyAlignment="1">
      <alignment wrapText="1"/>
    </xf>
    <xf numFmtId="0" fontId="9" fillId="2" borderId="0" xfId="0" applyFont="1" applyFill="1" applyAlignment="1">
      <alignment wrapText="1"/>
    </xf>
    <xf numFmtId="0" fontId="1" fillId="22" borderId="1" xfId="0" applyFont="1" applyFill="1" applyBorder="1" applyAlignment="1">
      <alignment horizontal="center" vertical="center"/>
    </xf>
    <xf numFmtId="0" fontId="6" fillId="3" borderId="1" xfId="0" applyFont="1" applyFill="1" applyBorder="1" applyAlignment="1">
      <alignment horizontal="center" vertical="center"/>
    </xf>
    <xf numFmtId="0" fontId="2" fillId="22" borderId="1" xfId="0" applyFont="1" applyFill="1" applyBorder="1" applyAlignment="1">
      <alignment horizontal="center" vertical="center"/>
    </xf>
    <xf numFmtId="166" fontId="8" fillId="15"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12" fillId="2" borderId="0" xfId="0" applyFont="1" applyFill="1" applyAlignment="1">
      <alignment horizontal="center" vertical="center"/>
    </xf>
    <xf numFmtId="0" fontId="12" fillId="2" borderId="0" xfId="0" applyFont="1" applyFill="1" applyBorder="1" applyAlignment="1">
      <alignment horizontal="center" vertical="center"/>
    </xf>
    <xf numFmtId="0" fontId="12" fillId="2" borderId="0" xfId="0" applyFont="1" applyFill="1"/>
    <xf numFmtId="0" fontId="12" fillId="2" borderId="0" xfId="0" applyFont="1" applyFill="1" applyAlignment="1">
      <alignment horizontal="center"/>
    </xf>
    <xf numFmtId="0" fontId="22" fillId="2" borderId="0" xfId="0" applyFont="1" applyFill="1"/>
    <xf numFmtId="0" fontId="15" fillId="2" borderId="0" xfId="0" applyFont="1" applyFill="1"/>
    <xf numFmtId="0" fontId="15" fillId="2" borderId="1" xfId="0" applyFont="1" applyFill="1" applyBorder="1" applyAlignment="1">
      <alignment horizontal="center"/>
    </xf>
    <xf numFmtId="0" fontId="13" fillId="18" borderId="0" xfId="0" applyFont="1" applyFill="1" applyAlignment="1" applyProtection="1">
      <alignment horizontal="center" vertical="center"/>
    </xf>
    <xf numFmtId="1" fontId="15" fillId="4" borderId="0" xfId="0" applyNumberFormat="1" applyFont="1" applyFill="1" applyAlignment="1" applyProtection="1">
      <alignment horizontal="center" vertical="center"/>
    </xf>
    <xf numFmtId="0" fontId="15" fillId="18" borderId="0" xfId="0" applyFont="1" applyFill="1" applyAlignment="1" applyProtection="1">
      <alignment horizontal="center" vertical="center"/>
    </xf>
    <xf numFmtId="0" fontId="19" fillId="2" borderId="0" xfId="0" applyFont="1" applyFill="1" applyAlignment="1" applyProtection="1">
      <alignment horizontal="center" vertical="center"/>
    </xf>
    <xf numFmtId="0" fontId="15" fillId="2" borderId="1" xfId="0" applyFont="1" applyFill="1" applyBorder="1" applyAlignment="1" applyProtection="1">
      <alignment horizontal="center" vertical="center"/>
    </xf>
    <xf numFmtId="0" fontId="15" fillId="2" borderId="0" xfId="0" applyFont="1" applyFill="1" applyAlignment="1" applyProtection="1">
      <alignment horizontal="right" vertical="center"/>
    </xf>
    <xf numFmtId="0" fontId="19" fillId="8" borderId="0" xfId="0" applyFont="1" applyFill="1" applyAlignment="1" applyProtection="1">
      <alignment horizontal="center" vertical="center"/>
    </xf>
    <xf numFmtId="0" fontId="0" fillId="2" borderId="0" xfId="0" applyFont="1" applyFill="1"/>
    <xf numFmtId="0" fontId="22" fillId="2" borderId="0" xfId="0" applyFont="1" applyFill="1" applyAlignment="1"/>
    <xf numFmtId="0" fontId="22" fillId="8" borderId="0" xfId="0" applyFont="1" applyFill="1" applyAlignment="1">
      <alignment horizontal="center" vertical="center"/>
    </xf>
    <xf numFmtId="0" fontId="23" fillId="2" borderId="0" xfId="0" applyFont="1" applyFill="1"/>
    <xf numFmtId="0" fontId="23" fillId="2" borderId="0" xfId="0" applyFont="1" applyFill="1" applyBorder="1"/>
    <xf numFmtId="0" fontId="11" fillId="2" borderId="0" xfId="0" applyFont="1" applyFill="1"/>
    <xf numFmtId="0" fontId="12" fillId="8" borderId="0" xfId="0" applyFont="1" applyFill="1" applyAlignment="1">
      <alignment horizontal="center" vertical="center"/>
    </xf>
    <xf numFmtId="0" fontId="21" fillId="2" borderId="3" xfId="0" applyFont="1" applyFill="1" applyBorder="1" applyAlignment="1"/>
    <xf numFmtId="0" fontId="17" fillId="2" borderId="0" xfId="0" applyFont="1" applyFill="1" applyBorder="1" applyAlignment="1">
      <alignment horizontal="center" vertical="center"/>
    </xf>
    <xf numFmtId="0" fontId="17" fillId="2" borderId="5" xfId="0" applyFont="1" applyFill="1" applyBorder="1" applyAlignment="1">
      <alignment horizontal="center" vertical="center"/>
    </xf>
    <xf numFmtId="0" fontId="15" fillId="8" borderId="0" xfId="0" applyFont="1" applyFill="1" applyBorder="1" applyAlignment="1">
      <alignment horizontal="center"/>
    </xf>
    <xf numFmtId="0" fontId="1" fillId="16" borderId="7" xfId="0" applyFont="1" applyFill="1" applyBorder="1" applyAlignment="1">
      <alignment horizontal="center"/>
    </xf>
    <xf numFmtId="0" fontId="6" fillId="0" borderId="1" xfId="0" applyFont="1" applyBorder="1" applyAlignment="1">
      <alignment horizontal="center" vertical="center"/>
    </xf>
    <xf numFmtId="0" fontId="15" fillId="2" borderId="0" xfId="0" applyFont="1" applyFill="1" applyAlignment="1" applyProtection="1">
      <alignment horizontal="center" vertical="center"/>
    </xf>
    <xf numFmtId="0" fontId="17" fillId="2" borderId="0" xfId="0" applyFont="1" applyFill="1" applyAlignment="1" applyProtection="1">
      <alignment horizontal="center" vertical="center"/>
    </xf>
    <xf numFmtId="0" fontId="22" fillId="2" borderId="0" xfId="0" applyFont="1" applyFill="1" applyAlignment="1">
      <alignment horizontal="center" vertical="center"/>
    </xf>
    <xf numFmtId="0" fontId="15" fillId="2" borderId="0" xfId="0" applyFont="1" applyFill="1" applyProtection="1"/>
    <xf numFmtId="0" fontId="14" fillId="2" borderId="0" xfId="0" applyFont="1" applyFill="1" applyAlignment="1" applyProtection="1"/>
    <xf numFmtId="0" fontId="15" fillId="2" borderId="0" xfId="0" applyFont="1" applyFill="1" applyAlignment="1" applyProtection="1">
      <alignment horizontal="right"/>
    </xf>
    <xf numFmtId="0" fontId="15" fillId="2" borderId="0" xfId="0" applyFont="1" applyFill="1" applyAlignment="1" applyProtection="1"/>
    <xf numFmtId="0" fontId="15" fillId="2" borderId="0" xfId="0" applyFont="1" applyFill="1" applyBorder="1" applyProtection="1"/>
    <xf numFmtId="0" fontId="24" fillId="2" borderId="0" xfId="0" applyFont="1" applyFill="1" applyBorder="1" applyAlignment="1" applyProtection="1">
      <alignment vertical="center"/>
    </xf>
    <xf numFmtId="0" fontId="13" fillId="2" borderId="0" xfId="0" applyFont="1" applyFill="1" applyProtection="1"/>
    <xf numFmtId="0" fontId="18" fillId="2" borderId="0" xfId="0" applyFont="1" applyFill="1" applyBorder="1" applyAlignment="1" applyProtection="1">
      <alignment vertical="center"/>
    </xf>
    <xf numFmtId="0" fontId="14" fillId="2" borderId="0" xfId="0" applyFont="1" applyFill="1" applyAlignment="1" applyProtection="1">
      <alignment horizontal="center"/>
    </xf>
    <xf numFmtId="1" fontId="15" fillId="23" borderId="0" xfId="0" applyNumberFormat="1" applyFont="1" applyFill="1" applyAlignment="1" applyProtection="1">
      <alignment horizontal="center" vertical="center"/>
    </xf>
    <xf numFmtId="0" fontId="22" fillId="2" borderId="0" xfId="0" applyFont="1" applyFill="1" applyAlignment="1">
      <alignment horizontal="center" vertical="center"/>
    </xf>
    <xf numFmtId="0" fontId="22" fillId="8" borderId="0" xfId="0" applyFont="1" applyFill="1"/>
    <xf numFmtId="1" fontId="15" fillId="25" borderId="0" xfId="0" applyNumberFormat="1" applyFont="1" applyFill="1" applyAlignment="1" applyProtection="1">
      <alignment horizontal="center" vertical="center"/>
    </xf>
    <xf numFmtId="1" fontId="15" fillId="27" borderId="0" xfId="0" applyNumberFormat="1" applyFont="1" applyFill="1" applyAlignment="1" applyProtection="1">
      <alignment horizontal="center" vertical="center"/>
    </xf>
    <xf numFmtId="0" fontId="13" fillId="26" borderId="0" xfId="0" applyFont="1" applyFill="1" applyAlignment="1" applyProtection="1">
      <alignment horizontal="center" vertical="center"/>
    </xf>
    <xf numFmtId="0" fontId="13" fillId="5" borderId="0" xfId="0" applyFont="1" applyFill="1" applyAlignment="1" applyProtection="1">
      <alignment horizontal="center" vertical="center"/>
    </xf>
    <xf numFmtId="0" fontId="26" fillId="8" borderId="0" xfId="0" applyFont="1" applyFill="1" applyAlignment="1">
      <alignment horizontal="center" vertical="center"/>
    </xf>
    <xf numFmtId="0" fontId="28" fillId="8" borderId="0" xfId="0" applyFont="1" applyFill="1" applyAlignment="1">
      <alignment horizontal="center" vertical="center"/>
    </xf>
    <xf numFmtId="0" fontId="16" fillId="2" borderId="0" xfId="0" applyFont="1" applyFill="1" applyAlignment="1" applyProtection="1">
      <alignment horizontal="center" vertical="center"/>
      <protection hidden="1"/>
    </xf>
    <xf numFmtId="0" fontId="15" fillId="2" borderId="0" xfId="0" applyFont="1" applyFill="1" applyAlignment="1" applyProtection="1">
      <alignment horizontal="center" vertical="center"/>
      <protection hidden="1"/>
    </xf>
    <xf numFmtId="0" fontId="6" fillId="0" borderId="1" xfId="0" applyFont="1" applyBorder="1" applyAlignment="1">
      <alignment horizontal="center" vertical="center"/>
    </xf>
    <xf numFmtId="0" fontId="27" fillId="8" borderId="1" xfId="0" applyFont="1" applyFill="1" applyBorder="1" applyAlignment="1">
      <alignment horizontal="center" vertical="center" wrapText="1"/>
    </xf>
    <xf numFmtId="0" fontId="15" fillId="8" borderId="7" xfId="0" applyFont="1" applyFill="1" applyBorder="1" applyAlignment="1">
      <alignment horizontal="center" vertical="center"/>
    </xf>
    <xf numFmtId="0" fontId="15" fillId="8" borderId="7" xfId="0" applyFont="1" applyFill="1" applyBorder="1" applyAlignment="1">
      <alignment horizontal="center"/>
    </xf>
    <xf numFmtId="0" fontId="15" fillId="2" borderId="0" xfId="0" applyFont="1" applyFill="1" applyAlignment="1" applyProtection="1">
      <alignment horizontal="center" vertical="center"/>
    </xf>
    <xf numFmtId="0" fontId="17" fillId="2" borderId="0" xfId="0" applyFont="1" applyFill="1" applyAlignment="1" applyProtection="1">
      <alignment horizontal="center" vertical="center"/>
    </xf>
    <xf numFmtId="0" fontId="15" fillId="2" borderId="0" xfId="0" applyFont="1" applyFill="1" applyAlignment="1" applyProtection="1">
      <alignment horizontal="center" vertical="center"/>
    </xf>
    <xf numFmtId="0" fontId="13" fillId="29" borderId="0" xfId="0" applyFont="1" applyFill="1" applyAlignment="1" applyProtection="1">
      <alignment horizontal="center" vertical="center"/>
    </xf>
    <xf numFmtId="0" fontId="13" fillId="30" borderId="0" xfId="0" applyFont="1" applyFill="1" applyAlignment="1" applyProtection="1">
      <alignment horizontal="center" vertical="center"/>
    </xf>
    <xf numFmtId="1" fontId="15" fillId="26" borderId="0" xfId="0" applyNumberFormat="1" applyFont="1" applyFill="1" applyAlignment="1" applyProtection="1">
      <alignment horizontal="center" vertical="center"/>
    </xf>
    <xf numFmtId="0" fontId="13" fillId="8" borderId="0" xfId="0" applyFont="1" applyFill="1" applyAlignment="1" applyProtection="1">
      <alignment horizontal="center" vertical="center"/>
    </xf>
    <xf numFmtId="1" fontId="15" fillId="8" borderId="0" xfId="0" applyNumberFormat="1" applyFont="1" applyFill="1" applyAlignment="1" applyProtection="1">
      <alignment horizontal="center" vertical="center"/>
    </xf>
    <xf numFmtId="0" fontId="15" fillId="2" borderId="2" xfId="0" applyFont="1" applyFill="1" applyBorder="1" applyAlignment="1">
      <alignment horizontal="center"/>
    </xf>
    <xf numFmtId="0" fontId="16" fillId="2" borderId="1" xfId="0" applyFont="1" applyFill="1" applyBorder="1" applyAlignment="1">
      <alignment horizontal="center"/>
    </xf>
    <xf numFmtId="0" fontId="16" fillId="8" borderId="7" xfId="0" applyFont="1" applyFill="1" applyBorder="1" applyAlignment="1">
      <alignment horizontal="center" vertical="center"/>
    </xf>
    <xf numFmtId="0" fontId="16" fillId="8" borderId="7" xfId="0" applyFont="1" applyFill="1" applyBorder="1" applyAlignment="1">
      <alignment horizontal="center"/>
    </xf>
    <xf numFmtId="0" fontId="16" fillId="2" borderId="2" xfId="0" applyFont="1" applyFill="1" applyBorder="1" applyAlignment="1">
      <alignment horizontal="center"/>
    </xf>
    <xf numFmtId="0" fontId="14" fillId="2" borderId="0" xfId="0" applyFont="1" applyFill="1" applyBorder="1" applyAlignment="1">
      <alignment vertical="center"/>
    </xf>
    <xf numFmtId="0" fontId="14" fillId="2" borderId="5" xfId="0" applyFont="1" applyFill="1" applyBorder="1" applyAlignment="1">
      <alignment vertical="center"/>
    </xf>
    <xf numFmtId="0" fontId="15" fillId="8" borderId="1" xfId="0" applyFont="1" applyFill="1" applyBorder="1" applyAlignment="1">
      <alignment horizontal="center" vertical="center"/>
    </xf>
    <xf numFmtId="0" fontId="14" fillId="2" borderId="4" xfId="0" applyFont="1" applyFill="1" applyBorder="1" applyAlignment="1">
      <alignment vertical="center"/>
    </xf>
    <xf numFmtId="0" fontId="12" fillId="32" borderId="0" xfId="1">
      <alignment horizontal="center" vertical="center" wrapText="1" readingOrder="1"/>
    </xf>
    <xf numFmtId="0" fontId="12" fillId="8" borderId="0" xfId="1" applyFill="1">
      <alignment horizontal="center" vertical="center" wrapText="1" readingOrder="1"/>
    </xf>
    <xf numFmtId="0" fontId="12" fillId="9" borderId="0" xfId="2">
      <alignment horizontal="center" vertical="center" wrapText="1" readingOrder="1"/>
    </xf>
    <xf numFmtId="0" fontId="12" fillId="8" borderId="0" xfId="2" applyFill="1">
      <alignment horizontal="center" vertical="center" wrapText="1" readingOrder="1"/>
    </xf>
    <xf numFmtId="0" fontId="12" fillId="6" borderId="0" xfId="3">
      <alignment horizontal="center" vertical="center" wrapText="1" readingOrder="1"/>
    </xf>
    <xf numFmtId="0" fontId="31" fillId="8" borderId="0" xfId="5" applyFill="1">
      <alignment horizontal="center" vertical="center" wrapText="1" readingOrder="1"/>
    </xf>
    <xf numFmtId="1" fontId="12" fillId="6" borderId="0" xfId="3" applyNumberFormat="1">
      <alignment horizontal="center" vertical="center" wrapText="1" readingOrder="1"/>
    </xf>
    <xf numFmtId="0" fontId="4" fillId="32" borderId="0" xfId="1" applyFont="1">
      <alignment horizontal="center" vertical="center" wrapText="1" readingOrder="1"/>
    </xf>
    <xf numFmtId="0" fontId="4" fillId="8" borderId="0" xfId="1" applyFont="1" applyFill="1">
      <alignment horizontal="center" vertical="center" wrapText="1" readingOrder="1"/>
    </xf>
    <xf numFmtId="0" fontId="31" fillId="34" borderId="0" xfId="5">
      <alignment horizontal="center" vertical="center" wrapText="1" readingOrder="1"/>
    </xf>
    <xf numFmtId="0" fontId="15" fillId="2" borderId="0" xfId="0" applyFont="1" applyFill="1" applyBorder="1" applyAlignment="1" applyProtection="1">
      <alignment horizontal="center" vertical="center"/>
      <protection hidden="1"/>
    </xf>
    <xf numFmtId="0" fontId="20" fillId="2" borderId="0" xfId="0" applyFont="1" applyFill="1" applyAlignment="1" applyProtection="1">
      <alignment vertical="top"/>
      <protection hidden="1"/>
    </xf>
    <xf numFmtId="0" fontId="13" fillId="2" borderId="0" xfId="0" applyFont="1" applyFill="1" applyAlignment="1" applyProtection="1">
      <alignment horizontal="right" vertical="center"/>
      <protection hidden="1"/>
    </xf>
    <xf numFmtId="0" fontId="16" fillId="2" borderId="0" xfId="0" applyFont="1" applyFill="1" applyBorder="1" applyAlignment="1" applyProtection="1">
      <alignment horizontal="center" vertical="center"/>
      <protection hidden="1"/>
    </xf>
    <xf numFmtId="1" fontId="31" fillId="33" borderId="0" xfId="4" applyNumberFormat="1" applyProtection="1">
      <alignment horizontal="center" vertical="center" wrapText="1" readingOrder="1"/>
      <protection hidden="1"/>
    </xf>
    <xf numFmtId="1" fontId="15" fillId="28" borderId="8" xfId="0" applyNumberFormat="1" applyFont="1" applyFill="1" applyBorder="1" applyAlignment="1" applyProtection="1">
      <alignment horizontal="center" vertical="center"/>
      <protection hidden="1"/>
    </xf>
    <xf numFmtId="0" fontId="15" fillId="2" borderId="0" xfId="0" applyFont="1" applyFill="1" applyAlignment="1" applyProtection="1">
      <alignment horizontal="right" vertical="center"/>
      <protection hidden="1"/>
    </xf>
    <xf numFmtId="0" fontId="17" fillId="2" borderId="0" xfId="0" applyFont="1" applyFill="1" applyAlignment="1" applyProtection="1">
      <alignment horizontal="center" vertical="center"/>
      <protection hidden="1"/>
    </xf>
    <xf numFmtId="0" fontId="15" fillId="2" borderId="1" xfId="0" applyFont="1" applyFill="1" applyBorder="1" applyAlignment="1" applyProtection="1">
      <alignment horizontal="center" vertical="center"/>
      <protection hidden="1"/>
    </xf>
    <xf numFmtId="0" fontId="16" fillId="2" borderId="1" xfId="0" applyFont="1" applyFill="1" applyBorder="1" applyAlignment="1" applyProtection="1">
      <alignment horizontal="center" vertical="center"/>
      <protection hidden="1"/>
    </xf>
    <xf numFmtId="0" fontId="15" fillId="2" borderId="0" xfId="0" applyFont="1" applyFill="1" applyProtection="1">
      <protection hidden="1"/>
    </xf>
    <xf numFmtId="0" fontId="16" fillId="2" borderId="0" xfId="0" applyFont="1" applyFill="1" applyProtection="1">
      <protection hidden="1"/>
    </xf>
    <xf numFmtId="0" fontId="14" fillId="2" borderId="0" xfId="0" applyFont="1" applyFill="1" applyAlignment="1" applyProtection="1">
      <protection hidden="1"/>
    </xf>
    <xf numFmtId="0" fontId="29" fillId="2" borderId="0" xfId="0" applyFont="1" applyFill="1" applyAlignment="1" applyProtection="1">
      <protection hidden="1"/>
    </xf>
    <xf numFmtId="0" fontId="15" fillId="2" borderId="0" xfId="0" applyFont="1" applyFill="1" applyAlignment="1" applyProtection="1">
      <alignment horizontal="right"/>
      <protection hidden="1"/>
    </xf>
    <xf numFmtId="0" fontId="15" fillId="2" borderId="0" xfId="0" applyFont="1" applyFill="1" applyAlignment="1" applyProtection="1">
      <alignment horizontal="center"/>
      <protection hidden="1"/>
    </xf>
    <xf numFmtId="0" fontId="13" fillId="2" borderId="0" xfId="0" applyFont="1" applyFill="1" applyAlignment="1" applyProtection="1">
      <alignment horizontal="right"/>
      <protection hidden="1"/>
    </xf>
    <xf numFmtId="0" fontId="13" fillId="2" borderId="0" xfId="0" applyFont="1" applyFill="1" applyAlignment="1" applyProtection="1">
      <alignment horizontal="center"/>
      <protection hidden="1"/>
    </xf>
    <xf numFmtId="0" fontId="15" fillId="28" borderId="1" xfId="0" applyFont="1" applyFill="1" applyBorder="1" applyAlignment="1" applyProtection="1">
      <alignment horizontal="center"/>
      <protection hidden="1"/>
    </xf>
    <xf numFmtId="0" fontId="15" fillId="7" borderId="1" xfId="0" applyFont="1" applyFill="1" applyBorder="1" applyAlignment="1" applyProtection="1">
      <alignment horizontal="center"/>
      <protection hidden="1"/>
    </xf>
    <xf numFmtId="0" fontId="17" fillId="2" borderId="0" xfId="0" applyFont="1" applyFill="1" applyProtection="1">
      <protection hidden="1"/>
    </xf>
    <xf numFmtId="0" fontId="16" fillId="2" borderId="0" xfId="0" applyFont="1" applyFill="1" applyAlignment="1" applyProtection="1">
      <alignment horizontal="left"/>
      <protection hidden="1"/>
    </xf>
    <xf numFmtId="0" fontId="13" fillId="2" borderId="0" xfId="0" applyFont="1" applyFill="1" applyBorder="1" applyAlignment="1" applyProtection="1">
      <alignment horizontal="right" vertical="center"/>
      <protection hidden="1"/>
    </xf>
    <xf numFmtId="0" fontId="15" fillId="28" borderId="8" xfId="0" applyFont="1" applyFill="1" applyBorder="1" applyAlignment="1" applyProtection="1">
      <alignment horizontal="center"/>
      <protection hidden="1"/>
    </xf>
    <xf numFmtId="0" fontId="13" fillId="2" borderId="0" xfId="0" applyFont="1" applyFill="1" applyBorder="1" applyAlignment="1" applyProtection="1">
      <alignment horizontal="center"/>
      <protection hidden="1"/>
    </xf>
    <xf numFmtId="0" fontId="31" fillId="8" borderId="0" xfId="5" applyFill="1" applyProtection="1">
      <alignment horizontal="center" vertical="center" wrapText="1" readingOrder="1"/>
      <protection hidden="1"/>
    </xf>
    <xf numFmtId="0" fontId="13" fillId="2" borderId="0" xfId="0" applyFont="1" applyFill="1" applyProtection="1">
      <protection hidden="1"/>
    </xf>
    <xf numFmtId="0" fontId="32" fillId="8" borderId="0" xfId="3" applyFont="1" applyFill="1" applyProtection="1">
      <alignment horizontal="center" vertical="center" wrapText="1" readingOrder="1"/>
      <protection hidden="1"/>
    </xf>
    <xf numFmtId="0" fontId="19" fillId="2" borderId="0" xfId="0" applyFont="1" applyFill="1" applyProtection="1">
      <protection hidden="1"/>
    </xf>
    <xf numFmtId="0" fontId="17" fillId="2" borderId="0" xfId="0" applyFont="1" applyFill="1" applyAlignment="1" applyProtection="1">
      <protection hidden="1"/>
    </xf>
    <xf numFmtId="164" fontId="15" fillId="20" borderId="0" xfId="0" applyNumberFormat="1" applyFont="1" applyFill="1" applyAlignment="1" applyProtection="1">
      <alignment horizontal="center"/>
      <protection hidden="1"/>
    </xf>
    <xf numFmtId="0" fontId="15" fillId="28" borderId="0" xfId="0" applyFont="1" applyFill="1" applyAlignment="1" applyProtection="1">
      <alignment horizontal="center"/>
      <protection hidden="1"/>
    </xf>
    <xf numFmtId="0" fontId="16" fillId="2" borderId="0" xfId="0"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0" fontId="12" fillId="9" borderId="0" xfId="2" applyBorder="1">
      <alignment horizontal="center" vertical="center" wrapText="1" readingOrder="1"/>
    </xf>
    <xf numFmtId="0" fontId="12" fillId="32" borderId="0" xfId="1">
      <alignment horizontal="center" vertical="center" wrapText="1" readingOrder="1"/>
    </xf>
    <xf numFmtId="0" fontId="35" fillId="2" borderId="0" xfId="0" applyFont="1" applyFill="1" applyAlignment="1" applyProtection="1">
      <alignment vertical="top"/>
      <protection hidden="1"/>
    </xf>
    <xf numFmtId="0" fontId="12" fillId="8" borderId="0" xfId="3" applyFont="1" applyFill="1" applyProtection="1">
      <alignment horizontal="center" vertical="center" wrapText="1" readingOrder="1"/>
      <protection hidden="1"/>
    </xf>
    <xf numFmtId="1" fontId="12" fillId="34" borderId="0" xfId="5" applyNumberFormat="1" applyFont="1" applyProtection="1">
      <alignment horizontal="center" vertical="center" wrapText="1" readingOrder="1"/>
      <protection hidden="1"/>
    </xf>
    <xf numFmtId="1" fontId="12" fillId="6" borderId="0" xfId="3" applyNumberFormat="1" applyFont="1" applyProtection="1">
      <alignment horizontal="center" vertical="center" wrapText="1" readingOrder="1"/>
      <protection hidden="1"/>
    </xf>
    <xf numFmtId="1" fontId="16" fillId="2" borderId="0" xfId="0" applyNumberFormat="1" applyFont="1" applyFill="1" applyAlignment="1" applyProtection="1">
      <alignment horizontal="center" vertical="center"/>
      <protection hidden="1"/>
    </xf>
    <xf numFmtId="0" fontId="12" fillId="8" borderId="0" xfId="2" applyFill="1" applyBorder="1">
      <alignment horizontal="center" vertical="center" wrapText="1" readingOrder="1"/>
    </xf>
    <xf numFmtId="0" fontId="12" fillId="32" borderId="0" xfId="1">
      <alignment horizontal="center" vertical="center" wrapText="1" readingOrder="1"/>
    </xf>
    <xf numFmtId="0" fontId="37" fillId="0" borderId="0" xfId="0" applyFont="1"/>
    <xf numFmtId="0" fontId="5" fillId="8" borderId="0" xfId="0" applyFont="1" applyFill="1" applyBorder="1" applyAlignment="1">
      <alignment horizontal="center" vertical="center" wrapText="1"/>
    </xf>
    <xf numFmtId="1" fontId="26" fillId="33" borderId="0" xfId="4" applyNumberFormat="1" applyFont="1" applyProtection="1">
      <alignment horizontal="center" vertical="center" wrapText="1" readingOrder="1"/>
      <protection hidden="1"/>
    </xf>
    <xf numFmtId="0" fontId="38" fillId="2" borderId="0" xfId="0" applyFont="1" applyFill="1" applyBorder="1" applyAlignment="1">
      <alignment horizontal="center"/>
    </xf>
    <xf numFmtId="0" fontId="38" fillId="2" borderId="0" xfId="0" applyFont="1" applyFill="1" applyAlignment="1">
      <alignment horizontal="center"/>
    </xf>
    <xf numFmtId="0" fontId="38" fillId="2" borderId="0" xfId="0" applyFont="1" applyFill="1" applyAlignment="1">
      <alignment vertical="center"/>
    </xf>
    <xf numFmtId="0" fontId="13" fillId="2" borderId="0" xfId="0" applyFont="1" applyFill="1" applyAlignment="1">
      <alignment horizontal="right"/>
    </xf>
    <xf numFmtId="1" fontId="31" fillId="33" borderId="0" xfId="4" applyNumberFormat="1" applyFont="1" applyAlignment="1" applyProtection="1">
      <alignment horizontal="center" vertical="center" wrapText="1" readingOrder="1"/>
      <protection hidden="1"/>
    </xf>
    <xf numFmtId="0" fontId="13" fillId="2" borderId="0" xfId="0" applyFont="1" applyFill="1" applyAlignment="1" applyProtection="1">
      <protection hidden="1"/>
    </xf>
    <xf numFmtId="0" fontId="13" fillId="2" borderId="0" xfId="0" applyFont="1" applyFill="1" applyAlignment="1">
      <alignment horizontal="center" vertical="center" wrapText="1"/>
    </xf>
    <xf numFmtId="0" fontId="15" fillId="2" borderId="0" xfId="0" applyFont="1" applyFill="1" applyAlignment="1" applyProtection="1">
      <alignment wrapText="1"/>
      <protection hidden="1"/>
    </xf>
    <xf numFmtId="0" fontId="15" fillId="2" borderId="0" xfId="0" applyFont="1" applyFill="1" applyAlignment="1" applyProtection="1">
      <alignment wrapText="1"/>
    </xf>
    <xf numFmtId="1" fontId="12" fillId="7" borderId="1" xfId="0" applyNumberFormat="1" applyFont="1" applyFill="1" applyBorder="1" applyAlignment="1" applyProtection="1">
      <alignment horizontal="center"/>
      <protection hidden="1"/>
    </xf>
    <xf numFmtId="1" fontId="15" fillId="6" borderId="0" xfId="0" applyNumberFormat="1" applyFont="1" applyFill="1" applyAlignment="1" applyProtection="1">
      <alignment horizontal="center" vertical="center"/>
      <protection locked="0" hidden="1"/>
    </xf>
    <xf numFmtId="0" fontId="12" fillId="32" borderId="0" xfId="1" applyProtection="1">
      <alignment horizontal="center" vertical="center" wrapText="1" readingOrder="1"/>
      <protection locked="0" hidden="1"/>
    </xf>
    <xf numFmtId="0" fontId="12" fillId="9" borderId="0" xfId="2" applyProtection="1">
      <alignment horizontal="center" vertical="center" wrapText="1" readingOrder="1"/>
      <protection locked="0" hidden="1"/>
    </xf>
    <xf numFmtId="9" fontId="15" fillId="21" borderId="0" xfId="0" applyNumberFormat="1" applyFont="1" applyFill="1" applyAlignment="1" applyProtection="1">
      <alignment horizontal="center" vertical="center"/>
      <protection locked="0" hidden="1"/>
    </xf>
    <xf numFmtId="1" fontId="15" fillId="7" borderId="1" xfId="0" applyNumberFormat="1" applyFont="1" applyFill="1" applyBorder="1" applyAlignment="1" applyProtection="1">
      <alignment horizontal="center"/>
      <protection locked="0" hidden="1"/>
    </xf>
    <xf numFmtId="0" fontId="12" fillId="17" borderId="0" xfId="6" applyFont="1" applyProtection="1">
      <alignment horizontal="center" vertical="center" wrapText="1" readingOrder="1"/>
      <protection locked="0" hidden="1"/>
    </xf>
    <xf numFmtId="0" fontId="13" fillId="2" borderId="0" xfId="0" applyFont="1" applyFill="1" applyAlignment="1" applyProtection="1">
      <alignment horizontal="center" vertical="center"/>
      <protection hidden="1"/>
    </xf>
    <xf numFmtId="0" fontId="12" fillId="6" borderId="0" xfId="3" applyFont="1" applyProtection="1">
      <alignment horizontal="center" vertical="center" wrapText="1" readingOrder="1"/>
      <protection hidden="1"/>
    </xf>
    <xf numFmtId="0" fontId="14" fillId="2" borderId="0" xfId="0" applyFont="1" applyFill="1" applyAlignment="1" applyProtection="1">
      <alignment horizontal="center" vertical="center"/>
      <protection hidden="1"/>
    </xf>
    <xf numFmtId="0" fontId="26" fillId="8" borderId="0" xfId="7" applyFont="1" applyFill="1" applyProtection="1">
      <alignment horizontal="center" vertical="center" wrapText="1" readingOrder="1"/>
      <protection hidden="1"/>
    </xf>
    <xf numFmtId="0" fontId="12" fillId="35" borderId="0" xfId="7" applyFont="1" applyProtection="1">
      <alignment horizontal="center" vertical="center" wrapText="1" readingOrder="1"/>
      <protection hidden="1"/>
    </xf>
    <xf numFmtId="0" fontId="16" fillId="2" borderId="0" xfId="0" applyNumberFormat="1" applyFont="1" applyFill="1" applyAlignment="1" applyProtection="1">
      <alignment horizontal="center" vertical="center"/>
      <protection hidden="1"/>
    </xf>
    <xf numFmtId="0" fontId="16" fillId="2" borderId="0" xfId="0" applyNumberFormat="1" applyFont="1" applyFill="1" applyBorder="1" applyAlignment="1" applyProtection="1">
      <alignment horizontal="center" vertical="center"/>
      <protection hidden="1"/>
    </xf>
    <xf numFmtId="0" fontId="12" fillId="6" borderId="0" xfId="3" applyFont="1" applyProtection="1">
      <alignment horizontal="center" vertical="center" wrapText="1" readingOrder="1"/>
      <protection locked="0" hidden="1"/>
    </xf>
    <xf numFmtId="0" fontId="15" fillId="21" borderId="9" xfId="0" applyFont="1" applyFill="1" applyBorder="1" applyAlignment="1" applyProtection="1">
      <alignment horizontal="center" vertical="center"/>
      <protection locked="0" hidden="1"/>
    </xf>
    <xf numFmtId="1" fontId="12" fillId="36" borderId="8" xfId="0" applyNumberFormat="1" applyFont="1" applyFill="1" applyBorder="1" applyAlignment="1" applyProtection="1">
      <alignment horizontal="center" vertical="center"/>
      <protection hidden="1"/>
    </xf>
    <xf numFmtId="1" fontId="12" fillId="20" borderId="8" xfId="0" applyNumberFormat="1" applyFont="1" applyFill="1" applyBorder="1" applyAlignment="1" applyProtection="1">
      <alignment horizontal="center" vertical="center"/>
      <protection hidden="1"/>
    </xf>
    <xf numFmtId="1" fontId="12" fillId="4" borderId="8" xfId="0" applyNumberFormat="1" applyFont="1" applyFill="1" applyBorder="1" applyAlignment="1" applyProtection="1">
      <alignment horizontal="center" vertical="center"/>
      <protection hidden="1"/>
    </xf>
    <xf numFmtId="0" fontId="15" fillId="24" borderId="1" xfId="0" applyFont="1" applyFill="1" applyBorder="1" applyAlignment="1" applyProtection="1">
      <alignment horizontal="center"/>
      <protection locked="0" hidden="1"/>
    </xf>
    <xf numFmtId="9" fontId="15" fillId="7" borderId="0" xfId="0" applyNumberFormat="1" applyFont="1" applyFill="1" applyAlignment="1" applyProtection="1">
      <alignment horizontal="center"/>
      <protection locked="0" hidden="1"/>
    </xf>
    <xf numFmtId="0" fontId="15" fillId="21" borderId="0" xfId="0" applyFont="1" applyFill="1" applyAlignment="1" applyProtection="1">
      <alignment horizontal="center" vertical="center"/>
      <protection locked="0"/>
    </xf>
    <xf numFmtId="1" fontId="15" fillId="6" borderId="0" xfId="0" applyNumberFormat="1" applyFont="1" applyFill="1" applyAlignment="1" applyProtection="1">
      <alignment horizontal="center" vertical="center"/>
      <protection locked="0"/>
    </xf>
    <xf numFmtId="0" fontId="15" fillId="27" borderId="0" xfId="0" applyFont="1" applyFill="1" applyAlignment="1" applyProtection="1">
      <alignment horizontal="center" vertical="center"/>
      <protection locked="0"/>
    </xf>
    <xf numFmtId="9" fontId="15" fillId="25" borderId="0" xfId="0" applyNumberFormat="1" applyFont="1" applyFill="1" applyAlignment="1" applyProtection="1">
      <alignment horizontal="center" vertical="center"/>
      <protection locked="0"/>
    </xf>
    <xf numFmtId="0" fontId="12" fillId="32" borderId="0" xfId="1">
      <alignment horizontal="center" vertical="center" wrapText="1" readingOrder="1"/>
    </xf>
    <xf numFmtId="0" fontId="12" fillId="32" borderId="0" xfId="1" applyBorder="1">
      <alignment horizontal="center" vertical="center" wrapText="1" readingOrder="1"/>
    </xf>
    <xf numFmtId="0" fontId="12" fillId="9" borderId="0" xfId="0" applyFont="1" applyFill="1" applyAlignment="1">
      <alignment horizontal="center"/>
    </xf>
    <xf numFmtId="0" fontId="31" fillId="37" borderId="1" xfId="2" applyFont="1" applyFill="1" applyBorder="1">
      <alignment horizontal="center" vertical="center" wrapText="1" readingOrder="1"/>
    </xf>
    <xf numFmtId="0" fontId="31" fillId="37" borderId="1" xfId="0" applyFont="1" applyFill="1" applyBorder="1" applyAlignment="1">
      <alignment horizontal="center"/>
    </xf>
    <xf numFmtId="0" fontId="6" fillId="0" borderId="1" xfId="0" applyFont="1" applyBorder="1" applyAlignment="1">
      <alignment vertical="center"/>
    </xf>
    <xf numFmtId="0" fontId="12" fillId="32" borderId="0" xfId="1">
      <alignment horizontal="center" vertical="center" wrapText="1" readingOrder="1"/>
    </xf>
    <xf numFmtId="0" fontId="12" fillId="9" borderId="0" xfId="2" applyFont="1" applyAlignment="1" applyProtection="1">
      <alignment horizontal="center" vertical="center" readingOrder="1"/>
      <protection locked="0" hidden="1"/>
    </xf>
    <xf numFmtId="0" fontId="16" fillId="2" borderId="0" xfId="0" applyFont="1" applyFill="1" applyAlignment="1" applyProtection="1">
      <protection hidden="1"/>
    </xf>
    <xf numFmtId="0" fontId="15" fillId="2" borderId="0" xfId="0" applyFont="1" applyFill="1" applyAlignment="1" applyProtection="1">
      <protection hidden="1"/>
    </xf>
    <xf numFmtId="1" fontId="12" fillId="33" borderId="0" xfId="4" applyNumberFormat="1" applyFont="1" applyAlignment="1" applyProtection="1">
      <alignment horizontal="center" vertical="center" readingOrder="1"/>
      <protection hidden="1"/>
    </xf>
    <xf numFmtId="0" fontId="11" fillId="0" borderId="1" xfId="0" applyFont="1" applyBorder="1" applyAlignment="1">
      <alignment horizontal="center" vertical="center"/>
    </xf>
    <xf numFmtId="0" fontId="31" fillId="0" borderId="1" xfId="0" applyFont="1" applyBorder="1" applyAlignment="1">
      <alignment horizontal="center" vertical="center"/>
    </xf>
    <xf numFmtId="0" fontId="26" fillId="22" borderId="1" xfId="0" applyFont="1" applyFill="1" applyBorder="1" applyAlignment="1">
      <alignment horizontal="center" vertical="center"/>
    </xf>
    <xf numFmtId="0" fontId="26" fillId="22" borderId="1" xfId="0" applyNumberFormat="1" applyFont="1" applyFill="1" applyBorder="1" applyAlignment="1">
      <alignment horizontal="center" vertical="center"/>
    </xf>
    <xf numFmtId="0" fontId="26" fillId="22" borderId="1" xfId="0" applyNumberFormat="1" applyFont="1" applyFill="1" applyBorder="1" applyAlignment="1" applyProtection="1">
      <alignment horizontal="center" vertical="center" wrapText="1"/>
      <protection hidden="1"/>
    </xf>
    <xf numFmtId="0" fontId="12" fillId="9" borderId="1" xfId="2" applyBorder="1">
      <alignment horizontal="center" vertical="center" wrapText="1" readingOrder="1"/>
    </xf>
    <xf numFmtId="0" fontId="22" fillId="2" borderId="1" xfId="0" applyFont="1" applyFill="1" applyBorder="1"/>
    <xf numFmtId="0" fontId="4" fillId="2" borderId="1" xfId="0" applyFont="1" applyFill="1" applyBorder="1"/>
    <xf numFmtId="0" fontId="27" fillId="8" borderId="0" xfId="0" applyFont="1" applyFill="1" applyBorder="1" applyAlignment="1">
      <alignment horizontal="center" vertical="center" wrapText="1"/>
    </xf>
    <xf numFmtId="0" fontId="12" fillId="32" borderId="0" xfId="1">
      <alignment horizontal="center" vertical="center" wrapText="1" readingOrder="1"/>
    </xf>
    <xf numFmtId="0" fontId="12" fillId="9" borderId="0" xfId="0" applyFont="1" applyFill="1" applyAlignment="1">
      <alignment horizontal="center" vertical="center"/>
    </xf>
    <xf numFmtId="1" fontId="15" fillId="2" borderId="0" xfId="0" applyNumberFormat="1" applyFont="1" applyFill="1" applyAlignment="1" applyProtection="1">
      <alignment horizontal="center" vertical="center"/>
      <protection hidden="1"/>
    </xf>
    <xf numFmtId="0" fontId="40" fillId="2" borderId="0" xfId="0" applyFont="1" applyFill="1" applyAlignment="1" applyProtection="1">
      <protection hidden="1"/>
    </xf>
    <xf numFmtId="1" fontId="41" fillId="2" borderId="0" xfId="0" applyNumberFormat="1" applyFont="1" applyFill="1" applyAlignment="1" applyProtection="1">
      <alignment horizontal="center" vertical="center"/>
      <protection hidden="1"/>
    </xf>
    <xf numFmtId="0" fontId="41" fillId="2" borderId="0" xfId="0" applyFont="1" applyFill="1" applyAlignment="1" applyProtection="1">
      <alignment horizontal="center"/>
      <protection hidden="1"/>
    </xf>
    <xf numFmtId="1" fontId="41" fillId="2" borderId="0" xfId="0" applyNumberFormat="1" applyFont="1" applyFill="1" applyAlignment="1" applyProtection="1">
      <alignment horizontal="center"/>
      <protection hidden="1"/>
    </xf>
    <xf numFmtId="0" fontId="14" fillId="2" borderId="0" xfId="0" applyFont="1" applyFill="1" applyAlignment="1" applyProtection="1">
      <alignment horizontal="center" vertical="center"/>
      <protection hidden="1"/>
    </xf>
    <xf numFmtId="0" fontId="41" fillId="2" borderId="0" xfId="0" applyFont="1" applyFill="1" applyAlignment="1" applyProtection="1">
      <alignment horizontal="right" vertical="center"/>
      <protection hidden="1"/>
    </xf>
    <xf numFmtId="0" fontId="41" fillId="2" borderId="0" xfId="0" applyFont="1" applyFill="1" applyAlignment="1" applyProtection="1">
      <alignment horizontal="center" vertical="center"/>
      <protection hidden="1"/>
    </xf>
    <xf numFmtId="0" fontId="41" fillId="2" borderId="0" xfId="0" quotePrefix="1" applyFont="1" applyFill="1" applyAlignment="1" applyProtection="1">
      <alignment horizontal="right" vertical="center"/>
      <protection hidden="1"/>
    </xf>
    <xf numFmtId="0" fontId="13" fillId="2" borderId="0" xfId="0" applyFont="1" applyFill="1" applyBorder="1" applyAlignment="1">
      <alignment vertical="center"/>
    </xf>
    <xf numFmtId="0" fontId="41" fillId="2" borderId="0" xfId="0" applyFont="1" applyFill="1" applyAlignment="1" applyProtection="1">
      <alignment horizontal="right"/>
      <protection hidden="1"/>
    </xf>
    <xf numFmtId="0" fontId="41" fillId="2" borderId="0" xfId="0" applyFont="1" applyFill="1" applyAlignment="1" applyProtection="1">
      <alignment horizontal="center"/>
    </xf>
    <xf numFmtId="0" fontId="42" fillId="2" borderId="0" xfId="0" applyFont="1" applyFill="1" applyAlignment="1" applyProtection="1">
      <alignment horizontal="center" vertical="center"/>
      <protection hidden="1"/>
    </xf>
    <xf numFmtId="0" fontId="42" fillId="2" borderId="0" xfId="0" applyFont="1" applyFill="1" applyBorder="1" applyAlignment="1" applyProtection="1">
      <alignment horizontal="center" vertical="center"/>
      <protection hidden="1"/>
    </xf>
    <xf numFmtId="1" fontId="39" fillId="0" borderId="1" xfId="0" applyNumberFormat="1" applyFont="1" applyFill="1" applyBorder="1" applyAlignment="1" applyProtection="1">
      <alignment horizontal="center" vertical="center"/>
      <protection hidden="1"/>
    </xf>
    <xf numFmtId="1" fontId="39" fillId="0" borderId="1" xfId="0" quotePrefix="1" applyNumberFormat="1" applyFont="1" applyFill="1" applyBorder="1" applyProtection="1">
      <protection hidden="1"/>
    </xf>
    <xf numFmtId="0" fontId="39" fillId="0" borderId="1" xfId="0" applyFont="1" applyFill="1" applyBorder="1" applyProtection="1">
      <protection hidden="1"/>
    </xf>
    <xf numFmtId="1" fontId="39" fillId="0" borderId="1" xfId="0" applyNumberFormat="1" applyFont="1" applyFill="1" applyBorder="1" applyProtection="1">
      <protection hidden="1"/>
    </xf>
    <xf numFmtId="1" fontId="15" fillId="26" borderId="0" xfId="0" applyNumberFormat="1" applyFont="1" applyFill="1" applyAlignment="1" applyProtection="1">
      <alignment horizontal="center" vertical="center"/>
      <protection locked="0" hidden="1"/>
    </xf>
    <xf numFmtId="1" fontId="15" fillId="4" borderId="0" xfId="0" applyNumberFormat="1" applyFont="1" applyFill="1" applyAlignment="1" applyProtection="1">
      <alignment horizontal="center" vertical="center"/>
      <protection locked="0" hidden="1"/>
    </xf>
    <xf numFmtId="0" fontId="42" fillId="2" borderId="0" xfId="0" applyFont="1" applyFill="1" applyAlignment="1" applyProtection="1">
      <alignment horizontal="center" vertical="center"/>
    </xf>
    <xf numFmtId="0" fontId="16" fillId="2" borderId="0" xfId="0" applyFont="1" applyFill="1" applyAlignment="1" applyProtection="1">
      <alignment horizontal="center" vertical="center"/>
    </xf>
    <xf numFmtId="0" fontId="13" fillId="34" borderId="0" xfId="0" applyFont="1" applyFill="1" applyAlignment="1" applyProtection="1">
      <alignment horizontal="center" vertical="center"/>
    </xf>
    <xf numFmtId="1" fontId="15" fillId="6" borderId="0" xfId="0" applyNumberFormat="1" applyFont="1" applyFill="1" applyAlignment="1" applyProtection="1">
      <alignment horizontal="center" vertical="center"/>
    </xf>
    <xf numFmtId="0" fontId="15" fillId="27" borderId="0" xfId="0" applyFont="1" applyFill="1" applyAlignment="1" applyProtection="1">
      <alignment horizontal="center" vertical="center"/>
      <protection locked="0" hidden="1"/>
    </xf>
    <xf numFmtId="0" fontId="15" fillId="32" borderId="0" xfId="0" applyFont="1" applyFill="1" applyAlignment="1" applyProtection="1">
      <alignment horizontal="center" vertical="center"/>
      <protection locked="0" hidden="1"/>
    </xf>
    <xf numFmtId="0" fontId="15" fillId="9" borderId="0" xfId="0" applyFont="1" applyFill="1" applyAlignment="1" applyProtection="1">
      <alignment horizontal="center" vertical="center"/>
      <protection locked="0" hidden="1"/>
    </xf>
    <xf numFmtId="0" fontId="43" fillId="2" borderId="0" xfId="0" applyFont="1" applyFill="1" applyAlignment="1" applyProtection="1">
      <alignment horizontal="center" vertical="center"/>
      <protection hidden="1"/>
    </xf>
    <xf numFmtId="0" fontId="16" fillId="2" borderId="0" xfId="0" applyFont="1" applyFill="1" applyAlignment="1" applyProtection="1">
      <alignment horizontal="center"/>
    </xf>
    <xf numFmtId="0" fontId="43" fillId="2" borderId="0" xfId="0" applyFont="1" applyFill="1" applyAlignment="1" applyProtection="1">
      <alignment horizontal="center"/>
      <protection hidden="1"/>
    </xf>
    <xf numFmtId="0" fontId="44" fillId="2" borderId="0" xfId="0" applyFont="1" applyFill="1" applyAlignment="1" applyProtection="1">
      <alignment vertical="center"/>
      <protection hidden="1"/>
    </xf>
    <xf numFmtId="0" fontId="14" fillId="2" borderId="0" xfId="0" applyFont="1" applyFill="1" applyAlignment="1" applyProtection="1">
      <alignment vertical="center"/>
      <protection hidden="1"/>
    </xf>
    <xf numFmtId="0" fontId="16" fillId="8" borderId="0" xfId="0" applyFont="1" applyFill="1" applyAlignment="1" applyProtection="1">
      <alignment horizontal="center"/>
      <protection hidden="1"/>
    </xf>
    <xf numFmtId="0" fontId="45" fillId="0" borderId="1" xfId="0" applyFont="1" applyBorder="1" applyAlignment="1">
      <alignment horizontal="center" vertical="center"/>
    </xf>
    <xf numFmtId="0" fontId="45" fillId="0" borderId="1" xfId="0" applyFont="1" applyBorder="1" applyAlignment="1">
      <alignment horizontal="right" vertical="center"/>
    </xf>
    <xf numFmtId="0" fontId="12" fillId="32" borderId="0" xfId="1">
      <alignment horizontal="center" vertical="center" wrapText="1" readingOrder="1"/>
    </xf>
    <xf numFmtId="0" fontId="45" fillId="0" borderId="2" xfId="0" applyFont="1" applyBorder="1" applyAlignment="1">
      <alignment horizontal="center" vertical="center"/>
    </xf>
    <xf numFmtId="0" fontId="45" fillId="0" borderId="3" xfId="0" applyFont="1" applyBorder="1" applyAlignment="1">
      <alignment horizontal="center" vertical="center"/>
    </xf>
    <xf numFmtId="0" fontId="20" fillId="25" borderId="9" xfId="0" applyFont="1" applyFill="1" applyBorder="1" applyAlignment="1" applyProtection="1">
      <alignment horizontal="center" vertical="center"/>
      <protection locked="0"/>
    </xf>
    <xf numFmtId="0" fontId="20" fillId="25" borderId="10" xfId="0" applyFont="1" applyFill="1" applyBorder="1" applyAlignment="1" applyProtection="1">
      <alignment horizontal="center" vertical="center"/>
      <protection locked="0"/>
    </xf>
    <xf numFmtId="0" fontId="20" fillId="27" borderId="9" xfId="0" applyFont="1" applyFill="1" applyBorder="1" applyAlignment="1" applyProtection="1">
      <alignment horizontal="center" vertical="center"/>
      <protection locked="0"/>
    </xf>
    <xf numFmtId="0" fontId="20" fillId="27" borderId="10" xfId="0" applyFont="1" applyFill="1" applyBorder="1" applyAlignment="1" applyProtection="1">
      <alignment horizontal="center" vertical="center"/>
      <protection locked="0"/>
    </xf>
    <xf numFmtId="0" fontId="14" fillId="2" borderId="0" xfId="0" applyFont="1" applyFill="1" applyAlignment="1" applyProtection="1">
      <alignment horizontal="center"/>
    </xf>
    <xf numFmtId="167" fontId="20" fillId="27" borderId="11" xfId="0" applyNumberFormat="1" applyFont="1" applyFill="1" applyBorder="1" applyAlignment="1" applyProtection="1">
      <alignment horizontal="center" vertical="center"/>
      <protection locked="0"/>
    </xf>
    <xf numFmtId="167" fontId="20" fillId="27" borderId="12" xfId="0" applyNumberFormat="1" applyFont="1" applyFill="1" applyBorder="1" applyAlignment="1" applyProtection="1">
      <alignment horizontal="center" vertical="center"/>
      <protection locked="0"/>
    </xf>
    <xf numFmtId="0" fontId="13" fillId="2" borderId="0" xfId="0" applyFont="1" applyFill="1" applyBorder="1" applyAlignment="1" applyProtection="1">
      <alignment horizontal="center"/>
    </xf>
    <xf numFmtId="0" fontId="20" fillId="25" borderId="11" xfId="0" applyFont="1" applyFill="1" applyBorder="1" applyAlignment="1" applyProtection="1">
      <alignment horizontal="center" vertical="center"/>
      <protection locked="0"/>
    </xf>
    <xf numFmtId="0" fontId="20" fillId="25" borderId="15" xfId="0" applyFont="1" applyFill="1" applyBorder="1" applyAlignment="1" applyProtection="1">
      <alignment horizontal="center" vertical="center"/>
      <protection locked="0"/>
    </xf>
    <xf numFmtId="0" fontId="20" fillId="25" borderId="12" xfId="0" applyFont="1" applyFill="1" applyBorder="1" applyAlignment="1" applyProtection="1">
      <alignment horizontal="center" vertical="center"/>
      <protection locked="0"/>
    </xf>
    <xf numFmtId="0" fontId="20" fillId="25" borderId="13" xfId="0" applyFont="1" applyFill="1" applyBorder="1" applyAlignment="1" applyProtection="1">
      <alignment horizontal="center" vertical="center"/>
      <protection locked="0"/>
    </xf>
    <xf numFmtId="0" fontId="20" fillId="25" borderId="14" xfId="0" applyFont="1" applyFill="1" applyBorder="1" applyAlignment="1" applyProtection="1">
      <alignment horizontal="center" vertical="center"/>
      <protection locked="0"/>
    </xf>
    <xf numFmtId="0" fontId="20" fillId="27" borderId="13" xfId="0" applyFont="1" applyFill="1" applyBorder="1" applyAlignment="1" applyProtection="1">
      <alignment horizontal="center" vertical="center"/>
      <protection locked="0"/>
    </xf>
    <xf numFmtId="0" fontId="20" fillId="27" borderId="14" xfId="0" applyFont="1" applyFill="1" applyBorder="1" applyAlignment="1" applyProtection="1">
      <alignment horizontal="center" vertical="center"/>
      <protection locked="0"/>
    </xf>
    <xf numFmtId="0" fontId="20" fillId="27" borderId="11" xfId="0" applyFont="1" applyFill="1" applyBorder="1" applyAlignment="1" applyProtection="1">
      <alignment horizontal="center" vertical="center"/>
      <protection locked="0"/>
    </xf>
    <xf numFmtId="0" fontId="20" fillId="27" borderId="12" xfId="0" applyFont="1" applyFill="1" applyBorder="1" applyAlignment="1" applyProtection="1">
      <alignment horizontal="center" vertical="center"/>
      <protection locked="0"/>
    </xf>
    <xf numFmtId="0" fontId="13" fillId="2" borderId="0" xfId="0" applyFont="1" applyFill="1" applyAlignment="1" applyProtection="1">
      <alignment horizontal="center"/>
    </xf>
    <xf numFmtId="0" fontId="13" fillId="2" borderId="0" xfId="0" applyFont="1" applyFill="1" applyBorder="1" applyAlignment="1" applyProtection="1">
      <alignment horizontal="center" vertical="center"/>
    </xf>
    <xf numFmtId="0" fontId="15" fillId="31" borderId="17" xfId="0" applyFont="1" applyFill="1" applyBorder="1" applyAlignment="1" applyProtection="1">
      <alignment horizontal="center" vertical="center"/>
      <protection locked="0"/>
    </xf>
    <xf numFmtId="0" fontId="15" fillId="31" borderId="18" xfId="0" applyFont="1" applyFill="1" applyBorder="1" applyAlignment="1" applyProtection="1">
      <alignment horizontal="center" vertical="center"/>
      <protection locked="0"/>
    </xf>
    <xf numFmtId="0" fontId="15" fillId="31" borderId="19" xfId="0" applyFont="1" applyFill="1" applyBorder="1" applyAlignment="1" applyProtection="1">
      <alignment horizontal="center" vertical="center"/>
      <protection locked="0"/>
    </xf>
    <xf numFmtId="0" fontId="15" fillId="31" borderId="20" xfId="0" applyFont="1" applyFill="1" applyBorder="1" applyAlignment="1" applyProtection="1">
      <alignment horizontal="center" vertical="center"/>
      <protection locked="0"/>
    </xf>
    <xf numFmtId="0" fontId="15" fillId="31" borderId="0" xfId="0" applyFont="1" applyFill="1" applyBorder="1" applyAlignment="1" applyProtection="1">
      <alignment horizontal="center" vertical="center"/>
      <protection locked="0"/>
    </xf>
    <xf numFmtId="0" fontId="15" fillId="31" borderId="21" xfId="0" applyFont="1" applyFill="1" applyBorder="1" applyAlignment="1" applyProtection="1">
      <alignment horizontal="center" vertical="center"/>
      <protection locked="0"/>
    </xf>
    <xf numFmtId="0" fontId="15" fillId="31" borderId="22" xfId="0" applyFont="1" applyFill="1" applyBorder="1" applyAlignment="1" applyProtection="1">
      <alignment horizontal="center" vertical="center"/>
      <protection locked="0"/>
    </xf>
    <xf numFmtId="0" fontId="15" fillId="31" borderId="23" xfId="0" applyFont="1" applyFill="1" applyBorder="1" applyAlignment="1" applyProtection="1">
      <alignment horizontal="center" vertical="center"/>
      <protection locked="0"/>
    </xf>
    <xf numFmtId="0" fontId="15" fillId="31" borderId="24" xfId="0" applyFont="1" applyFill="1" applyBorder="1" applyAlignment="1" applyProtection="1">
      <alignment horizontal="center" vertical="center"/>
      <protection locked="0"/>
    </xf>
    <xf numFmtId="0" fontId="36" fillId="2" borderId="0" xfId="0" applyFont="1" applyFill="1" applyAlignment="1" applyProtection="1">
      <alignment horizontal="center" vertical="center"/>
      <protection hidden="1"/>
    </xf>
    <xf numFmtId="0" fontId="14" fillId="2" borderId="0" xfId="0" applyFont="1" applyFill="1" applyAlignment="1" applyProtection="1">
      <alignment horizontal="left" vertical="center"/>
      <protection hidden="1"/>
    </xf>
    <xf numFmtId="0" fontId="14" fillId="2" borderId="0" xfId="0" applyFont="1" applyFill="1" applyAlignment="1" applyProtection="1">
      <alignment horizontal="center" vertical="center"/>
      <protection hidden="1"/>
    </xf>
    <xf numFmtId="0" fontId="12" fillId="6" borderId="0" xfId="3" applyFont="1" applyAlignment="1" applyProtection="1">
      <alignment horizontal="center" vertical="center" readingOrder="1"/>
      <protection locked="0"/>
    </xf>
    <xf numFmtId="0" fontId="12" fillId="6" borderId="0" xfId="3" applyFont="1" applyProtection="1">
      <alignment horizontal="center" vertical="center" wrapText="1" readingOrder="1"/>
      <protection locked="0"/>
    </xf>
    <xf numFmtId="0" fontId="12" fillId="6" borderId="0" xfId="3" applyFont="1" applyProtection="1">
      <alignment horizontal="center" vertical="center" wrapText="1" readingOrder="1"/>
      <protection locked="0" hidden="1"/>
    </xf>
    <xf numFmtId="0" fontId="12" fillId="6" borderId="0" xfId="3" applyFont="1" applyAlignment="1" applyProtection="1">
      <alignment horizontal="center" vertical="center" readingOrder="1"/>
      <protection locked="0" hidden="1"/>
    </xf>
    <xf numFmtId="0" fontId="13" fillId="8" borderId="0" xfId="0" applyFont="1" applyFill="1" applyBorder="1" applyAlignment="1" applyProtection="1">
      <alignment horizontal="right"/>
      <protection hidden="1"/>
    </xf>
    <xf numFmtId="1" fontId="12" fillId="6" borderId="0" xfId="3" applyNumberFormat="1" applyFont="1" applyAlignment="1" applyProtection="1">
      <alignment horizontal="left" vertical="center" readingOrder="1"/>
      <protection locked="0"/>
    </xf>
    <xf numFmtId="0" fontId="13" fillId="2" borderId="0" xfId="0" applyFont="1" applyFill="1" applyAlignment="1" applyProtection="1">
      <alignment horizontal="center" vertical="center"/>
      <protection hidden="1"/>
    </xf>
    <xf numFmtId="0" fontId="12" fillId="6" borderId="0" xfId="3" applyFont="1" applyAlignment="1" applyProtection="1">
      <alignment horizontal="center" vertical="center" wrapText="1" readingOrder="1"/>
      <protection locked="0"/>
    </xf>
    <xf numFmtId="0" fontId="12" fillId="5" borderId="26" xfId="0" applyFont="1" applyFill="1" applyBorder="1" applyAlignment="1" applyProtection="1">
      <alignment horizontal="center"/>
      <protection locked="0" hidden="1"/>
    </xf>
    <xf numFmtId="0" fontId="12" fillId="5" borderId="0" xfId="0" applyFont="1" applyFill="1" applyBorder="1" applyAlignment="1" applyProtection="1">
      <alignment horizontal="center"/>
      <protection locked="0" hidden="1"/>
    </xf>
    <xf numFmtId="0" fontId="12" fillId="5" borderId="16" xfId="0" applyFont="1" applyFill="1" applyBorder="1" applyAlignment="1" applyProtection="1">
      <alignment horizontal="center"/>
      <protection locked="0" hidden="1"/>
    </xf>
    <xf numFmtId="0" fontId="12" fillId="5" borderId="27" xfId="0" applyFont="1" applyFill="1" applyBorder="1" applyAlignment="1" applyProtection="1">
      <alignment horizontal="center"/>
      <protection hidden="1"/>
    </xf>
    <xf numFmtId="0" fontId="12" fillId="5" borderId="5" xfId="0" applyFont="1" applyFill="1" applyBorder="1" applyAlignment="1" applyProtection="1">
      <alignment horizontal="center"/>
      <protection hidden="1"/>
    </xf>
    <xf numFmtId="0" fontId="12" fillId="5" borderId="28" xfId="0" applyFont="1" applyFill="1" applyBorder="1" applyAlignment="1" applyProtection="1">
      <alignment horizontal="center"/>
      <protection hidden="1"/>
    </xf>
    <xf numFmtId="0" fontId="12" fillId="6" borderId="0" xfId="3" applyAlignment="1" applyProtection="1">
      <alignment horizontal="center" vertical="center" readingOrder="1"/>
      <protection locked="0"/>
    </xf>
    <xf numFmtId="0" fontId="12" fillId="32" borderId="0" xfId="1" applyProtection="1">
      <alignment horizontal="center" vertical="center" wrapText="1" readingOrder="1"/>
      <protection locked="0" hidden="1"/>
    </xf>
    <xf numFmtId="0" fontId="12" fillId="9" borderId="0" xfId="2" applyProtection="1">
      <alignment horizontal="center" vertical="center" wrapText="1" readingOrder="1"/>
      <protection locked="0" hidden="1"/>
    </xf>
    <xf numFmtId="0" fontId="13" fillId="2" borderId="0" xfId="0" applyFont="1" applyFill="1" applyAlignment="1" applyProtection="1">
      <alignment horizontal="left"/>
      <protection hidden="1"/>
    </xf>
    <xf numFmtId="0" fontId="13" fillId="2" borderId="5" xfId="0" applyFont="1" applyFill="1" applyBorder="1" applyAlignment="1" applyProtection="1">
      <alignment horizontal="center"/>
      <protection hidden="1"/>
    </xf>
    <xf numFmtId="0" fontId="13" fillId="2" borderId="0" xfId="0" applyFont="1" applyFill="1" applyAlignment="1" applyProtection="1">
      <alignment horizontal="center"/>
      <protection hidden="1"/>
    </xf>
    <xf numFmtId="0" fontId="13" fillId="8" borderId="5" xfId="0" applyFont="1" applyFill="1" applyBorder="1" applyAlignment="1" applyProtection="1">
      <alignment horizontal="center"/>
      <protection hidden="1"/>
    </xf>
    <xf numFmtId="0" fontId="20" fillId="24" borderId="2" xfId="0" applyFont="1" applyFill="1" applyBorder="1" applyAlignment="1" applyProtection="1">
      <alignment horizontal="center" vertical="center"/>
      <protection locked="0" hidden="1"/>
    </xf>
    <xf numFmtId="0" fontId="20" fillId="24" borderId="6" xfId="0" applyFont="1" applyFill="1" applyBorder="1" applyAlignment="1" applyProtection="1">
      <alignment horizontal="center" vertical="center"/>
      <protection locked="0" hidden="1"/>
    </xf>
    <xf numFmtId="0" fontId="20" fillId="24" borderId="3" xfId="0" applyFont="1" applyFill="1" applyBorder="1" applyAlignment="1" applyProtection="1">
      <alignment horizontal="center" vertical="center"/>
      <protection locked="0" hidden="1"/>
    </xf>
    <xf numFmtId="165" fontId="20" fillId="20" borderId="2" xfId="0" applyNumberFormat="1" applyFont="1" applyFill="1" applyBorder="1" applyAlignment="1" applyProtection="1">
      <alignment horizontal="center" vertical="center"/>
      <protection hidden="1"/>
    </xf>
    <xf numFmtId="165" fontId="20" fillId="20" borderId="6" xfId="0" applyNumberFormat="1" applyFont="1" applyFill="1" applyBorder="1" applyAlignment="1" applyProtection="1">
      <alignment horizontal="center" vertical="center"/>
      <protection hidden="1"/>
    </xf>
    <xf numFmtId="165" fontId="20" fillId="20" borderId="3" xfId="0" applyNumberFormat="1" applyFont="1" applyFill="1" applyBorder="1" applyAlignment="1" applyProtection="1">
      <alignment horizontal="center" vertical="center"/>
      <protection hidden="1"/>
    </xf>
    <xf numFmtId="0" fontId="12" fillId="6" borderId="0" xfId="3" applyProtection="1">
      <alignment horizontal="center" vertical="center" wrapText="1" readingOrder="1"/>
      <protection locked="0"/>
    </xf>
    <xf numFmtId="0" fontId="12" fillId="17" borderId="2" xfId="0" applyFont="1" applyFill="1" applyBorder="1" applyAlignment="1" applyProtection="1">
      <alignment horizontal="center"/>
      <protection hidden="1"/>
    </xf>
    <xf numFmtId="0" fontId="12" fillId="17" borderId="3" xfId="0" applyFont="1" applyFill="1" applyBorder="1" applyAlignment="1" applyProtection="1">
      <alignment horizontal="center"/>
      <protection hidden="1"/>
    </xf>
    <xf numFmtId="0" fontId="12" fillId="32" borderId="4" xfId="8" applyFont="1" applyFill="1" applyBorder="1" applyAlignment="1" applyProtection="1">
      <alignment horizontal="center" vertical="center" wrapText="1" readingOrder="1"/>
      <protection hidden="1"/>
    </xf>
    <xf numFmtId="0" fontId="12" fillId="32" borderId="0" xfId="8" applyFont="1" applyFill="1" applyBorder="1" applyAlignment="1" applyProtection="1">
      <alignment horizontal="center" vertical="center" wrapText="1" readingOrder="1"/>
      <protection hidden="1"/>
    </xf>
    <xf numFmtId="0" fontId="14" fillId="2" borderId="0" xfId="0" applyFont="1" applyFill="1" applyAlignment="1" applyProtection="1">
      <alignment horizontal="center"/>
      <protection hidden="1"/>
    </xf>
    <xf numFmtId="0" fontId="13" fillId="2" borderId="0" xfId="0" applyFont="1" applyFill="1" applyBorder="1" applyAlignment="1" applyProtection="1">
      <alignment horizontal="center" vertical="center"/>
      <protection hidden="1"/>
    </xf>
    <xf numFmtId="0" fontId="12" fillId="6" borderId="0" xfId="8" applyFont="1" applyFill="1" applyBorder="1" applyAlignment="1" applyProtection="1">
      <alignment horizontal="center" vertical="center" wrapText="1" readingOrder="1"/>
      <protection hidden="1"/>
    </xf>
    <xf numFmtId="0" fontId="15" fillId="2" borderId="5" xfId="0" applyFont="1" applyFill="1" applyBorder="1" applyAlignment="1" applyProtection="1">
      <alignment horizontal="center"/>
      <protection hidden="1"/>
    </xf>
    <xf numFmtId="0" fontId="20" fillId="25" borderId="2" xfId="0" applyFont="1" applyFill="1" applyBorder="1" applyAlignment="1" applyProtection="1">
      <alignment horizontal="center" vertical="center"/>
      <protection locked="0"/>
    </xf>
    <xf numFmtId="0" fontId="20" fillId="25" borderId="6" xfId="0" applyFont="1" applyFill="1" applyBorder="1" applyAlignment="1" applyProtection="1">
      <alignment horizontal="center" vertical="center"/>
      <protection locked="0"/>
    </xf>
    <xf numFmtId="0" fontId="20" fillId="25" borderId="3" xfId="0" applyFont="1" applyFill="1" applyBorder="1" applyAlignment="1" applyProtection="1">
      <alignment horizontal="center" vertical="center"/>
      <protection locked="0"/>
    </xf>
    <xf numFmtId="0" fontId="20" fillId="21" borderId="2" xfId="0" applyFont="1" applyFill="1" applyBorder="1" applyAlignment="1" applyProtection="1">
      <alignment horizontal="center" vertical="center"/>
      <protection hidden="1"/>
    </xf>
    <xf numFmtId="0" fontId="20" fillId="21" borderId="6" xfId="0" applyFont="1" applyFill="1" applyBorder="1" applyAlignment="1" applyProtection="1">
      <alignment horizontal="center" vertical="center"/>
      <protection hidden="1"/>
    </xf>
    <xf numFmtId="0" fontId="12" fillId="23" borderId="0" xfId="8" applyFont="1" applyAlignment="1" applyProtection="1">
      <alignment horizontal="center" vertical="center" readingOrder="1"/>
      <protection locked="0"/>
    </xf>
    <xf numFmtId="0" fontId="12" fillId="32" borderId="0" xfId="1" applyFont="1" applyAlignment="1" applyProtection="1">
      <alignment horizontal="center" vertical="center" readingOrder="1"/>
      <protection locked="0" hidden="1"/>
    </xf>
    <xf numFmtId="0" fontId="14" fillId="2" borderId="0" xfId="0" applyFont="1" applyFill="1" applyAlignment="1" applyProtection="1">
      <alignment horizontal="left"/>
      <protection hidden="1"/>
    </xf>
    <xf numFmtId="0" fontId="20" fillId="25" borderId="25" xfId="0" applyFont="1" applyFill="1" applyBorder="1" applyAlignment="1" applyProtection="1">
      <alignment horizontal="center" vertical="center"/>
      <protection locked="0"/>
    </xf>
    <xf numFmtId="0" fontId="20" fillId="25" borderId="4" xfId="0" applyFont="1" applyFill="1" applyBorder="1" applyAlignment="1" applyProtection="1">
      <alignment horizontal="center" vertical="center"/>
      <protection locked="0"/>
    </xf>
    <xf numFmtId="1" fontId="12" fillId="23" borderId="0" xfId="8" applyNumberFormat="1" applyFont="1" applyAlignment="1" applyProtection="1">
      <alignment horizontal="center" vertical="center" readingOrder="1"/>
      <protection locked="0"/>
    </xf>
    <xf numFmtId="0" fontId="14" fillId="2" borderId="0" xfId="0" applyFont="1" applyFill="1" applyAlignment="1" applyProtection="1">
      <protection hidden="1"/>
    </xf>
    <xf numFmtId="0" fontId="20" fillId="5" borderId="7" xfId="0" applyFont="1" applyFill="1" applyBorder="1" applyAlignment="1" applyProtection="1">
      <alignment horizontal="center"/>
      <protection locked="0" hidden="1"/>
    </xf>
    <xf numFmtId="0" fontId="15" fillId="2" borderId="0" xfId="0" applyFont="1" applyFill="1" applyAlignment="1" applyProtection="1">
      <alignment horizontal="center" vertical="center"/>
    </xf>
    <xf numFmtId="0" fontId="17" fillId="2" borderId="0" xfId="0" applyFont="1" applyFill="1" applyAlignment="1" applyProtection="1">
      <alignment horizontal="center" vertical="center"/>
    </xf>
    <xf numFmtId="0" fontId="20" fillId="24" borderId="2" xfId="0" applyFont="1" applyFill="1" applyBorder="1" applyAlignment="1" applyProtection="1">
      <alignment horizontal="center" vertical="center"/>
      <protection hidden="1"/>
    </xf>
    <xf numFmtId="0" fontId="20" fillId="24" borderId="6" xfId="0" applyFont="1" applyFill="1" applyBorder="1" applyAlignment="1" applyProtection="1">
      <alignment horizontal="center" vertical="center"/>
      <protection hidden="1"/>
    </xf>
    <xf numFmtId="0" fontId="15" fillId="2" borderId="4" xfId="0" applyFont="1" applyFill="1" applyBorder="1" applyAlignment="1" applyProtection="1">
      <alignment horizontal="center" vertical="center"/>
    </xf>
    <xf numFmtId="0" fontId="15" fillId="19" borderId="0" xfId="0" applyFont="1" applyFill="1" applyBorder="1" applyAlignment="1" applyProtection="1">
      <alignment horizontal="center" vertical="center"/>
    </xf>
    <xf numFmtId="0" fontId="20" fillId="24" borderId="2" xfId="0" applyFont="1" applyFill="1" applyBorder="1" applyAlignment="1" applyProtection="1">
      <alignment horizontal="center" vertical="center"/>
    </xf>
    <xf numFmtId="0" fontId="20" fillId="24" borderId="6" xfId="0" applyFont="1" applyFill="1" applyBorder="1" applyAlignment="1" applyProtection="1">
      <alignment horizontal="center" vertical="center"/>
    </xf>
    <xf numFmtId="0" fontId="25" fillId="2" borderId="0" xfId="0" applyFont="1" applyFill="1" applyBorder="1" applyAlignment="1">
      <alignment horizontal="center" vertical="center"/>
    </xf>
    <xf numFmtId="0" fontId="25" fillId="2" borderId="0" xfId="0" applyFont="1" applyFill="1" applyBorder="1" applyAlignment="1">
      <alignment horizontal="center" vertical="center" wrapText="1"/>
    </xf>
    <xf numFmtId="0" fontId="25" fillId="2" borderId="0" xfId="0" applyFont="1" applyFill="1" applyAlignment="1">
      <alignment horizontal="center" vertical="center"/>
    </xf>
    <xf numFmtId="0" fontId="14" fillId="2" borderId="0" xfId="0" applyFont="1" applyFill="1" applyBorder="1" applyAlignment="1">
      <alignment horizontal="center" vertical="center"/>
    </xf>
    <xf numFmtId="0" fontId="30" fillId="2" borderId="0" xfId="0" applyFont="1" applyFill="1" applyBorder="1" applyAlignment="1">
      <alignment horizontal="center" vertical="center"/>
    </xf>
    <xf numFmtId="0" fontId="30" fillId="2" borderId="5" xfId="0" applyFont="1" applyFill="1" applyBorder="1" applyAlignment="1">
      <alignment horizontal="center" vertical="center"/>
    </xf>
    <xf numFmtId="0" fontId="16" fillId="2" borderId="2" xfId="0" applyFont="1" applyFill="1" applyBorder="1" applyAlignment="1">
      <alignment horizontal="center"/>
    </xf>
    <xf numFmtId="0" fontId="16" fillId="2" borderId="6" xfId="0" applyFont="1" applyFill="1" applyBorder="1" applyAlignment="1">
      <alignment horizontal="center"/>
    </xf>
    <xf numFmtId="0" fontId="16" fillId="8" borderId="2" xfId="0" applyFont="1" applyFill="1" applyBorder="1" applyAlignment="1">
      <alignment horizontal="center"/>
    </xf>
    <xf numFmtId="0" fontId="16" fillId="8" borderId="6" xfId="0" applyFont="1" applyFill="1" applyBorder="1" applyAlignment="1">
      <alignment horizontal="center"/>
    </xf>
    <xf numFmtId="0" fontId="14" fillId="2" borderId="5" xfId="0" applyFont="1" applyFill="1" applyBorder="1" applyAlignment="1">
      <alignment horizontal="center" vertical="center"/>
    </xf>
    <xf numFmtId="0" fontId="15" fillId="8" borderId="2" xfId="0" applyFont="1" applyFill="1" applyBorder="1" applyAlignment="1">
      <alignment horizontal="center"/>
    </xf>
    <xf numFmtId="0" fontId="15" fillId="8" borderId="3" xfId="0" applyFont="1" applyFill="1" applyBorder="1" applyAlignment="1">
      <alignment horizontal="center"/>
    </xf>
    <xf numFmtId="0" fontId="14" fillId="2" borderId="0" xfId="0" applyFont="1" applyFill="1" applyAlignment="1">
      <alignment horizontal="center"/>
    </xf>
    <xf numFmtId="0" fontId="12" fillId="32" borderId="0" xfId="1">
      <alignment horizontal="center" vertical="center" wrapText="1" readingOrder="1"/>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8" borderId="6" xfId="0" applyFont="1" applyFill="1" applyBorder="1" applyAlignment="1">
      <alignment horizontal="center"/>
    </xf>
  </cellXfs>
  <cellStyles count="9">
    <cellStyle name="Estilo 1" xfId="2" xr:uid="{00000000-0005-0000-0000-000000000000}"/>
    <cellStyle name="Estilo 2" xfId="1" xr:uid="{00000000-0005-0000-0000-000001000000}"/>
    <cellStyle name="Estilo Dano" xfId="5" xr:uid="{00000000-0005-0000-0000-000002000000}"/>
    <cellStyle name="Estilo Gastos" xfId="4" xr:uid="{00000000-0005-0000-0000-000003000000}"/>
    <cellStyle name="Estilo Gera PP" xfId="6" xr:uid="{00000000-0005-0000-0000-000004000000}"/>
    <cellStyle name="Estilo Gerais" xfId="3" xr:uid="{00000000-0005-0000-0000-000005000000}"/>
    <cellStyle name="Estilo Gerais 3" xfId="8" xr:uid="{00000000-0005-0000-0000-000006000000}"/>
    <cellStyle name="Normal" xfId="0" builtinId="0"/>
    <cellStyle name="Numeros" xfId="7" xr:uid="{00000000-0005-0000-0000-000008000000}"/>
  </cellStyles>
  <dxfs count="0"/>
  <tableStyles count="0" defaultTableStyle="TableStyleMedium9" defaultPivotStyle="PivotStyleLight16"/>
  <colors>
    <mruColors>
      <color rgb="FFFF6600"/>
      <color rgb="FF000000"/>
      <color rgb="FF0000FF"/>
      <color rgb="FF538DD5"/>
      <color rgb="FFB40000"/>
      <color rgb="FFFF3300"/>
      <color rgb="FFCC3300"/>
      <color rgb="FF00FF00"/>
      <color rgb="FF561256"/>
      <color rgb="FF626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41"/>
    </mc:Choice>
    <mc:Fallback>
      <c:style val="41"/>
    </mc:Fallback>
  </mc:AlternateContent>
  <c:chart>
    <c:autoTitleDeleted val="0"/>
    <c:plotArea>
      <c:layout>
        <c:manualLayout>
          <c:layoutTarget val="inner"/>
          <c:xMode val="edge"/>
          <c:yMode val="edge"/>
          <c:x val="0.28273404493511323"/>
          <c:y val="0.19484637949668071"/>
          <c:w val="0.35289887081931987"/>
          <c:h val="0.61030724100663858"/>
        </c:manualLayout>
      </c:layout>
      <c:radarChart>
        <c:radarStyle val="filled"/>
        <c:varyColors val="0"/>
        <c:ser>
          <c:idx val="0"/>
          <c:order val="0"/>
          <c:cat>
            <c:strRef>
              <c:f>'Informações Gerais'!$G$38:$G$42</c:f>
              <c:strCache>
                <c:ptCount val="5"/>
                <c:pt idx="0">
                  <c:v>PER</c:v>
                </c:pt>
                <c:pt idx="1">
                  <c:v>ABS</c:v>
                </c:pt>
                <c:pt idx="2">
                  <c:v>REF</c:v>
                </c:pt>
                <c:pt idx="3">
                  <c:v>MAN</c:v>
                </c:pt>
                <c:pt idx="4">
                  <c:v>HOH</c:v>
                </c:pt>
              </c:strCache>
            </c:strRef>
          </c:cat>
          <c:val>
            <c:numRef>
              <c:f>'Informações Gerais'!$H$38:$H$42</c:f>
              <c:numCache>
                <c:formatCode>General</c:formatCode>
                <c:ptCount val="5"/>
                <c:pt idx="0">
                  <c:v>0</c:v>
                </c:pt>
                <c:pt idx="1">
                  <c:v>0</c:v>
                </c:pt>
                <c:pt idx="2">
                  <c:v>10</c:v>
                </c:pt>
                <c:pt idx="3">
                  <c:v>0</c:v>
                </c:pt>
                <c:pt idx="4">
                  <c:v>0</c:v>
                </c:pt>
              </c:numCache>
            </c:numRef>
          </c:val>
          <c:extLst>
            <c:ext xmlns:c16="http://schemas.microsoft.com/office/drawing/2014/chart" uri="{C3380CC4-5D6E-409C-BE32-E72D297353CC}">
              <c16:uniqueId val="{00000000-E93F-42C5-B92C-AC461F6FB29A}"/>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'Informações Gerais'!$G$38:$G$42</c:f>
              <c:strCache>
                <c:ptCount val="5"/>
                <c:pt idx="0">
                  <c:v>PER</c:v>
                </c:pt>
                <c:pt idx="1">
                  <c:v>ABS</c:v>
                </c:pt>
                <c:pt idx="2">
                  <c:v>REF</c:v>
                </c:pt>
                <c:pt idx="3">
                  <c:v>MAN</c:v>
                </c:pt>
                <c:pt idx="4">
                  <c:v>HOH</c:v>
                </c:pt>
              </c:strCache>
            </c:strRef>
          </c:cat>
          <c:val>
            <c:numRef>
              <c:f>'Informações Gerais'!$I$38:$I$42</c:f>
              <c:numCache>
                <c:formatCode>General</c:formatCode>
                <c:ptCount val="5"/>
                <c:pt idx="0">
                  <c:v>0</c:v>
                </c:pt>
                <c:pt idx="1">
                  <c:v>0</c:v>
                </c:pt>
                <c:pt idx="2">
                  <c:v>1</c:v>
                </c:pt>
                <c:pt idx="3">
                  <c:v>0</c:v>
                </c:pt>
                <c:pt idx="4">
                  <c:v>0</c:v>
                </c:pt>
              </c:numCache>
            </c:numRef>
          </c:val>
          <c:extLst>
            <c:ext xmlns:c16="http://schemas.microsoft.com/office/drawing/2014/chart" uri="{C3380CC4-5D6E-409C-BE32-E72D297353CC}">
              <c16:uniqueId val="{00000001-E93F-42C5-B92C-AC461F6FB29A}"/>
            </c:ext>
          </c:extLst>
        </c:ser>
        <c:dLbls>
          <c:showLegendKey val="0"/>
          <c:showVal val="0"/>
          <c:showCatName val="0"/>
          <c:showSerName val="0"/>
          <c:showPercent val="0"/>
          <c:showBubbleSize val="0"/>
        </c:dLbls>
        <c:axId val="-401135120"/>
        <c:axId val="-401136208"/>
      </c:radarChart>
      <c:catAx>
        <c:axId val="-401135120"/>
        <c:scaling>
          <c:orientation val="minMax"/>
        </c:scaling>
        <c:delete val="0"/>
        <c:axPos val="b"/>
        <c:majorGridlines/>
        <c:numFmt formatCode="General" sourceLinked="0"/>
        <c:majorTickMark val="out"/>
        <c:minorTickMark val="none"/>
        <c:tickLblPos val="nextTo"/>
        <c:txPr>
          <a:bodyPr/>
          <a:lstStyle/>
          <a:p>
            <a:pPr>
              <a:defRPr b="0" i="0">
                <a:latin typeface="Segoe UI" pitchFamily="34" charset="0"/>
                <a:cs typeface="Segoe UI" pitchFamily="34" charset="0"/>
              </a:defRPr>
            </a:pPr>
            <a:endParaRPr lang="pt-BR"/>
          </a:p>
        </c:txPr>
        <c:crossAx val="-401136208"/>
        <c:crosses val="autoZero"/>
        <c:auto val="1"/>
        <c:lblAlgn val="ctr"/>
        <c:lblOffset val="100"/>
        <c:noMultiLvlLbl val="0"/>
      </c:catAx>
      <c:valAx>
        <c:axId val="-401136208"/>
        <c:scaling>
          <c:orientation val="minMax"/>
          <c:max val="10"/>
          <c:min val="-1"/>
        </c:scaling>
        <c:delete val="0"/>
        <c:axPos val="l"/>
        <c:majorGridlines/>
        <c:numFmt formatCode="General" sourceLinked="1"/>
        <c:majorTickMark val="cross"/>
        <c:minorTickMark val="none"/>
        <c:tickLblPos val="none"/>
        <c:crossAx val="-401135120"/>
        <c:crosses val="autoZero"/>
        <c:crossBetween val="between"/>
      </c:valAx>
      <c:spPr>
        <a:solidFill>
          <a:sysClr val="windowText" lastClr="000000"/>
        </a:solidFill>
      </c:spPr>
    </c:plotArea>
    <c:plotVisOnly val="1"/>
    <c:dispBlanksAs val="gap"/>
    <c:showDLblsOverMax val="0"/>
  </c:chart>
  <c:printSettings>
    <c:headerFooter/>
    <c:pageMargins b="0.78740157499999996" l="0.511811024" r="0.511811024" t="0.78740157499999996" header="0.31496062000000696" footer="0.3149606200000069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41"/>
    </mc:Choice>
    <mc:Fallback>
      <c:style val="41"/>
    </mc:Fallback>
  </mc:AlternateContent>
  <c:chart>
    <c:autoTitleDeleted val="0"/>
    <c:plotArea>
      <c:layout>
        <c:manualLayout>
          <c:layoutTarget val="inner"/>
          <c:xMode val="edge"/>
          <c:yMode val="edge"/>
          <c:x val="0.29718682891911585"/>
          <c:y val="0.1725204205166454"/>
          <c:w val="0.47633341286884895"/>
          <c:h val="0.65495915896670964"/>
        </c:manualLayout>
      </c:layout>
      <c:radarChart>
        <c:radarStyle val="filled"/>
        <c:varyColors val="0"/>
        <c:ser>
          <c:idx val="0"/>
          <c:order val="0"/>
          <c:cat>
            <c:strRef>
              <c:f>'Informações Gerais'!$A$38:$A$42</c:f>
              <c:strCache>
                <c:ptCount val="5"/>
                <c:pt idx="0">
                  <c:v>FOR</c:v>
                </c:pt>
                <c:pt idx="1">
                  <c:v>INT</c:v>
                </c:pt>
                <c:pt idx="2">
                  <c:v>DES</c:v>
                </c:pt>
                <c:pt idx="3">
                  <c:v>VIG</c:v>
                </c:pt>
                <c:pt idx="4">
                  <c:v>RES</c:v>
                </c:pt>
              </c:strCache>
            </c:strRef>
          </c:cat>
          <c:val>
            <c:numRef>
              <c:f>'Informações Gerais'!$B$38:$B$42</c:f>
              <c:numCache>
                <c:formatCode>General</c:formatCode>
                <c:ptCount val="5"/>
                <c:pt idx="0">
                  <c:v>0</c:v>
                </c:pt>
                <c:pt idx="1">
                  <c:v>5</c:v>
                </c:pt>
                <c:pt idx="2">
                  <c:v>0</c:v>
                </c:pt>
                <c:pt idx="3">
                  <c:v>5</c:v>
                </c:pt>
                <c:pt idx="4">
                  <c:v>5</c:v>
                </c:pt>
              </c:numCache>
            </c:numRef>
          </c:val>
          <c:extLst>
            <c:ext xmlns:c16="http://schemas.microsoft.com/office/drawing/2014/chart" uri="{C3380CC4-5D6E-409C-BE32-E72D297353CC}">
              <c16:uniqueId val="{00000000-EF00-47E5-A7EE-6B9C0D2CFF49}"/>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'Informações Gerais'!$A$38:$A$42</c:f>
              <c:strCache>
                <c:ptCount val="5"/>
                <c:pt idx="0">
                  <c:v>FOR</c:v>
                </c:pt>
                <c:pt idx="1">
                  <c:v>INT</c:v>
                </c:pt>
                <c:pt idx="2">
                  <c:v>DES</c:v>
                </c:pt>
                <c:pt idx="3">
                  <c:v>VIG</c:v>
                </c:pt>
                <c:pt idx="4">
                  <c:v>RES</c:v>
                </c:pt>
              </c:strCache>
            </c:strRef>
          </c:cat>
          <c:val>
            <c:numRef>
              <c:f>'Informações Gerais'!$C$38:$C$42</c:f>
              <c:numCache>
                <c:formatCode>General</c:formatCode>
                <c:ptCount val="5"/>
                <c:pt idx="0">
                  <c:v>0</c:v>
                </c:pt>
                <c:pt idx="1">
                  <c:v>3</c:v>
                </c:pt>
                <c:pt idx="2">
                  <c:v>0</c:v>
                </c:pt>
                <c:pt idx="3">
                  <c:v>0</c:v>
                </c:pt>
                <c:pt idx="4">
                  <c:v>0</c:v>
                </c:pt>
              </c:numCache>
            </c:numRef>
          </c:val>
          <c:extLst>
            <c:ext xmlns:c16="http://schemas.microsoft.com/office/drawing/2014/chart" uri="{C3380CC4-5D6E-409C-BE32-E72D297353CC}">
              <c16:uniqueId val="{00000001-EF00-47E5-A7EE-6B9C0D2CFF49}"/>
            </c:ext>
          </c:extLst>
        </c:ser>
        <c:dLbls>
          <c:showLegendKey val="0"/>
          <c:showVal val="0"/>
          <c:showCatName val="0"/>
          <c:showSerName val="0"/>
          <c:showPercent val="0"/>
          <c:showBubbleSize val="0"/>
        </c:dLbls>
        <c:axId val="-577424144"/>
        <c:axId val="-337984000"/>
      </c:radarChart>
      <c:catAx>
        <c:axId val="-577424144"/>
        <c:scaling>
          <c:orientation val="minMax"/>
        </c:scaling>
        <c:delete val="0"/>
        <c:axPos val="b"/>
        <c:majorGridlines/>
        <c:numFmt formatCode="General" sourceLinked="0"/>
        <c:majorTickMark val="out"/>
        <c:minorTickMark val="none"/>
        <c:tickLblPos val="nextTo"/>
        <c:crossAx val="-337984000"/>
        <c:crosses val="autoZero"/>
        <c:auto val="1"/>
        <c:lblAlgn val="ctr"/>
        <c:lblOffset val="100"/>
        <c:noMultiLvlLbl val="0"/>
      </c:catAx>
      <c:valAx>
        <c:axId val="-337984000"/>
        <c:scaling>
          <c:orientation val="minMax"/>
          <c:max val="5"/>
          <c:min val="-1"/>
        </c:scaling>
        <c:delete val="0"/>
        <c:axPos val="l"/>
        <c:majorGridlines/>
        <c:numFmt formatCode="General" sourceLinked="1"/>
        <c:majorTickMark val="cross"/>
        <c:minorTickMark val="none"/>
        <c:tickLblPos val="none"/>
        <c:crossAx val="-577424144"/>
        <c:crosses val="autoZero"/>
        <c:crossBetween val="between"/>
      </c:valAx>
      <c:spPr>
        <a:noFill/>
      </c:spPr>
    </c:plotArea>
    <c:plotVisOnly val="1"/>
    <c:dispBlanksAs val="gap"/>
    <c:showDLblsOverMax val="0"/>
  </c:chart>
  <c:txPr>
    <a:bodyPr/>
    <a:lstStyle/>
    <a:p>
      <a:pPr>
        <a:defRPr u="none"/>
      </a:pPr>
      <a:endParaRPr lang="pt-BR"/>
    </a:p>
  </c:txPr>
  <c:printSettings>
    <c:headerFooter/>
    <c:pageMargins b="0.78740157499999996" l="0.511811024" r="0.511811024" t="0.78740157499999996" header="0.31496062000000696" footer="0.3149606200000069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41"/>
    </mc:Choice>
    <mc:Fallback>
      <c:style val="41"/>
    </mc:Fallback>
  </mc:AlternateContent>
  <c:chart>
    <c:autoTitleDeleted val="0"/>
    <c:plotArea>
      <c:layout>
        <c:manualLayout>
          <c:layoutTarget val="inner"/>
          <c:xMode val="edge"/>
          <c:yMode val="edge"/>
          <c:x val="0.3780422028954929"/>
          <c:y val="0.20321388453770037"/>
          <c:w val="0.2829016539735858"/>
          <c:h val="0.59357223092459999"/>
        </c:manualLayout>
      </c:layout>
      <c:radarChart>
        <c:radarStyle val="filled"/>
        <c:varyColors val="0"/>
        <c:ser>
          <c:idx val="0"/>
          <c:order val="0"/>
          <c:cat>
            <c:strRef>
              <c:f>'Informações Gerais'!$D$38:$D$40</c:f>
              <c:strCache>
                <c:ptCount val="3"/>
                <c:pt idx="0">
                  <c:v>ZAN</c:v>
                </c:pt>
                <c:pt idx="1">
                  <c:v>HAK</c:v>
                </c:pt>
                <c:pt idx="2">
                  <c:v>KID</c:v>
                </c:pt>
              </c:strCache>
            </c:strRef>
          </c:cat>
          <c:val>
            <c:numRef>
              <c:f>'Informações Gerais'!$E$38:$E$40</c:f>
              <c:numCache>
                <c:formatCode>General</c:formatCode>
                <c:ptCount val="3"/>
                <c:pt idx="0">
                  <c:v>0</c:v>
                </c:pt>
                <c:pt idx="1">
                  <c:v>0</c:v>
                </c:pt>
                <c:pt idx="2">
                  <c:v>10</c:v>
                </c:pt>
              </c:numCache>
            </c:numRef>
          </c:val>
          <c:extLst>
            <c:ext xmlns:c16="http://schemas.microsoft.com/office/drawing/2014/chart" uri="{C3380CC4-5D6E-409C-BE32-E72D297353CC}">
              <c16:uniqueId val="{00000000-A990-49F8-992C-4BC776326BBD}"/>
            </c:ext>
          </c:extLst>
        </c:ser>
        <c:ser>
          <c:idx val="1"/>
          <c:order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'Informações Gerais'!$D$38:$D$40</c:f>
              <c:strCache>
                <c:ptCount val="3"/>
                <c:pt idx="0">
                  <c:v>ZAN</c:v>
                </c:pt>
                <c:pt idx="1">
                  <c:v>HAK</c:v>
                </c:pt>
                <c:pt idx="2">
                  <c:v>KID</c:v>
                </c:pt>
              </c:strCache>
            </c:strRef>
          </c:cat>
          <c:val>
            <c:numRef>
              <c:f>'Informações Gerais'!$F$38:$F$40</c:f>
              <c:numCache>
                <c:formatCode>General</c:formatCode>
                <c:ptCount val="3"/>
                <c:pt idx="0">
                  <c:v>0</c:v>
                </c:pt>
                <c:pt idx="1">
                  <c:v>0</c:v>
                </c:pt>
                <c:pt idx="2">
                  <c:v>2</c:v>
                </c:pt>
              </c:numCache>
            </c:numRef>
          </c:val>
          <c:extLst>
            <c:ext xmlns:c16="http://schemas.microsoft.com/office/drawing/2014/chart" uri="{C3380CC4-5D6E-409C-BE32-E72D297353CC}">
              <c16:uniqueId val="{00000001-A990-49F8-992C-4BC776326BBD}"/>
            </c:ext>
          </c:extLst>
        </c:ser>
        <c:dLbls>
          <c:showLegendKey val="0"/>
          <c:showVal val="0"/>
          <c:showCatName val="0"/>
          <c:showSerName val="0"/>
          <c:showPercent val="0"/>
          <c:showBubbleSize val="0"/>
        </c:dLbls>
        <c:axId val="-337975296"/>
        <c:axId val="-337976928"/>
      </c:radarChart>
      <c:catAx>
        <c:axId val="-337975296"/>
        <c:scaling>
          <c:orientation val="minMax"/>
        </c:scaling>
        <c:delete val="0"/>
        <c:axPos val="b"/>
        <c:majorGridlines/>
        <c:numFmt formatCode="General" sourceLinked="0"/>
        <c:majorTickMark val="out"/>
        <c:minorTickMark val="none"/>
        <c:tickLblPos val="nextTo"/>
        <c:txPr>
          <a:bodyPr/>
          <a:lstStyle/>
          <a:p>
            <a:pPr>
              <a:defRPr b="0" i="0">
                <a:latin typeface="Segoe UI" pitchFamily="34" charset="0"/>
                <a:cs typeface="Segoe UI" pitchFamily="34" charset="0"/>
              </a:defRPr>
            </a:pPr>
            <a:endParaRPr lang="pt-BR"/>
          </a:p>
        </c:txPr>
        <c:crossAx val="-337976928"/>
        <c:crosses val="autoZero"/>
        <c:auto val="1"/>
        <c:lblAlgn val="ctr"/>
        <c:lblOffset val="100"/>
        <c:noMultiLvlLbl val="0"/>
      </c:catAx>
      <c:valAx>
        <c:axId val="-337976928"/>
        <c:scaling>
          <c:orientation val="minMax"/>
          <c:max val="10"/>
          <c:min val="-1"/>
        </c:scaling>
        <c:delete val="0"/>
        <c:axPos val="l"/>
        <c:majorGridlines/>
        <c:numFmt formatCode="General" sourceLinked="1"/>
        <c:majorTickMark val="none"/>
        <c:minorTickMark val="none"/>
        <c:tickLblPos val="none"/>
        <c:crossAx val="-337975296"/>
        <c:crosses val="autoZero"/>
        <c:crossBetween val="between"/>
      </c:valAx>
      <c:spPr>
        <a:solidFill>
          <a:sysClr val="windowText" lastClr="000000"/>
        </a:solidFill>
      </c:spPr>
    </c:plotArea>
    <c:plotVisOnly val="1"/>
    <c:dispBlanksAs val="gap"/>
    <c:showDLblsOverMax val="0"/>
  </c:chart>
  <c:printSettings>
    <c:headerFooter/>
    <c:pageMargins b="0.78740157499999996" l="0.511811024" r="0.511811024" t="0.78740157499999996" header="0.31496062000000696" footer="0.3149606200000069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495301</xdr:colOff>
      <xdr:row>28</xdr:row>
      <xdr:rowOff>67239</xdr:rowOff>
    </xdr:from>
    <xdr:to>
      <xdr:col>11</xdr:col>
      <xdr:colOff>247650</xdr:colOff>
      <xdr:row>37</xdr:row>
      <xdr:rowOff>105339</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516255</xdr:colOff>
      <xdr:row>11</xdr:row>
      <xdr:rowOff>91555</xdr:rowOff>
    </xdr:from>
    <xdr:to>
      <xdr:col>10</xdr:col>
      <xdr:colOff>577215</xdr:colOff>
      <xdr:row>22</xdr:row>
      <xdr:rowOff>116766</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76201</xdr:colOff>
      <xdr:row>20</xdr:row>
      <xdr:rowOff>95813</xdr:rowOff>
    </xdr:from>
    <xdr:to>
      <xdr:col>11</xdr:col>
      <xdr:colOff>285750</xdr:colOff>
      <xdr:row>29</xdr:row>
      <xdr:rowOff>67239</xdr:rowOff>
    </xdr:to>
    <xdr:graphicFrame macro="">
      <xdr:nvGraphicFramePr>
        <xdr:cNvPr id="4" name="Gráfico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each-game-rpg" refreshOnLoad="1" connectionId="1" xr16:uid="{00000000-0016-0000-0900-000000000000}" autoFormatId="16" applyNumberFormats="0" applyBorderFormats="0" applyFontFormats="1" applyPatternFormats="1" applyAlignmentFormats="0" applyWidthHeightFormats="0"/>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a:spPr>
      <a:bodyPr rtlCol="0" anchor="ctr"/>
      <a:lstStyle>
        <a:defPPr algn="ctr">
          <a:defRPr sz="1100"/>
        </a:defPPr>
      </a:lstStyle>
      <a:style>
        <a:lnRef idx="1">
          <a:schemeClr val="dk1"/>
        </a:lnRef>
        <a:fillRef idx="2">
          <a:schemeClr val="dk1"/>
        </a:fillRef>
        <a:effectRef idx="1">
          <a:schemeClr val="dk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U242"/>
  <sheetViews>
    <sheetView topLeftCell="E60" zoomScale="85" zoomScaleNormal="85" workbookViewId="0">
      <selection activeCell="S79" sqref="S79"/>
    </sheetView>
  </sheetViews>
  <sheetFormatPr defaultColWidth="9.140625" defaultRowHeight="15" x14ac:dyDescent="0.25"/>
  <cols>
    <col min="1" max="1" width="19.5703125" style="51" customWidth="1"/>
    <col min="2" max="2" width="23" style="51" customWidth="1"/>
    <col min="3" max="3" width="28.85546875" style="51" customWidth="1"/>
    <col min="4" max="4" width="15.42578125" style="51" customWidth="1"/>
    <col min="5" max="5" width="28.28515625" style="51" customWidth="1"/>
    <col min="6" max="6" width="9.140625" style="51"/>
    <col min="7" max="7" width="23.5703125" style="51" bestFit="1" customWidth="1"/>
    <col min="8" max="9" width="9.140625" style="51"/>
    <col min="10" max="10" width="14.85546875" style="51" customWidth="1"/>
    <col min="11" max="11" width="9.140625" style="51"/>
    <col min="12" max="12" width="23.140625" style="51" customWidth="1"/>
    <col min="13" max="13" width="10.140625" style="51" customWidth="1"/>
    <col min="14" max="14" width="7.85546875" style="51" customWidth="1"/>
    <col min="15" max="15" width="12.28515625" style="51" customWidth="1"/>
    <col min="16" max="16" width="13.140625" style="51" customWidth="1"/>
    <col min="17" max="17" width="11.85546875" style="51" customWidth="1"/>
    <col min="18" max="18" width="9.140625" style="51"/>
    <col min="19" max="19" width="13.42578125" style="51" customWidth="1"/>
    <col min="20" max="20" width="11.28515625" style="51" bestFit="1" customWidth="1"/>
    <col min="21" max="21" width="11.5703125" style="51" bestFit="1" customWidth="1"/>
    <col min="22" max="16384" width="9.140625" style="51"/>
  </cols>
  <sheetData>
    <row r="1" spans="1:21" x14ac:dyDescent="0.25">
      <c r="A1" s="51">
        <v>0</v>
      </c>
      <c r="B1" s="3" t="s">
        <v>102</v>
      </c>
      <c r="C1" s="3" t="s">
        <v>102</v>
      </c>
      <c r="D1" s="3" t="s">
        <v>102</v>
      </c>
      <c r="H1" s="3"/>
      <c r="I1" s="3" t="s">
        <v>102</v>
      </c>
      <c r="J1" s="3" t="s">
        <v>102</v>
      </c>
      <c r="K1" s="3" t="s">
        <v>102</v>
      </c>
      <c r="L1" s="3" t="s">
        <v>102</v>
      </c>
      <c r="P1" s="3" t="s">
        <v>102</v>
      </c>
      <c r="Q1" s="3" t="s">
        <v>102</v>
      </c>
      <c r="S1" s="3" t="s">
        <v>102</v>
      </c>
      <c r="T1" s="3" t="s">
        <v>102</v>
      </c>
      <c r="U1" s="3" t="s">
        <v>102</v>
      </c>
    </row>
    <row r="2" spans="1:21" x14ac:dyDescent="0.25">
      <c r="A2" s="51">
        <v>1</v>
      </c>
      <c r="B2" s="8" t="s">
        <v>82</v>
      </c>
      <c r="C2" s="4" t="s">
        <v>103</v>
      </c>
      <c r="D2" s="7" t="s">
        <v>104</v>
      </c>
      <c r="I2" s="5" t="s">
        <v>104</v>
      </c>
      <c r="J2" s="6" t="s">
        <v>149</v>
      </c>
      <c r="K2" s="6" t="s">
        <v>142</v>
      </c>
      <c r="L2" s="6" t="s">
        <v>149</v>
      </c>
      <c r="P2" s="8" t="s">
        <v>82</v>
      </c>
      <c r="Q2" s="9" t="s">
        <v>113</v>
      </c>
      <c r="S2" s="189" t="s">
        <v>936</v>
      </c>
      <c r="T2" s="5" t="s">
        <v>113</v>
      </c>
      <c r="U2" s="6" t="s">
        <v>143</v>
      </c>
    </row>
    <row r="3" spans="1:21" x14ac:dyDescent="0.25">
      <c r="A3" s="51">
        <v>2</v>
      </c>
      <c r="B3" s="8" t="s">
        <v>83</v>
      </c>
      <c r="C3" s="4" t="s">
        <v>105</v>
      </c>
      <c r="D3" s="7" t="s">
        <v>106</v>
      </c>
      <c r="I3" s="5" t="s">
        <v>110</v>
      </c>
      <c r="J3" s="6" t="s">
        <v>143</v>
      </c>
      <c r="K3" s="6" t="s">
        <v>152</v>
      </c>
      <c r="L3" s="6" t="s">
        <v>143</v>
      </c>
      <c r="P3" s="8" t="s">
        <v>83</v>
      </c>
      <c r="Q3" s="9" t="s">
        <v>104</v>
      </c>
      <c r="S3" s="189" t="s">
        <v>140</v>
      </c>
      <c r="T3" s="5" t="s">
        <v>104</v>
      </c>
      <c r="U3" s="6" t="s">
        <v>149</v>
      </c>
    </row>
    <row r="4" spans="1:21" x14ac:dyDescent="0.2">
      <c r="A4" s="51">
        <v>3</v>
      </c>
      <c r="B4" s="8" t="s">
        <v>84</v>
      </c>
      <c r="C4" s="4" t="s">
        <v>107</v>
      </c>
      <c r="D4" s="7" t="s">
        <v>108</v>
      </c>
      <c r="I4" s="5" t="s">
        <v>106</v>
      </c>
      <c r="J4" s="6" t="s">
        <v>139</v>
      </c>
      <c r="K4" s="6" t="s">
        <v>138</v>
      </c>
      <c r="L4" s="6" t="s">
        <v>139</v>
      </c>
      <c r="P4" s="8" t="s">
        <v>84</v>
      </c>
      <c r="Q4" s="9" t="s">
        <v>108</v>
      </c>
      <c r="S4" s="190" t="s">
        <v>915</v>
      </c>
      <c r="T4" s="5" t="s">
        <v>113</v>
      </c>
      <c r="U4" s="6" t="s">
        <v>141</v>
      </c>
    </row>
    <row r="5" spans="1:21" x14ac:dyDescent="0.2">
      <c r="A5" s="51">
        <v>4</v>
      </c>
      <c r="B5" s="8" t="s">
        <v>85</v>
      </c>
      <c r="C5" s="4" t="s">
        <v>109</v>
      </c>
      <c r="D5" s="7" t="s">
        <v>110</v>
      </c>
      <c r="I5" s="5" t="s">
        <v>113</v>
      </c>
      <c r="J5" s="6" t="s">
        <v>141</v>
      </c>
      <c r="K5" s="6" t="s">
        <v>156</v>
      </c>
      <c r="L5" s="6" t="s">
        <v>141</v>
      </c>
      <c r="P5" s="8" t="s">
        <v>85</v>
      </c>
      <c r="Q5" s="9" t="s">
        <v>108</v>
      </c>
      <c r="S5" s="190" t="s">
        <v>144</v>
      </c>
      <c r="T5" s="5" t="s">
        <v>106</v>
      </c>
      <c r="U5" s="6" t="s">
        <v>149</v>
      </c>
    </row>
    <row r="6" spans="1:21" x14ac:dyDescent="0.2">
      <c r="A6" s="51">
        <v>5</v>
      </c>
      <c r="B6" s="8" t="s">
        <v>86</v>
      </c>
      <c r="C6" s="4" t="s">
        <v>111</v>
      </c>
      <c r="D6" s="7" t="s">
        <v>106</v>
      </c>
      <c r="I6" s="5" t="s">
        <v>108</v>
      </c>
      <c r="J6" s="3" t="s">
        <v>102</v>
      </c>
      <c r="K6" s="3" t="s">
        <v>102</v>
      </c>
      <c r="L6" s="6" t="s">
        <v>142</v>
      </c>
      <c r="P6" s="8" t="s">
        <v>86</v>
      </c>
      <c r="Q6" s="9" t="s">
        <v>106</v>
      </c>
      <c r="S6" s="190" t="s">
        <v>145</v>
      </c>
      <c r="T6" s="5" t="s">
        <v>113</v>
      </c>
      <c r="U6" s="6" t="s">
        <v>149</v>
      </c>
    </row>
    <row r="7" spans="1:21" x14ac:dyDescent="0.2">
      <c r="A7" s="51">
        <v>6</v>
      </c>
      <c r="B7" s="8" t="s">
        <v>87</v>
      </c>
      <c r="C7" s="4" t="s">
        <v>112</v>
      </c>
      <c r="D7" s="7" t="s">
        <v>113</v>
      </c>
      <c r="I7" s="6" t="s">
        <v>149</v>
      </c>
      <c r="J7" s="6" t="s">
        <v>7</v>
      </c>
      <c r="K7" s="6" t="s">
        <v>143</v>
      </c>
      <c r="L7" s="6" t="s">
        <v>152</v>
      </c>
      <c r="P7" s="8" t="s">
        <v>87</v>
      </c>
      <c r="Q7" s="9" t="s">
        <v>106</v>
      </c>
      <c r="S7" s="190" t="s">
        <v>146</v>
      </c>
      <c r="T7" s="5" t="s">
        <v>104</v>
      </c>
      <c r="U7" s="6" t="s">
        <v>149</v>
      </c>
    </row>
    <row r="8" spans="1:21" x14ac:dyDescent="0.2">
      <c r="A8" s="51">
        <v>7</v>
      </c>
      <c r="B8" s="8" t="s">
        <v>88</v>
      </c>
      <c r="C8" s="4" t="s">
        <v>114</v>
      </c>
      <c r="D8" s="7" t="s">
        <v>113</v>
      </c>
      <c r="I8" s="6" t="s">
        <v>143</v>
      </c>
      <c r="J8" s="6" t="s">
        <v>8</v>
      </c>
      <c r="K8" s="6" t="s">
        <v>139</v>
      </c>
      <c r="L8" s="6" t="s">
        <v>138</v>
      </c>
      <c r="M8" s="3" t="s">
        <v>102</v>
      </c>
      <c r="P8" s="8" t="s">
        <v>88</v>
      </c>
      <c r="Q8" s="9" t="s">
        <v>106</v>
      </c>
      <c r="S8" s="190" t="s">
        <v>147</v>
      </c>
      <c r="T8" s="5" t="s">
        <v>106</v>
      </c>
      <c r="U8" s="6" t="s">
        <v>141</v>
      </c>
    </row>
    <row r="9" spans="1:21" x14ac:dyDescent="0.2">
      <c r="A9" s="51">
        <v>8</v>
      </c>
      <c r="B9" s="8" t="s">
        <v>89</v>
      </c>
      <c r="C9" s="4" t="s">
        <v>115</v>
      </c>
      <c r="D9" s="7" t="s">
        <v>113</v>
      </c>
      <c r="I9" s="6" t="s">
        <v>139</v>
      </c>
      <c r="J9" s="6" t="s">
        <v>6</v>
      </c>
      <c r="K9" s="6" t="s">
        <v>141</v>
      </c>
      <c r="L9" s="6" t="s">
        <v>156</v>
      </c>
      <c r="M9" s="3"/>
      <c r="P9" s="8" t="s">
        <v>89</v>
      </c>
      <c r="Q9" s="9" t="s">
        <v>108</v>
      </c>
      <c r="S9" s="190" t="s">
        <v>148</v>
      </c>
      <c r="T9" s="5" t="s">
        <v>108</v>
      </c>
      <c r="U9" s="6" t="s">
        <v>149</v>
      </c>
    </row>
    <row r="10" spans="1:21" x14ac:dyDescent="0.2">
      <c r="A10" s="51">
        <v>9</v>
      </c>
      <c r="B10" s="8" t="s">
        <v>90</v>
      </c>
      <c r="C10" s="4" t="s">
        <v>116</v>
      </c>
      <c r="D10" s="7" t="s">
        <v>108</v>
      </c>
      <c r="I10" s="6" t="s">
        <v>141</v>
      </c>
      <c r="J10" s="6" t="s">
        <v>5</v>
      </c>
      <c r="K10" s="6" t="s">
        <v>149</v>
      </c>
      <c r="M10" s="3" t="s">
        <v>757</v>
      </c>
      <c r="P10" s="8" t="s">
        <v>90</v>
      </c>
      <c r="Q10" s="9" t="s">
        <v>110</v>
      </c>
      <c r="S10" s="190" t="s">
        <v>925</v>
      </c>
      <c r="T10" s="5" t="s">
        <v>104</v>
      </c>
      <c r="U10" s="6" t="s">
        <v>143</v>
      </c>
    </row>
    <row r="11" spans="1:21" x14ac:dyDescent="0.2">
      <c r="A11" s="51">
        <v>10</v>
      </c>
      <c r="B11" s="8" t="s">
        <v>91</v>
      </c>
      <c r="C11" s="4" t="s">
        <v>117</v>
      </c>
      <c r="D11" s="7" t="s">
        <v>106</v>
      </c>
      <c r="I11" s="6" t="s">
        <v>142</v>
      </c>
      <c r="M11" s="51" t="s">
        <v>758</v>
      </c>
      <c r="N11" s="51" t="s">
        <v>185</v>
      </c>
      <c r="P11" s="8" t="s">
        <v>91</v>
      </c>
      <c r="Q11" s="9" t="s">
        <v>110</v>
      </c>
      <c r="S11" s="190" t="s">
        <v>910</v>
      </c>
      <c r="T11" s="5" t="s">
        <v>106</v>
      </c>
      <c r="U11" s="6" t="s">
        <v>141</v>
      </c>
    </row>
    <row r="12" spans="1:21" x14ac:dyDescent="0.2">
      <c r="A12" s="51">
        <v>11</v>
      </c>
      <c r="B12" s="8" t="s">
        <v>92</v>
      </c>
      <c r="C12" s="4" t="s">
        <v>118</v>
      </c>
      <c r="D12" s="7" t="s">
        <v>110</v>
      </c>
      <c r="I12" s="6" t="s">
        <v>152</v>
      </c>
      <c r="P12" s="8" t="s">
        <v>92</v>
      </c>
      <c r="Q12" s="9" t="s">
        <v>104</v>
      </c>
      <c r="S12" s="190" t="s">
        <v>150</v>
      </c>
      <c r="T12" s="5" t="s">
        <v>110</v>
      </c>
      <c r="U12" s="6" t="s">
        <v>149</v>
      </c>
    </row>
    <row r="13" spans="1:21" x14ac:dyDescent="0.2">
      <c r="A13" s="51">
        <v>12</v>
      </c>
      <c r="B13" s="8" t="s">
        <v>93</v>
      </c>
      <c r="C13" s="4" t="s">
        <v>119</v>
      </c>
      <c r="D13" s="7" t="s">
        <v>108</v>
      </c>
      <c r="I13" s="6" t="s">
        <v>138</v>
      </c>
      <c r="L13" s="3" t="s">
        <v>102</v>
      </c>
      <c r="M13" s="3" t="s">
        <v>102</v>
      </c>
      <c r="P13" s="8" t="s">
        <v>93</v>
      </c>
      <c r="Q13" s="9" t="s">
        <v>110</v>
      </c>
      <c r="S13" s="190" t="s">
        <v>926</v>
      </c>
      <c r="T13" s="5" t="s">
        <v>106</v>
      </c>
      <c r="U13" s="6" t="s">
        <v>143</v>
      </c>
    </row>
    <row r="14" spans="1:21" x14ac:dyDescent="0.2">
      <c r="A14" s="51">
        <v>13</v>
      </c>
      <c r="B14" s="8" t="s">
        <v>94</v>
      </c>
      <c r="C14" s="4" t="s">
        <v>120</v>
      </c>
      <c r="D14" s="7" t="s">
        <v>110</v>
      </c>
      <c r="I14" s="6" t="s">
        <v>156</v>
      </c>
      <c r="L14" s="4" t="s">
        <v>182</v>
      </c>
      <c r="M14" s="6" t="s">
        <v>185</v>
      </c>
      <c r="P14" s="8" t="s">
        <v>94</v>
      </c>
      <c r="Q14" s="9" t="s">
        <v>104</v>
      </c>
      <c r="S14" s="190" t="s">
        <v>151</v>
      </c>
      <c r="T14" s="5" t="s">
        <v>104</v>
      </c>
      <c r="U14" s="6" t="s">
        <v>149</v>
      </c>
    </row>
    <row r="15" spans="1:21" x14ac:dyDescent="0.2">
      <c r="A15" s="51">
        <v>14</v>
      </c>
      <c r="B15" s="8" t="s">
        <v>96</v>
      </c>
      <c r="C15" s="4" t="s">
        <v>121</v>
      </c>
      <c r="D15" s="7" t="s">
        <v>106</v>
      </c>
      <c r="I15" s="6" t="s">
        <v>185</v>
      </c>
      <c r="L15" s="4" t="s">
        <v>755</v>
      </c>
      <c r="M15" s="6" t="s">
        <v>185</v>
      </c>
      <c r="P15" s="8" t="s">
        <v>95</v>
      </c>
      <c r="Q15" s="9" t="s">
        <v>106</v>
      </c>
      <c r="S15" s="190" t="s">
        <v>153</v>
      </c>
      <c r="T15" s="5" t="s">
        <v>113</v>
      </c>
      <c r="U15" s="6" t="s">
        <v>141</v>
      </c>
    </row>
    <row r="16" spans="1:21" x14ac:dyDescent="0.2">
      <c r="A16" s="51">
        <v>15</v>
      </c>
      <c r="B16" s="8" t="s">
        <v>95</v>
      </c>
      <c r="C16" s="4" t="s">
        <v>122</v>
      </c>
      <c r="D16" s="7" t="s">
        <v>108</v>
      </c>
      <c r="I16" s="5" t="s">
        <v>573</v>
      </c>
      <c r="L16" s="4" t="s">
        <v>184</v>
      </c>
      <c r="M16" s="6"/>
      <c r="P16" s="8" t="s">
        <v>96</v>
      </c>
      <c r="Q16" s="9" t="s">
        <v>104</v>
      </c>
      <c r="S16" s="190" t="s">
        <v>154</v>
      </c>
      <c r="T16" s="5" t="s">
        <v>108</v>
      </c>
      <c r="U16" s="6" t="s">
        <v>141</v>
      </c>
    </row>
    <row r="17" spans="1:21" x14ac:dyDescent="0.2">
      <c r="A17" s="51">
        <v>16</v>
      </c>
      <c r="B17" s="8" t="s">
        <v>97</v>
      </c>
      <c r="C17" s="4" t="s">
        <v>123</v>
      </c>
      <c r="D17" s="7" t="s">
        <v>108</v>
      </c>
      <c r="I17" s="5" t="s">
        <v>574</v>
      </c>
      <c r="L17" s="4" t="s">
        <v>183</v>
      </c>
      <c r="M17" s="3" t="s">
        <v>102</v>
      </c>
      <c r="P17" s="8" t="s">
        <v>97</v>
      </c>
      <c r="Q17" s="9" t="s">
        <v>110</v>
      </c>
      <c r="S17" s="190" t="s">
        <v>155</v>
      </c>
      <c r="T17" s="5" t="s">
        <v>113</v>
      </c>
      <c r="U17" s="6" t="s">
        <v>141</v>
      </c>
    </row>
    <row r="18" spans="1:21" x14ac:dyDescent="0.2">
      <c r="A18" s="51">
        <v>17</v>
      </c>
      <c r="B18" s="8" t="s">
        <v>98</v>
      </c>
      <c r="C18" s="4" t="s">
        <v>124</v>
      </c>
      <c r="D18" s="7" t="s">
        <v>110</v>
      </c>
      <c r="I18" s="5" t="s">
        <v>575</v>
      </c>
      <c r="L18" s="4" t="s">
        <v>181</v>
      </c>
      <c r="M18" s="6" t="s">
        <v>185</v>
      </c>
      <c r="N18" s="6" t="s">
        <v>185</v>
      </c>
      <c r="O18" s="6" t="s">
        <v>185</v>
      </c>
      <c r="P18" s="8" t="s">
        <v>98</v>
      </c>
      <c r="Q18" s="9" t="s">
        <v>113</v>
      </c>
      <c r="S18" s="190" t="s">
        <v>994</v>
      </c>
      <c r="T18" s="5" t="s">
        <v>106</v>
      </c>
      <c r="U18" s="6" t="s">
        <v>149</v>
      </c>
    </row>
    <row r="19" spans="1:21" x14ac:dyDescent="0.2">
      <c r="A19" s="51">
        <v>18</v>
      </c>
      <c r="B19" s="8" t="s">
        <v>99</v>
      </c>
      <c r="C19" s="4" t="s">
        <v>125</v>
      </c>
      <c r="D19" s="7" t="s">
        <v>110</v>
      </c>
      <c r="I19" s="5" t="s">
        <v>576</v>
      </c>
      <c r="L19" s="4" t="s">
        <v>9</v>
      </c>
      <c r="M19" s="6" t="s">
        <v>185</v>
      </c>
      <c r="N19" s="6" t="s">
        <v>185</v>
      </c>
      <c r="P19" s="8" t="s">
        <v>99</v>
      </c>
      <c r="Q19" s="9" t="s">
        <v>113</v>
      </c>
      <c r="S19" s="190" t="s">
        <v>909</v>
      </c>
      <c r="T19" s="5" t="s">
        <v>106</v>
      </c>
      <c r="U19" s="6" t="s">
        <v>141</v>
      </c>
    </row>
    <row r="20" spans="1:21" x14ac:dyDescent="0.2">
      <c r="A20" s="51">
        <v>19</v>
      </c>
      <c r="B20" s="8" t="s">
        <v>100</v>
      </c>
      <c r="C20" s="4" t="s">
        <v>126</v>
      </c>
      <c r="D20" s="7" t="s">
        <v>113</v>
      </c>
      <c r="I20" s="5" t="s">
        <v>577</v>
      </c>
      <c r="P20" s="8" t="s">
        <v>100</v>
      </c>
      <c r="Q20" s="9" t="s">
        <v>108</v>
      </c>
      <c r="S20" s="190" t="s">
        <v>905</v>
      </c>
      <c r="T20" s="5" t="s">
        <v>104</v>
      </c>
      <c r="U20" s="6" t="s">
        <v>141</v>
      </c>
    </row>
    <row r="21" spans="1:21" x14ac:dyDescent="0.2">
      <c r="A21" s="51">
        <v>20</v>
      </c>
      <c r="B21" s="8" t="s">
        <v>101</v>
      </c>
      <c r="C21" s="4" t="s">
        <v>127</v>
      </c>
      <c r="D21" s="7" t="s">
        <v>104</v>
      </c>
      <c r="I21" s="6" t="s">
        <v>578</v>
      </c>
      <c r="P21" s="8" t="s">
        <v>101</v>
      </c>
      <c r="Q21" s="9" t="s">
        <v>113</v>
      </c>
      <c r="S21" s="190" t="s">
        <v>157</v>
      </c>
      <c r="T21" s="5" t="s">
        <v>106</v>
      </c>
      <c r="U21" s="6" t="s">
        <v>141</v>
      </c>
    </row>
    <row r="22" spans="1:21" x14ac:dyDescent="0.2">
      <c r="B22" s="10"/>
      <c r="C22" s="4" t="s">
        <v>128</v>
      </c>
      <c r="D22" s="7" t="s">
        <v>106</v>
      </c>
      <c r="I22" s="6" t="s">
        <v>579</v>
      </c>
      <c r="J22" s="191"/>
      <c r="K22" s="191"/>
      <c r="L22" s="191"/>
      <c r="S22" s="190" t="s">
        <v>158</v>
      </c>
      <c r="T22" s="5" t="s">
        <v>104</v>
      </c>
      <c r="U22" s="6" t="s">
        <v>149</v>
      </c>
    </row>
    <row r="23" spans="1:21" x14ac:dyDescent="0.2">
      <c r="B23" s="8" t="s">
        <v>167</v>
      </c>
      <c r="C23" s="4" t="s">
        <v>129</v>
      </c>
      <c r="D23" s="7" t="s">
        <v>104</v>
      </c>
      <c r="I23" s="6" t="s">
        <v>580</v>
      </c>
      <c r="J23" s="191"/>
      <c r="K23" s="191"/>
      <c r="L23" s="191"/>
      <c r="S23" s="190" t="s">
        <v>916</v>
      </c>
      <c r="T23" s="5" t="s">
        <v>108</v>
      </c>
      <c r="U23" s="6" t="s">
        <v>141</v>
      </c>
    </row>
    <row r="24" spans="1:21" x14ac:dyDescent="0.2">
      <c r="B24" s="8" t="s">
        <v>168</v>
      </c>
      <c r="C24" s="4" t="s">
        <v>130</v>
      </c>
      <c r="D24" s="7" t="s">
        <v>113</v>
      </c>
      <c r="I24" s="6" t="s">
        <v>581</v>
      </c>
      <c r="J24" s="191"/>
      <c r="K24" s="191"/>
      <c r="L24" s="191"/>
      <c r="O24" s="3" t="s">
        <v>102</v>
      </c>
      <c r="S24" s="190" t="s">
        <v>996</v>
      </c>
      <c r="T24" s="5" t="s">
        <v>108</v>
      </c>
      <c r="U24" s="6" t="s">
        <v>143</v>
      </c>
    </row>
    <row r="25" spans="1:21" x14ac:dyDescent="0.2">
      <c r="B25" s="8" t="s">
        <v>169</v>
      </c>
      <c r="C25" s="4" t="s">
        <v>131</v>
      </c>
      <c r="D25" s="7" t="s">
        <v>110</v>
      </c>
      <c r="I25" s="6" t="s">
        <v>582</v>
      </c>
      <c r="J25" s="191"/>
      <c r="K25" s="191"/>
      <c r="L25" s="191"/>
      <c r="S25" s="190" t="s">
        <v>159</v>
      </c>
      <c r="T25" s="5" t="s">
        <v>113</v>
      </c>
      <c r="U25" s="6" t="s">
        <v>149</v>
      </c>
    </row>
    <row r="26" spans="1:21" x14ac:dyDescent="0.2">
      <c r="B26" s="8" t="s">
        <v>170</v>
      </c>
      <c r="C26" s="4" t="s">
        <v>132</v>
      </c>
      <c r="D26" s="7" t="s">
        <v>104</v>
      </c>
      <c r="I26" s="6" t="s">
        <v>583</v>
      </c>
      <c r="J26" s="191"/>
      <c r="K26" s="191"/>
      <c r="L26" s="191"/>
      <c r="S26" s="190" t="s">
        <v>922</v>
      </c>
      <c r="T26" s="5" t="s">
        <v>113</v>
      </c>
      <c r="U26" s="6" t="s">
        <v>149</v>
      </c>
    </row>
    <row r="27" spans="1:21" x14ac:dyDescent="0.2">
      <c r="B27" s="8" t="s">
        <v>171</v>
      </c>
      <c r="C27" s="4" t="s">
        <v>133</v>
      </c>
      <c r="D27" s="7" t="s">
        <v>106</v>
      </c>
      <c r="I27" s="6" t="s">
        <v>584</v>
      </c>
      <c r="J27" s="191"/>
      <c r="K27" s="191"/>
      <c r="L27" s="191"/>
      <c r="S27" s="190" t="s">
        <v>160</v>
      </c>
      <c r="T27" s="5" t="s">
        <v>113</v>
      </c>
      <c r="U27" s="6" t="s">
        <v>149</v>
      </c>
    </row>
    <row r="28" spans="1:21" x14ac:dyDescent="0.2">
      <c r="B28" s="8" t="s">
        <v>172</v>
      </c>
      <c r="C28" s="4" t="s">
        <v>134</v>
      </c>
      <c r="D28" s="7" t="s">
        <v>108</v>
      </c>
      <c r="I28" s="6" t="s">
        <v>585</v>
      </c>
      <c r="J28" s="191"/>
      <c r="K28" s="191"/>
      <c r="L28" s="191"/>
      <c r="S28" s="190" t="s">
        <v>914</v>
      </c>
      <c r="T28" s="5" t="s">
        <v>113</v>
      </c>
      <c r="U28" s="6" t="s">
        <v>141</v>
      </c>
    </row>
    <row r="29" spans="1:21" x14ac:dyDescent="0.2">
      <c r="B29" s="8" t="s">
        <v>173</v>
      </c>
      <c r="C29" s="4" t="s">
        <v>135</v>
      </c>
      <c r="D29" s="7" t="s">
        <v>104</v>
      </c>
      <c r="I29" s="6" t="s">
        <v>586</v>
      </c>
      <c r="J29" s="191"/>
      <c r="K29" s="191"/>
      <c r="L29" s="191"/>
      <c r="S29" s="190" t="s">
        <v>918</v>
      </c>
      <c r="T29" s="5" t="s">
        <v>108</v>
      </c>
      <c r="U29" s="6" t="s">
        <v>141</v>
      </c>
    </row>
    <row r="30" spans="1:21" x14ac:dyDescent="0.2">
      <c r="B30" s="8" t="s">
        <v>475</v>
      </c>
      <c r="C30" s="4" t="s">
        <v>136</v>
      </c>
      <c r="D30" s="7" t="s">
        <v>104</v>
      </c>
      <c r="J30" s="191"/>
      <c r="K30" s="191"/>
      <c r="L30" s="191"/>
      <c r="S30" s="190" t="s">
        <v>919</v>
      </c>
      <c r="T30" s="5" t="s">
        <v>106</v>
      </c>
      <c r="U30" s="6" t="s">
        <v>149</v>
      </c>
    </row>
    <row r="31" spans="1:21" x14ac:dyDescent="0.2">
      <c r="B31" s="8" t="s">
        <v>174</v>
      </c>
      <c r="C31" s="4" t="s">
        <v>137</v>
      </c>
      <c r="D31" s="7" t="s">
        <v>113</v>
      </c>
      <c r="S31" s="190" t="s">
        <v>929</v>
      </c>
      <c r="T31" s="5" t="s">
        <v>106</v>
      </c>
      <c r="U31" s="6" t="s">
        <v>143</v>
      </c>
    </row>
    <row r="32" spans="1:21" x14ac:dyDescent="0.2">
      <c r="B32" s="8" t="s">
        <v>175</v>
      </c>
      <c r="C32" s="3" t="s">
        <v>102</v>
      </c>
      <c r="D32" s="3" t="s">
        <v>102</v>
      </c>
      <c r="E32" s="200" t="s">
        <v>328</v>
      </c>
      <c r="J32" s="3" t="s">
        <v>102</v>
      </c>
      <c r="K32" s="3" t="s">
        <v>102</v>
      </c>
      <c r="S32" s="190" t="s">
        <v>933</v>
      </c>
      <c r="T32" s="5" t="s">
        <v>110</v>
      </c>
      <c r="U32" s="6" t="s">
        <v>143</v>
      </c>
    </row>
    <row r="33" spans="1:21" x14ac:dyDescent="0.2">
      <c r="B33" s="8" t="s">
        <v>176</v>
      </c>
      <c r="C33" s="4" t="s">
        <v>179</v>
      </c>
      <c r="D33" s="7" t="s">
        <v>471</v>
      </c>
      <c r="E33" s="198" t="s">
        <v>947</v>
      </c>
      <c r="J33" s="7" t="s">
        <v>471</v>
      </c>
      <c r="K33" s="51" t="s">
        <v>138</v>
      </c>
      <c r="S33" s="190" t="s">
        <v>934</v>
      </c>
      <c r="T33" s="5" t="s">
        <v>113</v>
      </c>
      <c r="U33" s="6" t="s">
        <v>143</v>
      </c>
    </row>
    <row r="34" spans="1:21" x14ac:dyDescent="0.2">
      <c r="B34" s="8" t="s">
        <v>177</v>
      </c>
      <c r="C34" s="4" t="s">
        <v>180</v>
      </c>
      <c r="D34" s="7" t="s">
        <v>472</v>
      </c>
      <c r="E34" s="198" t="s">
        <v>962</v>
      </c>
      <c r="J34" s="7" t="s">
        <v>472</v>
      </c>
      <c r="K34" s="51" t="s">
        <v>142</v>
      </c>
      <c r="S34" s="190" t="s">
        <v>923</v>
      </c>
      <c r="T34" s="5" t="s">
        <v>104</v>
      </c>
      <c r="U34" s="6" t="s">
        <v>143</v>
      </c>
    </row>
    <row r="35" spans="1:21" x14ac:dyDescent="0.2">
      <c r="B35" s="8" t="s">
        <v>178</v>
      </c>
      <c r="C35" s="4" t="s">
        <v>760</v>
      </c>
      <c r="D35" s="7" t="s">
        <v>473</v>
      </c>
      <c r="E35" s="200" t="s">
        <v>486</v>
      </c>
      <c r="J35" s="7" t="s">
        <v>473</v>
      </c>
      <c r="K35" s="51" t="s">
        <v>156</v>
      </c>
      <c r="S35" s="190" t="s">
        <v>995</v>
      </c>
      <c r="T35" s="5" t="s">
        <v>104</v>
      </c>
      <c r="U35" s="6" t="s">
        <v>143</v>
      </c>
    </row>
    <row r="36" spans="1:21" x14ac:dyDescent="0.2">
      <c r="B36" s="8" t="s">
        <v>775</v>
      </c>
      <c r="C36" s="3" t="s">
        <v>102</v>
      </c>
      <c r="D36" s="7" t="s">
        <v>474</v>
      </c>
      <c r="E36" s="200" t="s">
        <v>487</v>
      </c>
      <c r="J36" s="7" t="s">
        <v>474</v>
      </c>
      <c r="K36" s="51" t="s">
        <v>152</v>
      </c>
      <c r="S36" s="190" t="s">
        <v>931</v>
      </c>
      <c r="T36" s="5" t="s">
        <v>110</v>
      </c>
      <c r="U36" s="6" t="s">
        <v>143</v>
      </c>
    </row>
    <row r="37" spans="1:21" x14ac:dyDescent="0.2">
      <c r="B37" s="8" t="s">
        <v>756</v>
      </c>
      <c r="C37" s="4" t="s">
        <v>181</v>
      </c>
      <c r="D37" s="3" t="s">
        <v>102</v>
      </c>
      <c r="E37" s="200" t="s">
        <v>329</v>
      </c>
      <c r="S37" s="190" t="s">
        <v>939</v>
      </c>
      <c r="T37" s="5" t="s">
        <v>108</v>
      </c>
      <c r="U37" s="6" t="s">
        <v>143</v>
      </c>
    </row>
    <row r="38" spans="1:21" x14ac:dyDescent="0.2">
      <c r="B38" s="8" t="s">
        <v>763</v>
      </c>
      <c r="C38" s="4" t="s">
        <v>9</v>
      </c>
      <c r="D38" s="7" t="s">
        <v>186</v>
      </c>
      <c r="E38" s="198" t="s">
        <v>946</v>
      </c>
      <c r="F38" s="197"/>
      <c r="G38" s="199" t="s">
        <v>729</v>
      </c>
      <c r="S38" s="190" t="s">
        <v>161</v>
      </c>
      <c r="T38" s="5" t="s">
        <v>110</v>
      </c>
      <c r="U38" s="6" t="s">
        <v>141</v>
      </c>
    </row>
    <row r="39" spans="1:21" x14ac:dyDescent="0.2">
      <c r="A39" s="3" t="s">
        <v>102</v>
      </c>
      <c r="B39" s="3" t="s">
        <v>102</v>
      </c>
      <c r="C39" s="4" t="s">
        <v>182</v>
      </c>
      <c r="D39" s="7" t="s">
        <v>187</v>
      </c>
      <c r="E39" s="198" t="s">
        <v>843</v>
      </c>
      <c r="F39" s="197"/>
      <c r="G39" s="198" t="s">
        <v>840</v>
      </c>
      <c r="S39" s="190" t="s">
        <v>921</v>
      </c>
      <c r="T39" s="5" t="s">
        <v>110</v>
      </c>
      <c r="U39" s="6" t="s">
        <v>149</v>
      </c>
    </row>
    <row r="40" spans="1:21" x14ac:dyDescent="0.2">
      <c r="A40" s="51" t="s">
        <v>187</v>
      </c>
      <c r="B40" s="51">
        <v>0</v>
      </c>
      <c r="C40" s="4" t="s">
        <v>183</v>
      </c>
      <c r="D40" s="3" t="s">
        <v>102</v>
      </c>
      <c r="E40" s="200" t="s">
        <v>330</v>
      </c>
      <c r="F40" s="197"/>
      <c r="G40" s="199" t="s">
        <v>396</v>
      </c>
      <c r="S40" s="190" t="s">
        <v>938</v>
      </c>
      <c r="T40" s="5" t="s">
        <v>108</v>
      </c>
      <c r="U40" s="6" t="s">
        <v>143</v>
      </c>
    </row>
    <row r="41" spans="1:21" x14ac:dyDescent="0.2">
      <c r="A41" s="51" t="s">
        <v>186</v>
      </c>
      <c r="B41" s="51">
        <v>5</v>
      </c>
      <c r="C41" s="4" t="s">
        <v>184</v>
      </c>
      <c r="D41" s="7" t="s">
        <v>761</v>
      </c>
      <c r="E41" s="200" t="s">
        <v>512</v>
      </c>
      <c r="F41" s="197"/>
      <c r="G41" s="199" t="s">
        <v>397</v>
      </c>
      <c r="S41" s="190" t="s">
        <v>162</v>
      </c>
      <c r="T41" s="5" t="s">
        <v>106</v>
      </c>
      <c r="U41" s="6" t="s">
        <v>149</v>
      </c>
    </row>
    <row r="42" spans="1:21" x14ac:dyDescent="0.2">
      <c r="A42" s="3" t="s">
        <v>102</v>
      </c>
      <c r="B42" s="3" t="s">
        <v>102</v>
      </c>
      <c r="C42" s="4" t="s">
        <v>755</v>
      </c>
      <c r="D42" s="7" t="s">
        <v>759</v>
      </c>
      <c r="E42" s="200" t="s">
        <v>331</v>
      </c>
      <c r="F42" s="197"/>
      <c r="G42" s="199" t="s">
        <v>398</v>
      </c>
      <c r="S42" s="190" t="s">
        <v>930</v>
      </c>
      <c r="T42" s="5" t="s">
        <v>110</v>
      </c>
      <c r="U42" s="6" t="s">
        <v>143</v>
      </c>
    </row>
    <row r="43" spans="1:21" x14ac:dyDescent="0.2">
      <c r="A43" s="51" t="s">
        <v>187</v>
      </c>
      <c r="B43" s="51">
        <v>0</v>
      </c>
      <c r="D43" s="7" t="s">
        <v>188</v>
      </c>
      <c r="E43" s="198" t="s">
        <v>842</v>
      </c>
      <c r="F43" s="197"/>
      <c r="G43" s="199" t="s">
        <v>746</v>
      </c>
      <c r="S43" s="190" t="s">
        <v>907</v>
      </c>
      <c r="T43" s="5" t="s">
        <v>104</v>
      </c>
      <c r="U43" s="6" t="s">
        <v>141</v>
      </c>
    </row>
    <row r="44" spans="1:21" x14ac:dyDescent="0.2">
      <c r="A44" s="51" t="s">
        <v>186</v>
      </c>
      <c r="B44" s="51">
        <v>10</v>
      </c>
      <c r="E44" s="200" t="s">
        <v>696</v>
      </c>
      <c r="F44" s="197"/>
      <c r="G44" s="199" t="s">
        <v>731</v>
      </c>
      <c r="M44" s="3" t="s">
        <v>102</v>
      </c>
      <c r="N44" s="3" t="s">
        <v>102</v>
      </c>
      <c r="S44" s="190" t="s">
        <v>163</v>
      </c>
      <c r="T44" s="5" t="s">
        <v>108</v>
      </c>
      <c r="U44" s="6" t="s">
        <v>149</v>
      </c>
    </row>
    <row r="45" spans="1:21" x14ac:dyDescent="0.2">
      <c r="A45" s="3" t="s">
        <v>102</v>
      </c>
      <c r="B45" s="3" t="s">
        <v>102</v>
      </c>
      <c r="C45" s="75"/>
      <c r="E45" s="200" t="s">
        <v>332</v>
      </c>
      <c r="F45" s="197"/>
      <c r="G45" s="199" t="s">
        <v>399</v>
      </c>
      <c r="L45" s="3" t="s">
        <v>102</v>
      </c>
      <c r="M45" s="20"/>
      <c r="N45" s="20"/>
      <c r="S45" s="190" t="s">
        <v>920</v>
      </c>
      <c r="T45" s="5" t="s">
        <v>110</v>
      </c>
      <c r="U45" s="6" t="s">
        <v>149</v>
      </c>
    </row>
    <row r="46" spans="1:21" x14ac:dyDescent="0.25">
      <c r="A46" s="11" t="s">
        <v>190</v>
      </c>
      <c r="B46" s="12">
        <v>1</v>
      </c>
      <c r="C46" s="13" t="s">
        <v>191</v>
      </c>
      <c r="E46" s="200" t="s">
        <v>333</v>
      </c>
      <c r="F46" s="197"/>
      <c r="G46" s="199" t="s">
        <v>400</v>
      </c>
      <c r="J46" s="51" t="s">
        <v>536</v>
      </c>
      <c r="L46" s="149"/>
      <c r="M46" s="149"/>
      <c r="N46" s="149"/>
      <c r="S46" s="190" t="s">
        <v>912</v>
      </c>
      <c r="T46" s="5" t="s">
        <v>110</v>
      </c>
      <c r="U46" s="6" t="s">
        <v>141</v>
      </c>
    </row>
    <row r="47" spans="1:21" x14ac:dyDescent="0.25">
      <c r="A47" s="11" t="s">
        <v>192</v>
      </c>
      <c r="B47" s="12">
        <v>4</v>
      </c>
      <c r="C47" s="13" t="s">
        <v>193</v>
      </c>
      <c r="E47" s="200" t="s">
        <v>735</v>
      </c>
      <c r="F47" s="197"/>
      <c r="G47" s="199" t="s">
        <v>401</v>
      </c>
      <c r="J47" s="51" t="s">
        <v>535</v>
      </c>
      <c r="L47" s="149">
        <f>IF(Name="",0,VLOOKUP(Name,pplista,2,0))</f>
        <v>2000</v>
      </c>
      <c r="M47" s="149"/>
      <c r="N47" s="149"/>
      <c r="S47" s="190" t="s">
        <v>911</v>
      </c>
      <c r="T47" s="5" t="s">
        <v>110</v>
      </c>
      <c r="U47" s="6" t="s">
        <v>141</v>
      </c>
    </row>
    <row r="48" spans="1:21" x14ac:dyDescent="0.25">
      <c r="A48" s="11" t="s">
        <v>194</v>
      </c>
      <c r="B48" s="12">
        <v>11</v>
      </c>
      <c r="C48" s="13" t="s">
        <v>195</v>
      </c>
      <c r="E48" s="200" t="s">
        <v>485</v>
      </c>
      <c r="F48" s="197"/>
      <c r="G48" s="199" t="s">
        <v>402</v>
      </c>
      <c r="J48" s="51" t="s">
        <v>538</v>
      </c>
      <c r="L48" s="149">
        <f>IF(Name="",0,VLOOKUP(Name,pplista,3,0))</f>
        <v>2000</v>
      </c>
      <c r="M48" s="149"/>
      <c r="N48" s="149"/>
      <c r="S48" s="190" t="s">
        <v>164</v>
      </c>
      <c r="T48" s="5" t="s">
        <v>108</v>
      </c>
      <c r="U48" s="6" t="s">
        <v>149</v>
      </c>
    </row>
    <row r="49" spans="1:21" x14ac:dyDescent="0.25">
      <c r="A49" s="11" t="s">
        <v>496</v>
      </c>
      <c r="B49" s="12">
        <v>20</v>
      </c>
      <c r="C49" s="13" t="s">
        <v>497</v>
      </c>
      <c r="E49" s="200" t="s">
        <v>334</v>
      </c>
      <c r="F49" s="197"/>
      <c r="G49" s="199" t="s">
        <v>403</v>
      </c>
      <c r="J49" s="51" t="s">
        <v>537</v>
      </c>
      <c r="L49" s="149"/>
      <c r="M49" s="149"/>
      <c r="N49" s="149"/>
      <c r="S49" s="190" t="s">
        <v>932</v>
      </c>
      <c r="T49" s="5" t="s">
        <v>110</v>
      </c>
      <c r="U49" s="6" t="s">
        <v>143</v>
      </c>
    </row>
    <row r="50" spans="1:21" x14ac:dyDescent="0.25">
      <c r="A50" s="11" t="s">
        <v>196</v>
      </c>
      <c r="B50" s="12">
        <v>31</v>
      </c>
      <c r="C50" s="13" t="s">
        <v>191</v>
      </c>
      <c r="E50" s="200" t="s">
        <v>335</v>
      </c>
      <c r="F50" s="197"/>
      <c r="G50" s="199" t="s">
        <v>951</v>
      </c>
      <c r="J50" s="51" t="s">
        <v>557</v>
      </c>
      <c r="L50" s="149">
        <f>IF(Name="",0,VLOOKUP(Name,pplista,2,0))</f>
        <v>2000</v>
      </c>
      <c r="M50" s="149"/>
      <c r="N50" s="149"/>
      <c r="S50" s="190" t="s">
        <v>165</v>
      </c>
      <c r="T50" s="5" t="s">
        <v>110</v>
      </c>
      <c r="U50" s="6" t="s">
        <v>149</v>
      </c>
    </row>
    <row r="51" spans="1:21" x14ac:dyDescent="0.25">
      <c r="A51" s="11" t="s">
        <v>197</v>
      </c>
      <c r="B51" s="12">
        <v>32</v>
      </c>
      <c r="C51" s="13" t="s">
        <v>191</v>
      </c>
      <c r="E51" s="200" t="s">
        <v>407</v>
      </c>
      <c r="F51" s="197"/>
      <c r="G51" s="199" t="s">
        <v>404</v>
      </c>
      <c r="J51" s="51" t="s">
        <v>556</v>
      </c>
      <c r="L51" s="149"/>
      <c r="M51" s="149"/>
      <c r="N51" s="149"/>
      <c r="S51" s="190" t="s">
        <v>940</v>
      </c>
      <c r="T51" s="5" t="s">
        <v>108</v>
      </c>
      <c r="U51" s="6" t="s">
        <v>143</v>
      </c>
    </row>
    <row r="52" spans="1:21" x14ac:dyDescent="0.25">
      <c r="A52" s="11" t="s">
        <v>198</v>
      </c>
      <c r="B52" s="12">
        <v>33</v>
      </c>
      <c r="C52" s="13" t="s">
        <v>191</v>
      </c>
      <c r="E52" s="200" t="s">
        <v>336</v>
      </c>
      <c r="F52" s="197"/>
      <c r="G52" s="199" t="s">
        <v>405</v>
      </c>
      <c r="J52" s="51" t="s">
        <v>555</v>
      </c>
      <c r="L52" s="149"/>
      <c r="M52" s="149"/>
      <c r="N52" s="149"/>
      <c r="S52" s="190" t="s">
        <v>924</v>
      </c>
      <c r="T52" s="5" t="s">
        <v>104</v>
      </c>
      <c r="U52" s="6" t="s">
        <v>143</v>
      </c>
    </row>
    <row r="53" spans="1:21" x14ac:dyDescent="0.25">
      <c r="A53" s="11" t="s">
        <v>199</v>
      </c>
      <c r="B53" s="12">
        <v>54</v>
      </c>
      <c r="C53" s="13" t="s">
        <v>191</v>
      </c>
      <c r="E53" s="200" t="s">
        <v>337</v>
      </c>
      <c r="F53" s="197"/>
      <c r="G53" s="199" t="s">
        <v>406</v>
      </c>
      <c r="J53" s="51" t="s">
        <v>554</v>
      </c>
      <c r="L53" s="149"/>
      <c r="M53" s="149"/>
      <c r="N53" s="149"/>
      <c r="S53" s="190" t="s">
        <v>906</v>
      </c>
      <c r="T53" s="5" t="s">
        <v>104</v>
      </c>
      <c r="U53" s="6" t="s">
        <v>141</v>
      </c>
    </row>
    <row r="54" spans="1:21" x14ac:dyDescent="0.25">
      <c r="A54" s="11" t="s">
        <v>1001</v>
      </c>
      <c r="B54" s="12">
        <v>57</v>
      </c>
      <c r="C54" s="13" t="s">
        <v>201</v>
      </c>
      <c r="E54" s="200" t="s">
        <v>737</v>
      </c>
      <c r="F54" s="197"/>
      <c r="G54" s="199" t="s">
        <v>321</v>
      </c>
      <c r="J54" s="51" t="s">
        <v>529</v>
      </c>
      <c r="L54" s="149"/>
      <c r="M54" s="149"/>
      <c r="N54" s="149"/>
      <c r="S54" s="190" t="s">
        <v>166</v>
      </c>
      <c r="T54" s="5" t="s">
        <v>108</v>
      </c>
      <c r="U54" s="6" t="s">
        <v>149</v>
      </c>
    </row>
    <row r="55" spans="1:21" x14ac:dyDescent="0.25">
      <c r="A55" s="11" t="s">
        <v>200</v>
      </c>
      <c r="B55" s="12">
        <v>58</v>
      </c>
      <c r="C55" s="13" t="s">
        <v>201</v>
      </c>
      <c r="E55" s="198" t="s">
        <v>961</v>
      </c>
      <c r="F55" s="197"/>
      <c r="G55" s="199" t="s">
        <v>407</v>
      </c>
      <c r="J55" s="51" t="s">
        <v>560</v>
      </c>
      <c r="L55" s="149"/>
      <c r="M55" s="149"/>
      <c r="N55" s="149"/>
      <c r="S55" s="190" t="s">
        <v>908</v>
      </c>
      <c r="T55" s="5" t="s">
        <v>104</v>
      </c>
      <c r="U55" s="6" t="s">
        <v>141</v>
      </c>
    </row>
    <row r="56" spans="1:21" x14ac:dyDescent="0.25">
      <c r="A56" s="11" t="s">
        <v>202</v>
      </c>
      <c r="B56" s="12">
        <v>63</v>
      </c>
      <c r="C56" s="13" t="s">
        <v>195</v>
      </c>
      <c r="E56" s="200" t="s">
        <v>338</v>
      </c>
      <c r="F56" s="197"/>
      <c r="G56" s="199" t="s">
        <v>336</v>
      </c>
      <c r="J56" s="51" t="s">
        <v>559</v>
      </c>
      <c r="L56" s="149"/>
      <c r="M56" s="149"/>
      <c r="N56" s="149"/>
      <c r="S56" s="190" t="s">
        <v>935</v>
      </c>
      <c r="T56" s="5" t="s">
        <v>113</v>
      </c>
      <c r="U56" s="6" t="s">
        <v>143</v>
      </c>
    </row>
    <row r="57" spans="1:21" x14ac:dyDescent="0.25">
      <c r="A57" s="11" t="s">
        <v>203</v>
      </c>
      <c r="B57" s="12">
        <v>73</v>
      </c>
      <c r="C57" s="13" t="s">
        <v>191</v>
      </c>
      <c r="E57" s="201" t="s">
        <v>339</v>
      </c>
      <c r="F57" s="197"/>
      <c r="G57" s="199" t="s">
        <v>408</v>
      </c>
      <c r="J57" s="51" t="s">
        <v>562</v>
      </c>
      <c r="L57" s="149"/>
      <c r="M57" s="149"/>
      <c r="N57" s="149"/>
      <c r="S57" s="190" t="s">
        <v>928</v>
      </c>
      <c r="T57" s="5" t="s">
        <v>106</v>
      </c>
      <c r="U57" s="6" t="s">
        <v>143</v>
      </c>
    </row>
    <row r="58" spans="1:21" x14ac:dyDescent="0.25">
      <c r="A58" s="11" t="s">
        <v>1002</v>
      </c>
      <c r="B58" s="12">
        <v>78</v>
      </c>
      <c r="C58" s="13" t="s">
        <v>191</v>
      </c>
      <c r="E58" s="200" t="s">
        <v>340</v>
      </c>
      <c r="F58" s="197"/>
      <c r="G58" s="199" t="s">
        <v>739</v>
      </c>
      <c r="J58" s="51" t="s">
        <v>561</v>
      </c>
      <c r="L58" s="149"/>
      <c r="M58" s="149"/>
      <c r="N58" s="149"/>
      <c r="S58" s="190" t="s">
        <v>913</v>
      </c>
      <c r="T58" s="5" t="s">
        <v>110</v>
      </c>
      <c r="U58" s="6" t="s">
        <v>141</v>
      </c>
    </row>
    <row r="59" spans="1:21" x14ac:dyDescent="0.25">
      <c r="A59" s="11" t="s">
        <v>1013</v>
      </c>
      <c r="B59" s="12">
        <v>88</v>
      </c>
      <c r="C59" s="13" t="s">
        <v>195</v>
      </c>
      <c r="E59" s="200" t="s">
        <v>341</v>
      </c>
      <c r="F59" s="197"/>
      <c r="G59" s="199" t="s">
        <v>740</v>
      </c>
      <c r="J59" s="51" t="s">
        <v>534</v>
      </c>
      <c r="L59" s="149"/>
      <c r="M59" s="149"/>
      <c r="N59" s="149"/>
      <c r="S59" s="190" t="s">
        <v>927</v>
      </c>
      <c r="T59" s="5" t="s">
        <v>106</v>
      </c>
      <c r="U59" s="6" t="s">
        <v>143</v>
      </c>
    </row>
    <row r="60" spans="1:21" x14ac:dyDescent="0.25">
      <c r="A60" s="11" t="s">
        <v>189</v>
      </c>
      <c r="B60" s="12">
        <v>90</v>
      </c>
      <c r="C60" s="13" t="s">
        <v>204</v>
      </c>
      <c r="E60" s="200" t="s">
        <v>686</v>
      </c>
      <c r="F60" s="197"/>
      <c r="G60" s="199" t="s">
        <v>741</v>
      </c>
      <c r="J60" s="51" t="s">
        <v>533</v>
      </c>
      <c r="L60" s="149"/>
      <c r="M60" s="149"/>
      <c r="N60" s="149"/>
      <c r="S60" s="190" t="s">
        <v>917</v>
      </c>
      <c r="T60" s="5" t="s">
        <v>108</v>
      </c>
      <c r="U60" s="6" t="s">
        <v>141</v>
      </c>
    </row>
    <row r="61" spans="1:21" x14ac:dyDescent="0.25">
      <c r="A61" s="11" t="s">
        <v>205</v>
      </c>
      <c r="B61" s="12">
        <v>91</v>
      </c>
      <c r="C61" s="13" t="s">
        <v>206</v>
      </c>
      <c r="E61" s="200" t="s">
        <v>342</v>
      </c>
      <c r="F61" s="197"/>
      <c r="G61" s="199" t="s">
        <v>950</v>
      </c>
      <c r="J61" s="51" t="s">
        <v>545</v>
      </c>
      <c r="L61" s="149"/>
      <c r="M61" s="149"/>
      <c r="N61" s="149"/>
      <c r="S61" s="190" t="s">
        <v>937</v>
      </c>
      <c r="T61" s="5" t="s">
        <v>113</v>
      </c>
      <c r="U61" s="6" t="s">
        <v>143</v>
      </c>
    </row>
    <row r="62" spans="1:21" x14ac:dyDescent="0.25">
      <c r="A62" s="11" t="s">
        <v>207</v>
      </c>
      <c r="B62" s="12">
        <v>96</v>
      </c>
      <c r="C62" s="13" t="s">
        <v>195</v>
      </c>
      <c r="E62" s="200" t="s">
        <v>482</v>
      </c>
      <c r="F62" s="197"/>
      <c r="G62" s="199" t="s">
        <v>409</v>
      </c>
      <c r="J62" s="51" t="s">
        <v>680</v>
      </c>
      <c r="L62" s="149"/>
      <c r="M62" s="149"/>
      <c r="N62" s="149"/>
    </row>
    <row r="63" spans="1:21" x14ac:dyDescent="0.25">
      <c r="A63" s="11" t="s">
        <v>1003</v>
      </c>
      <c r="B63" s="12">
        <v>99</v>
      </c>
      <c r="C63" s="13" t="s">
        <v>1004</v>
      </c>
      <c r="E63" s="200" t="s">
        <v>343</v>
      </c>
      <c r="F63" s="197"/>
      <c r="G63" s="199" t="s">
        <v>410</v>
      </c>
      <c r="J63" s="51" t="s">
        <v>551</v>
      </c>
      <c r="L63" s="149"/>
      <c r="M63" s="149"/>
      <c r="N63" s="149"/>
    </row>
    <row r="64" spans="1:21" x14ac:dyDescent="0.25">
      <c r="E64" s="200" t="s">
        <v>344</v>
      </c>
      <c r="F64" s="197"/>
      <c r="G64" s="199" t="s">
        <v>411</v>
      </c>
      <c r="J64" s="51" t="s">
        <v>553</v>
      </c>
      <c r="L64" s="149"/>
      <c r="M64" s="149"/>
      <c r="N64" s="149"/>
    </row>
    <row r="65" spans="1:19" x14ac:dyDescent="0.25">
      <c r="A65" s="11" t="s">
        <v>208</v>
      </c>
      <c r="B65" s="12">
        <v>1</v>
      </c>
      <c r="C65" s="13" t="s">
        <v>209</v>
      </c>
      <c r="E65" s="198" t="s">
        <v>954</v>
      </c>
      <c r="F65" s="197"/>
      <c r="G65" s="199" t="s">
        <v>744</v>
      </c>
      <c r="J65" s="51" t="s">
        <v>530</v>
      </c>
      <c r="L65" s="149"/>
      <c r="M65" s="149"/>
      <c r="N65" s="149"/>
    </row>
    <row r="66" spans="1:19" x14ac:dyDescent="0.25">
      <c r="A66" s="11" t="s">
        <v>210</v>
      </c>
      <c r="B66" s="12">
        <v>4</v>
      </c>
      <c r="C66" s="13" t="s">
        <v>211</v>
      </c>
      <c r="E66" s="200" t="s">
        <v>749</v>
      </c>
      <c r="F66" s="197"/>
      <c r="G66" s="199" t="s">
        <v>412</v>
      </c>
      <c r="J66" s="51" t="s">
        <v>531</v>
      </c>
      <c r="L66" s="149"/>
      <c r="M66" s="149"/>
      <c r="N66" s="149"/>
    </row>
    <row r="67" spans="1:19" x14ac:dyDescent="0.25">
      <c r="A67" s="11" t="s">
        <v>212</v>
      </c>
      <c r="B67" s="12">
        <v>8</v>
      </c>
      <c r="C67" s="13" t="s">
        <v>213</v>
      </c>
      <c r="E67" s="200" t="s">
        <v>345</v>
      </c>
      <c r="F67" s="197"/>
      <c r="G67" s="199" t="s">
        <v>413</v>
      </c>
      <c r="J67" s="51" t="s">
        <v>532</v>
      </c>
    </row>
    <row r="68" spans="1:19" x14ac:dyDescent="0.25">
      <c r="A68" s="11" t="s">
        <v>214</v>
      </c>
      <c r="B68" s="12">
        <v>9</v>
      </c>
      <c r="C68" s="13" t="s">
        <v>215</v>
      </c>
      <c r="E68" s="198" t="s">
        <v>953</v>
      </c>
      <c r="F68" s="197"/>
      <c r="G68" s="199" t="s">
        <v>747</v>
      </c>
      <c r="J68" s="51" t="s">
        <v>548</v>
      </c>
    </row>
    <row r="69" spans="1:19" x14ac:dyDescent="0.25">
      <c r="A69" s="11" t="s">
        <v>216</v>
      </c>
      <c r="B69" s="12">
        <v>10</v>
      </c>
      <c r="C69" s="13" t="s">
        <v>217</v>
      </c>
      <c r="E69" s="200" t="s">
        <v>346</v>
      </c>
      <c r="F69" s="197"/>
      <c r="G69" s="199" t="s">
        <v>414</v>
      </c>
      <c r="J69" s="51" t="s">
        <v>547</v>
      </c>
      <c r="L69" s="241"/>
      <c r="M69" s="241"/>
      <c r="N69" s="241"/>
      <c r="O69" s="241"/>
      <c r="P69" s="244" t="s">
        <v>1040</v>
      </c>
      <c r="Q69" s="245"/>
      <c r="R69" s="244" t="s">
        <v>6</v>
      </c>
      <c r="S69" s="245"/>
    </row>
    <row r="70" spans="1:19" x14ac:dyDescent="0.25">
      <c r="A70" s="11" t="s">
        <v>218</v>
      </c>
      <c r="B70" s="12">
        <v>12</v>
      </c>
      <c r="C70" s="13" t="s">
        <v>219</v>
      </c>
      <c r="E70" s="200" t="s">
        <v>347</v>
      </c>
      <c r="F70" s="197"/>
      <c r="G70" s="199" t="s">
        <v>733</v>
      </c>
      <c r="J70" s="51" t="s">
        <v>546</v>
      </c>
      <c r="L70" s="241"/>
      <c r="M70" s="241" t="s">
        <v>1025</v>
      </c>
      <c r="N70" s="241" t="s">
        <v>868</v>
      </c>
      <c r="O70" s="241" t="s">
        <v>1038</v>
      </c>
      <c r="P70" s="241" t="s">
        <v>571</v>
      </c>
      <c r="Q70" s="241" t="s">
        <v>1039</v>
      </c>
      <c r="R70" s="241" t="s">
        <v>868</v>
      </c>
      <c r="S70" s="241" t="s">
        <v>55</v>
      </c>
    </row>
    <row r="71" spans="1:19" x14ac:dyDescent="0.25">
      <c r="A71" s="11" t="s">
        <v>220</v>
      </c>
      <c r="B71" s="12">
        <v>15</v>
      </c>
      <c r="C71" s="13" t="s">
        <v>221</v>
      </c>
      <c r="E71" s="200" t="s">
        <v>348</v>
      </c>
      <c r="F71" s="197"/>
      <c r="G71" s="199" t="s">
        <v>415</v>
      </c>
      <c r="J71" s="51" t="s">
        <v>552</v>
      </c>
      <c r="L71" s="242" t="s">
        <v>1029</v>
      </c>
      <c r="M71" s="242">
        <v>1.5</v>
      </c>
      <c r="N71" s="242">
        <v>1</v>
      </c>
      <c r="O71" s="242">
        <v>0.8</v>
      </c>
      <c r="P71" s="242">
        <v>2</v>
      </c>
      <c r="Q71" s="242">
        <v>0.7</v>
      </c>
      <c r="R71" s="242">
        <v>1.2</v>
      </c>
      <c r="S71" s="242">
        <v>1</v>
      </c>
    </row>
    <row r="72" spans="1:19" x14ac:dyDescent="0.25">
      <c r="A72" s="11" t="s">
        <v>222</v>
      </c>
      <c r="B72" s="12">
        <v>21</v>
      </c>
      <c r="C72" s="13" t="s">
        <v>223</v>
      </c>
      <c r="E72" s="201" t="s">
        <v>490</v>
      </c>
      <c r="F72" s="197"/>
      <c r="G72" s="198" t="s">
        <v>794</v>
      </c>
      <c r="J72" s="51" t="s">
        <v>550</v>
      </c>
      <c r="L72" s="242" t="s">
        <v>1030</v>
      </c>
      <c r="M72" s="242">
        <v>4.5</v>
      </c>
      <c r="N72" s="242">
        <v>1</v>
      </c>
      <c r="O72" s="242">
        <v>0.8</v>
      </c>
      <c r="P72" s="242">
        <v>1.25</v>
      </c>
      <c r="Q72" s="242">
        <v>0.8</v>
      </c>
      <c r="R72" s="242">
        <v>1.2</v>
      </c>
      <c r="S72" s="242">
        <v>1</v>
      </c>
    </row>
    <row r="73" spans="1:19" x14ac:dyDescent="0.25">
      <c r="A73" s="11" t="s">
        <v>224</v>
      </c>
      <c r="B73" s="12">
        <v>26</v>
      </c>
      <c r="C73" s="13" t="s">
        <v>225</v>
      </c>
      <c r="E73" s="200" t="s">
        <v>349</v>
      </c>
      <c r="F73" s="197"/>
      <c r="G73" s="198" t="s">
        <v>793</v>
      </c>
      <c r="J73" s="51" t="s">
        <v>549</v>
      </c>
      <c r="L73" s="242" t="s">
        <v>1031</v>
      </c>
      <c r="M73" s="242">
        <v>2.5</v>
      </c>
      <c r="N73" s="242">
        <v>1.3</v>
      </c>
      <c r="O73" s="242">
        <v>0.8</v>
      </c>
      <c r="P73" s="242">
        <v>1.5</v>
      </c>
      <c r="Q73" s="242">
        <v>0.5</v>
      </c>
      <c r="R73" s="242">
        <v>1</v>
      </c>
      <c r="S73" s="242">
        <v>1</v>
      </c>
    </row>
    <row r="74" spans="1:19" x14ac:dyDescent="0.25">
      <c r="A74" s="11" t="s">
        <v>226</v>
      </c>
      <c r="B74" s="12">
        <v>30</v>
      </c>
      <c r="C74" s="13" t="s">
        <v>211</v>
      </c>
      <c r="E74" s="200" t="s">
        <v>350</v>
      </c>
      <c r="F74" s="197"/>
      <c r="G74" s="199" t="s">
        <v>416</v>
      </c>
      <c r="J74" s="51" t="s">
        <v>542</v>
      </c>
      <c r="L74" s="242" t="s">
        <v>1032</v>
      </c>
      <c r="M74" s="242">
        <v>1.5</v>
      </c>
      <c r="N74" s="242">
        <v>1</v>
      </c>
      <c r="O74" s="242">
        <v>5</v>
      </c>
      <c r="P74" s="242">
        <v>1</v>
      </c>
      <c r="Q74" s="242">
        <v>1</v>
      </c>
      <c r="R74" s="242">
        <v>1.2</v>
      </c>
      <c r="S74" s="242">
        <v>1</v>
      </c>
    </row>
    <row r="75" spans="1:19" x14ac:dyDescent="0.25">
      <c r="A75" s="11" t="s">
        <v>227</v>
      </c>
      <c r="B75" s="12">
        <v>37</v>
      </c>
      <c r="C75" s="13" t="s">
        <v>228</v>
      </c>
      <c r="E75" s="200" t="s">
        <v>351</v>
      </c>
      <c r="F75" s="197"/>
      <c r="G75" s="199" t="s">
        <v>417</v>
      </c>
      <c r="J75" s="51" t="s">
        <v>541</v>
      </c>
      <c r="L75" s="242" t="s">
        <v>1033</v>
      </c>
      <c r="M75" s="242">
        <v>4</v>
      </c>
      <c r="N75" s="242">
        <v>1</v>
      </c>
      <c r="O75" s="242">
        <v>3</v>
      </c>
      <c r="P75" s="242">
        <v>1</v>
      </c>
      <c r="Q75" s="242">
        <v>1</v>
      </c>
      <c r="R75" s="242">
        <v>1.2</v>
      </c>
      <c r="S75" s="242">
        <v>1</v>
      </c>
    </row>
    <row r="76" spans="1:19" x14ac:dyDescent="0.25">
      <c r="A76" s="11" t="s">
        <v>229</v>
      </c>
      <c r="B76" s="12">
        <v>39</v>
      </c>
      <c r="C76" s="13" t="s">
        <v>230</v>
      </c>
      <c r="E76" s="200" t="s">
        <v>352</v>
      </c>
      <c r="F76" s="197"/>
      <c r="G76" s="199" t="s">
        <v>524</v>
      </c>
      <c r="J76" s="51" t="s">
        <v>544</v>
      </c>
      <c r="L76" s="242" t="s">
        <v>1034</v>
      </c>
      <c r="M76" s="242">
        <v>2</v>
      </c>
      <c r="N76" s="242">
        <v>1.3</v>
      </c>
      <c r="O76" s="242">
        <v>4</v>
      </c>
      <c r="P76" s="242">
        <v>1</v>
      </c>
      <c r="Q76" s="242">
        <v>1</v>
      </c>
      <c r="R76" s="242">
        <v>1</v>
      </c>
      <c r="S76" s="242">
        <v>1</v>
      </c>
    </row>
    <row r="77" spans="1:19" x14ac:dyDescent="0.25">
      <c r="A77" s="11" t="s">
        <v>231</v>
      </c>
      <c r="B77" s="12">
        <v>58</v>
      </c>
      <c r="C77" s="13" t="s">
        <v>232</v>
      </c>
      <c r="E77" s="200" t="s">
        <v>353</v>
      </c>
      <c r="F77" s="197"/>
      <c r="G77" s="199" t="s">
        <v>522</v>
      </c>
      <c r="J77" s="51" t="s">
        <v>543</v>
      </c>
      <c r="L77" s="242" t="s">
        <v>1035</v>
      </c>
      <c r="M77" s="242">
        <v>-1.5</v>
      </c>
      <c r="N77" s="242">
        <v>1</v>
      </c>
      <c r="O77" s="242">
        <v>0.5</v>
      </c>
      <c r="P77" s="242">
        <v>0.8</v>
      </c>
      <c r="Q77" s="242">
        <v>1.3</v>
      </c>
      <c r="R77" s="242">
        <v>0.9</v>
      </c>
      <c r="S77" s="242">
        <v>1.2</v>
      </c>
    </row>
    <row r="78" spans="1:19" x14ac:dyDescent="0.25">
      <c r="A78" s="11" t="s">
        <v>233</v>
      </c>
      <c r="B78" s="12">
        <v>61</v>
      </c>
      <c r="C78" s="13" t="s">
        <v>209</v>
      </c>
      <c r="E78" s="200" t="s">
        <v>354</v>
      </c>
      <c r="F78" s="197"/>
      <c r="G78" s="199" t="s">
        <v>418</v>
      </c>
      <c r="J78" s="51" t="s">
        <v>540</v>
      </c>
      <c r="L78" s="242" t="s">
        <v>1036</v>
      </c>
      <c r="M78" s="242">
        <v>1.1000000000000001</v>
      </c>
      <c r="N78" s="242">
        <v>0.9</v>
      </c>
      <c r="O78" s="242">
        <v>0.3</v>
      </c>
      <c r="P78" s="242">
        <v>0.5</v>
      </c>
      <c r="Q78" s="242">
        <v>1.3</v>
      </c>
      <c r="R78" s="242">
        <v>1</v>
      </c>
      <c r="S78" s="242">
        <v>1</v>
      </c>
    </row>
    <row r="79" spans="1:19" x14ac:dyDescent="0.25">
      <c r="A79" s="11" t="s">
        <v>234</v>
      </c>
      <c r="B79" s="12">
        <v>62</v>
      </c>
      <c r="C79" s="13" t="s">
        <v>235</v>
      </c>
      <c r="E79" s="200" t="s">
        <v>355</v>
      </c>
      <c r="F79" s="197"/>
      <c r="G79" s="199" t="s">
        <v>419</v>
      </c>
      <c r="J79" s="51" t="s">
        <v>539</v>
      </c>
      <c r="L79" s="242" t="s">
        <v>1037</v>
      </c>
      <c r="M79" s="242">
        <v>0.5</v>
      </c>
      <c r="N79" s="242">
        <v>1.3</v>
      </c>
      <c r="O79" s="242">
        <v>0.3</v>
      </c>
      <c r="P79" s="242">
        <v>0.5</v>
      </c>
      <c r="Q79" s="242">
        <v>1</v>
      </c>
      <c r="R79" s="242">
        <v>0.7</v>
      </c>
      <c r="S79" s="242">
        <v>1.1000000000000001</v>
      </c>
    </row>
    <row r="80" spans="1:19" x14ac:dyDescent="0.25">
      <c r="A80" s="11" t="s">
        <v>236</v>
      </c>
      <c r="B80" s="12">
        <v>63</v>
      </c>
      <c r="C80" s="13" t="s">
        <v>211</v>
      </c>
      <c r="E80" s="200" t="s">
        <v>356</v>
      </c>
      <c r="F80" s="197"/>
      <c r="G80" s="199" t="s">
        <v>420</v>
      </c>
    </row>
    <row r="81" spans="1:17" x14ac:dyDescent="0.25">
      <c r="A81" s="11" t="s">
        <v>237</v>
      </c>
      <c r="B81" s="12">
        <v>73</v>
      </c>
      <c r="C81" s="13" t="s">
        <v>238</v>
      </c>
      <c r="E81" s="201" t="s">
        <v>357</v>
      </c>
      <c r="F81" s="197"/>
      <c r="G81" s="199" t="s">
        <v>421</v>
      </c>
    </row>
    <row r="82" spans="1:17" x14ac:dyDescent="0.25">
      <c r="A82" s="11" t="s">
        <v>239</v>
      </c>
      <c r="B82" s="12">
        <v>75</v>
      </c>
      <c r="C82" s="13" t="s">
        <v>215</v>
      </c>
      <c r="E82" s="200" t="s">
        <v>421</v>
      </c>
      <c r="F82" s="197"/>
      <c r="G82" s="199" t="s">
        <v>422</v>
      </c>
    </row>
    <row r="83" spans="1:17" x14ac:dyDescent="0.25">
      <c r="A83" s="11" t="s">
        <v>240</v>
      </c>
      <c r="B83" s="12">
        <v>77</v>
      </c>
      <c r="C83" s="13" t="s">
        <v>241</v>
      </c>
      <c r="E83" s="200" t="s">
        <v>358</v>
      </c>
      <c r="F83" s="197"/>
      <c r="G83" s="199" t="s">
        <v>728</v>
      </c>
    </row>
    <row r="84" spans="1:17" x14ac:dyDescent="0.25">
      <c r="A84" s="11" t="s">
        <v>242</v>
      </c>
      <c r="B84" s="12">
        <v>79</v>
      </c>
      <c r="C84" s="13" t="s">
        <v>215</v>
      </c>
      <c r="E84" s="200" t="s">
        <v>359</v>
      </c>
      <c r="F84" s="197"/>
      <c r="G84" s="199" t="s">
        <v>423</v>
      </c>
    </row>
    <row r="85" spans="1:17" x14ac:dyDescent="0.3">
      <c r="A85" s="11" t="s">
        <v>243</v>
      </c>
      <c r="B85" s="12">
        <v>81</v>
      </c>
      <c r="C85" s="13" t="s">
        <v>244</v>
      </c>
      <c r="E85" s="200" t="s">
        <v>481</v>
      </c>
      <c r="F85" s="197"/>
      <c r="G85" s="199" t="s">
        <v>424</v>
      </c>
      <c r="J85" s="222" t="s">
        <v>849</v>
      </c>
      <c r="K85" s="222" t="s">
        <v>870</v>
      </c>
      <c r="L85" s="222" t="s">
        <v>850</v>
      </c>
      <c r="M85" s="223">
        <f ca="1">'Informações Gerais'!I8</f>
        <v>0</v>
      </c>
      <c r="N85" s="224" t="s">
        <v>852</v>
      </c>
      <c r="O85" s="224" t="s">
        <v>853</v>
      </c>
      <c r="P85" s="223" t="s">
        <v>851</v>
      </c>
      <c r="Q85" s="223" t="s">
        <v>851</v>
      </c>
    </row>
    <row r="86" spans="1:17" x14ac:dyDescent="0.3">
      <c r="A86" s="11" t="s">
        <v>247</v>
      </c>
      <c r="B86" s="23">
        <v>99.1</v>
      </c>
      <c r="C86" s="13" t="s">
        <v>215</v>
      </c>
      <c r="E86" s="201" t="s">
        <v>491</v>
      </c>
      <c r="F86" s="197"/>
      <c r="G86" s="199" t="s">
        <v>425</v>
      </c>
      <c r="J86" s="222" t="s">
        <v>990</v>
      </c>
      <c r="K86" s="222" t="s">
        <v>870</v>
      </c>
      <c r="L86" s="222" t="s">
        <v>855</v>
      </c>
      <c r="M86" s="223">
        <f ca="1">'Informações Gerais'!I8</f>
        <v>0</v>
      </c>
      <c r="N86" s="224" t="s">
        <v>878</v>
      </c>
      <c r="O86" s="224" t="s">
        <v>856</v>
      </c>
      <c r="P86" s="223" t="s">
        <v>851</v>
      </c>
      <c r="Q86" s="223" t="s">
        <v>851</v>
      </c>
    </row>
    <row r="87" spans="1:17" x14ac:dyDescent="0.3">
      <c r="A87" s="11" t="s">
        <v>245</v>
      </c>
      <c r="B87" s="23">
        <v>99.2</v>
      </c>
      <c r="C87" s="13" t="s">
        <v>215</v>
      </c>
      <c r="E87" s="201" t="s">
        <v>689</v>
      </c>
      <c r="F87" s="197"/>
      <c r="G87" s="199" t="s">
        <v>960</v>
      </c>
      <c r="J87" s="222" t="s">
        <v>991</v>
      </c>
      <c r="K87" s="222" t="s">
        <v>870</v>
      </c>
      <c r="L87" s="222" t="s">
        <v>855</v>
      </c>
      <c r="M87" s="223">
        <f ca="1">'Informações Gerais'!I9</f>
        <v>0</v>
      </c>
      <c r="N87" s="224" t="s">
        <v>993</v>
      </c>
      <c r="O87" s="224" t="s">
        <v>856</v>
      </c>
      <c r="P87" s="224" t="s">
        <v>857</v>
      </c>
      <c r="Q87" s="223" t="s">
        <v>851</v>
      </c>
    </row>
    <row r="88" spans="1:17" x14ac:dyDescent="0.3">
      <c r="A88" s="11" t="s">
        <v>246</v>
      </c>
      <c r="B88" s="23">
        <v>99.3</v>
      </c>
      <c r="C88" s="13" t="s">
        <v>204</v>
      </c>
      <c r="E88" s="201" t="s">
        <v>691</v>
      </c>
      <c r="F88" s="197"/>
      <c r="G88" s="199" t="s">
        <v>515</v>
      </c>
      <c r="J88" s="222" t="s">
        <v>858</v>
      </c>
      <c r="K88" s="222" t="s">
        <v>871</v>
      </c>
      <c r="L88" s="222" t="s">
        <v>855</v>
      </c>
      <c r="M88" s="223">
        <f ca="1">'Informações Gerais'!I9</f>
        <v>0</v>
      </c>
      <c r="N88" s="224" t="s">
        <v>1062</v>
      </c>
      <c r="O88" s="224" t="s">
        <v>859</v>
      </c>
      <c r="P88" s="224" t="s">
        <v>857</v>
      </c>
      <c r="Q88" s="225">
        <f ca="1">'Informações Gerais'!P7*2</f>
        <v>98.789346246973366</v>
      </c>
    </row>
    <row r="89" spans="1:17" x14ac:dyDescent="0.3">
      <c r="E89" s="201" t="s">
        <v>492</v>
      </c>
      <c r="F89" s="197"/>
      <c r="G89" s="199" t="s">
        <v>426</v>
      </c>
      <c r="J89" s="222" t="s">
        <v>860</v>
      </c>
      <c r="K89" s="222" t="s">
        <v>872</v>
      </c>
      <c r="L89" s="222" t="s">
        <v>850</v>
      </c>
      <c r="M89" s="223">
        <f ca="1">'Informações Gerais'!I8</f>
        <v>0</v>
      </c>
      <c r="N89" s="224" t="s">
        <v>1060</v>
      </c>
      <c r="O89" s="224" t="s">
        <v>1061</v>
      </c>
      <c r="P89" s="224" t="s">
        <v>854</v>
      </c>
      <c r="Q89" s="225">
        <f ca="1">'Informações Gerais'!P7*3</f>
        <v>148.18401937046005</v>
      </c>
    </row>
    <row r="90" spans="1:17" x14ac:dyDescent="0.3">
      <c r="A90" s="11" t="s">
        <v>248</v>
      </c>
      <c r="B90" s="12">
        <v>5</v>
      </c>
      <c r="C90" s="13" t="s">
        <v>249</v>
      </c>
      <c r="E90" s="201" t="s">
        <v>360</v>
      </c>
      <c r="F90" s="197"/>
      <c r="G90" s="199" t="s">
        <v>802</v>
      </c>
      <c r="J90" s="222" t="s">
        <v>861</v>
      </c>
      <c r="K90" s="222" t="s">
        <v>873</v>
      </c>
      <c r="L90" s="222" t="s">
        <v>850</v>
      </c>
      <c r="M90" s="225">
        <f ca="1">'Informações Gerais'!I9</f>
        <v>0</v>
      </c>
      <c r="N90" s="224" t="s">
        <v>862</v>
      </c>
      <c r="O90" s="224" t="s">
        <v>863</v>
      </c>
      <c r="P90" s="224" t="s">
        <v>857</v>
      </c>
      <c r="Q90" s="225">
        <f ca="1">'Informações Gerais'!P7*5</f>
        <v>246.97336561743342</v>
      </c>
    </row>
    <row r="91" spans="1:17" x14ac:dyDescent="0.3">
      <c r="A91" s="11" t="s">
        <v>250</v>
      </c>
      <c r="B91" s="12">
        <v>30</v>
      </c>
      <c r="C91" s="13" t="s">
        <v>191</v>
      </c>
      <c r="E91" s="201" t="s">
        <v>715</v>
      </c>
      <c r="F91" s="197"/>
      <c r="G91" s="199" t="s">
        <v>727</v>
      </c>
      <c r="J91" s="222" t="s">
        <v>864</v>
      </c>
      <c r="K91" s="222" t="s">
        <v>873</v>
      </c>
      <c r="L91" s="222" t="s">
        <v>850</v>
      </c>
      <c r="M91" s="223">
        <f ca="1">'Informações Gerais'!I8</f>
        <v>0</v>
      </c>
      <c r="N91" s="224" t="s">
        <v>865</v>
      </c>
      <c r="O91" s="224" t="s">
        <v>866</v>
      </c>
      <c r="P91" s="224" t="s">
        <v>857</v>
      </c>
      <c r="Q91" s="225">
        <f ca="1">'Informações Gerais'!P7*5</f>
        <v>246.97336561743342</v>
      </c>
    </row>
    <row r="92" spans="1:17" x14ac:dyDescent="0.25">
      <c r="A92" s="11" t="s">
        <v>253</v>
      </c>
      <c r="B92" s="12">
        <v>50</v>
      </c>
      <c r="C92" s="13" t="s">
        <v>215</v>
      </c>
      <c r="E92" s="201" t="s">
        <v>968</v>
      </c>
      <c r="F92" s="197"/>
      <c r="G92" s="199" t="s">
        <v>427</v>
      </c>
    </row>
    <row r="93" spans="1:17" x14ac:dyDescent="0.25">
      <c r="A93" s="11" t="s">
        <v>251</v>
      </c>
      <c r="B93" s="12">
        <v>50</v>
      </c>
      <c r="C93" s="13" t="s">
        <v>252</v>
      </c>
      <c r="E93" s="201" t="s">
        <v>725</v>
      </c>
      <c r="F93" s="197"/>
      <c r="G93" s="199" t="s">
        <v>516</v>
      </c>
    </row>
    <row r="94" spans="1:17" x14ac:dyDescent="0.25">
      <c r="A94" s="11" t="s">
        <v>254</v>
      </c>
      <c r="B94" s="12">
        <v>50</v>
      </c>
      <c r="C94" s="13" t="s">
        <v>232</v>
      </c>
      <c r="E94" s="201" t="s">
        <v>361</v>
      </c>
      <c r="F94" s="197"/>
      <c r="G94" s="199" t="s">
        <v>363</v>
      </c>
    </row>
    <row r="95" spans="1:17" x14ac:dyDescent="0.25">
      <c r="A95" s="11" t="s">
        <v>511</v>
      </c>
      <c r="B95" s="12">
        <v>50</v>
      </c>
      <c r="C95" s="13" t="s">
        <v>512</v>
      </c>
      <c r="E95" s="200" t="s">
        <v>362</v>
      </c>
      <c r="F95" s="197"/>
      <c r="G95" s="199" t="s">
        <v>364</v>
      </c>
    </row>
    <row r="96" spans="1:17" x14ac:dyDescent="0.25">
      <c r="A96" s="11" t="s">
        <v>255</v>
      </c>
      <c r="B96" s="12">
        <v>60</v>
      </c>
      <c r="C96" s="13" t="s">
        <v>191</v>
      </c>
      <c r="E96" s="200" t="s">
        <v>363</v>
      </c>
      <c r="F96" s="197"/>
      <c r="G96" s="199" t="s">
        <v>428</v>
      </c>
    </row>
    <row r="97" spans="1:7" x14ac:dyDescent="0.25">
      <c r="A97" s="11" t="s">
        <v>259</v>
      </c>
      <c r="B97" s="12">
        <v>80</v>
      </c>
      <c r="C97" s="13" t="s">
        <v>219</v>
      </c>
      <c r="E97" s="200" t="s">
        <v>364</v>
      </c>
      <c r="F97" s="197"/>
      <c r="G97" s="198" t="s">
        <v>841</v>
      </c>
    </row>
    <row r="98" spans="1:7" x14ac:dyDescent="0.25">
      <c r="A98" s="11" t="s">
        <v>256</v>
      </c>
      <c r="B98" s="12">
        <v>80</v>
      </c>
      <c r="C98" s="13" t="s">
        <v>195</v>
      </c>
      <c r="E98" s="200" t="s">
        <v>365</v>
      </c>
      <c r="F98" s="197"/>
      <c r="G98" s="199" t="s">
        <v>369</v>
      </c>
    </row>
    <row r="99" spans="1:7" x14ac:dyDescent="0.25">
      <c r="A99" s="11" t="s">
        <v>257</v>
      </c>
      <c r="B99" s="12">
        <v>80</v>
      </c>
      <c r="C99" s="13" t="s">
        <v>258</v>
      </c>
      <c r="E99" s="200" t="s">
        <v>366</v>
      </c>
      <c r="F99" s="197"/>
      <c r="G99" s="199" t="s">
        <v>429</v>
      </c>
    </row>
    <row r="100" spans="1:7" x14ac:dyDescent="0.25">
      <c r="A100" s="11" t="s">
        <v>260</v>
      </c>
      <c r="B100" s="12">
        <v>100</v>
      </c>
      <c r="C100" s="13" t="s">
        <v>195</v>
      </c>
      <c r="E100" s="201" t="s">
        <v>367</v>
      </c>
      <c r="F100" s="197"/>
      <c r="G100" s="199" t="s">
        <v>514</v>
      </c>
    </row>
    <row r="101" spans="1:7" x14ac:dyDescent="0.25">
      <c r="A101" s="11" t="s">
        <v>261</v>
      </c>
      <c r="B101" s="12">
        <v>100</v>
      </c>
      <c r="C101" s="13" t="s">
        <v>262</v>
      </c>
      <c r="E101" s="200" t="s">
        <v>368</v>
      </c>
      <c r="F101" s="197"/>
      <c r="G101" s="199" t="s">
        <v>430</v>
      </c>
    </row>
    <row r="102" spans="1:7" x14ac:dyDescent="0.25">
      <c r="E102" s="198" t="s">
        <v>955</v>
      </c>
      <c r="F102" s="197"/>
      <c r="G102" s="199" t="s">
        <v>958</v>
      </c>
    </row>
    <row r="103" spans="1:7" x14ac:dyDescent="0.25">
      <c r="A103" s="11" t="s">
        <v>263</v>
      </c>
      <c r="B103" s="12">
        <v>10</v>
      </c>
      <c r="C103" s="13" t="s">
        <v>264</v>
      </c>
      <c r="E103" s="200" t="s">
        <v>484</v>
      </c>
      <c r="F103" s="197"/>
      <c r="G103" s="199" t="s">
        <v>431</v>
      </c>
    </row>
    <row r="104" spans="1:7" x14ac:dyDescent="0.25">
      <c r="A104" s="11" t="s">
        <v>265</v>
      </c>
      <c r="B104" s="12">
        <v>25</v>
      </c>
      <c r="C104" s="13" t="s">
        <v>266</v>
      </c>
      <c r="E104" s="200" t="s">
        <v>370</v>
      </c>
      <c r="F104" s="197"/>
      <c r="G104" s="199" t="s">
        <v>432</v>
      </c>
    </row>
    <row r="105" spans="1:7" x14ac:dyDescent="0.25">
      <c r="A105" s="11" t="s">
        <v>267</v>
      </c>
      <c r="B105" s="12">
        <v>40</v>
      </c>
      <c r="C105" s="13" t="s">
        <v>191</v>
      </c>
      <c r="E105" s="200" t="s">
        <v>371</v>
      </c>
      <c r="F105" s="197"/>
      <c r="G105" s="199" t="s">
        <v>433</v>
      </c>
    </row>
    <row r="106" spans="1:7" x14ac:dyDescent="0.25">
      <c r="A106" s="11" t="s">
        <v>273</v>
      </c>
      <c r="B106" s="12">
        <v>50</v>
      </c>
      <c r="C106" s="13" t="s">
        <v>274</v>
      </c>
      <c r="E106" s="200" t="s">
        <v>372</v>
      </c>
      <c r="F106" s="197"/>
      <c r="G106" s="199" t="s">
        <v>434</v>
      </c>
    </row>
    <row r="107" spans="1:7" x14ac:dyDescent="0.25">
      <c r="A107" s="11" t="s">
        <v>275</v>
      </c>
      <c r="B107" s="12">
        <v>50</v>
      </c>
      <c r="C107" s="13" t="s">
        <v>388</v>
      </c>
      <c r="E107" s="200" t="s">
        <v>373</v>
      </c>
      <c r="F107" s="197"/>
      <c r="G107" s="199" t="s">
        <v>450</v>
      </c>
    </row>
    <row r="108" spans="1:7" x14ac:dyDescent="0.25">
      <c r="A108" s="11" t="s">
        <v>272</v>
      </c>
      <c r="B108" s="12">
        <v>50</v>
      </c>
      <c r="C108" s="13" t="s">
        <v>244</v>
      </c>
      <c r="E108" s="201" t="s">
        <v>493</v>
      </c>
      <c r="F108" s="197"/>
      <c r="G108" s="199" t="s">
        <v>493</v>
      </c>
    </row>
    <row r="109" spans="1:7" x14ac:dyDescent="0.25">
      <c r="A109" s="11" t="s">
        <v>277</v>
      </c>
      <c r="B109" s="12">
        <v>50</v>
      </c>
      <c r="C109" s="13" t="s">
        <v>252</v>
      </c>
      <c r="E109" s="200" t="s">
        <v>374</v>
      </c>
      <c r="F109" s="197"/>
      <c r="G109" s="199" t="s">
        <v>513</v>
      </c>
    </row>
    <row r="110" spans="1:7" x14ac:dyDescent="0.25">
      <c r="A110" s="11" t="s">
        <v>271</v>
      </c>
      <c r="B110" s="12">
        <v>50</v>
      </c>
      <c r="C110" s="13" t="s">
        <v>244</v>
      </c>
      <c r="E110" s="200" t="s">
        <v>694</v>
      </c>
      <c r="F110" s="197"/>
      <c r="G110" s="199" t="s">
        <v>435</v>
      </c>
    </row>
    <row r="111" spans="1:7" x14ac:dyDescent="0.25">
      <c r="A111" s="11" t="s">
        <v>270</v>
      </c>
      <c r="B111" s="12">
        <v>50</v>
      </c>
      <c r="C111" s="13" t="s">
        <v>244</v>
      </c>
      <c r="E111" s="200" t="s">
        <v>375</v>
      </c>
      <c r="F111" s="197"/>
      <c r="G111" s="199" t="s">
        <v>952</v>
      </c>
    </row>
    <row r="112" spans="1:7" x14ac:dyDescent="0.25">
      <c r="A112" s="11" t="s">
        <v>276</v>
      </c>
      <c r="B112" s="12">
        <v>50</v>
      </c>
      <c r="C112" s="13" t="s">
        <v>244</v>
      </c>
      <c r="E112" s="201" t="s">
        <v>682</v>
      </c>
      <c r="F112" s="197"/>
      <c r="G112" s="199" t="s">
        <v>959</v>
      </c>
    </row>
    <row r="113" spans="1:19" x14ac:dyDescent="0.25">
      <c r="A113" s="11" t="s">
        <v>278</v>
      </c>
      <c r="B113" s="12">
        <v>50</v>
      </c>
      <c r="C113" s="13" t="s">
        <v>244</v>
      </c>
      <c r="E113" s="200" t="s">
        <v>376</v>
      </c>
      <c r="F113" s="197"/>
      <c r="G113" s="199" t="s">
        <v>436</v>
      </c>
    </row>
    <row r="114" spans="1:19" x14ac:dyDescent="0.25">
      <c r="A114" s="11" t="s">
        <v>268</v>
      </c>
      <c r="B114" s="12">
        <v>50</v>
      </c>
      <c r="C114" s="13" t="s">
        <v>269</v>
      </c>
      <c r="E114" s="201" t="s">
        <v>495</v>
      </c>
      <c r="F114" s="197"/>
      <c r="G114" s="199" t="s">
        <v>437</v>
      </c>
    </row>
    <row r="115" spans="1:19" x14ac:dyDescent="0.25">
      <c r="A115" s="11" t="s">
        <v>501</v>
      </c>
      <c r="B115" s="12">
        <v>50</v>
      </c>
      <c r="C115" s="13" t="s">
        <v>502</v>
      </c>
      <c r="E115" s="201" t="s">
        <v>687</v>
      </c>
      <c r="F115" s="197"/>
      <c r="G115" s="199" t="s">
        <v>517</v>
      </c>
    </row>
    <row r="116" spans="1:19" x14ac:dyDescent="0.25">
      <c r="A116" s="11" t="s">
        <v>503</v>
      </c>
      <c r="B116" s="12">
        <v>50</v>
      </c>
      <c r="C116" s="13" t="s">
        <v>388</v>
      </c>
      <c r="E116" s="200" t="s">
        <v>377</v>
      </c>
      <c r="F116" s="197"/>
      <c r="G116" s="199" t="s">
        <v>438</v>
      </c>
    </row>
    <row r="117" spans="1:19" x14ac:dyDescent="0.25">
      <c r="A117" s="11" t="s">
        <v>504</v>
      </c>
      <c r="B117" s="12">
        <v>50</v>
      </c>
      <c r="C117" s="13" t="s">
        <v>1005</v>
      </c>
      <c r="E117" s="200" t="s">
        <v>695</v>
      </c>
      <c r="F117" s="197"/>
      <c r="G117" s="199" t="s">
        <v>439</v>
      </c>
    </row>
    <row r="118" spans="1:19" x14ac:dyDescent="0.25">
      <c r="A118" s="11" t="s">
        <v>505</v>
      </c>
      <c r="B118" s="12">
        <v>50</v>
      </c>
      <c r="C118" s="13" t="s">
        <v>374</v>
      </c>
      <c r="E118" s="200" t="s">
        <v>378</v>
      </c>
      <c r="F118" s="197"/>
      <c r="G118" s="199" t="s">
        <v>440</v>
      </c>
    </row>
    <row r="119" spans="1:19" x14ac:dyDescent="0.25">
      <c r="A119" s="11" t="s">
        <v>506</v>
      </c>
      <c r="B119" s="12">
        <v>50</v>
      </c>
      <c r="C119" s="13" t="s">
        <v>252</v>
      </c>
      <c r="E119" s="200" t="s">
        <v>379</v>
      </c>
      <c r="F119" s="197"/>
      <c r="G119" s="199" t="s">
        <v>441</v>
      </c>
    </row>
    <row r="120" spans="1:19" x14ac:dyDescent="0.25">
      <c r="A120" s="11" t="s">
        <v>507</v>
      </c>
      <c r="B120" s="12">
        <v>50</v>
      </c>
      <c r="C120" s="13" t="s">
        <v>244</v>
      </c>
      <c r="E120" s="200" t="s">
        <v>380</v>
      </c>
      <c r="F120" s="197"/>
      <c r="G120" s="199" t="s">
        <v>442</v>
      </c>
    </row>
    <row r="121" spans="1:19" x14ac:dyDescent="0.25">
      <c r="A121" s="11" t="s">
        <v>279</v>
      </c>
      <c r="B121" s="12">
        <v>60</v>
      </c>
      <c r="C121" s="13" t="s">
        <v>193</v>
      </c>
      <c r="E121" s="200" t="s">
        <v>381</v>
      </c>
      <c r="F121" s="197"/>
      <c r="G121" s="199" t="s">
        <v>228</v>
      </c>
    </row>
    <row r="122" spans="1:19" x14ac:dyDescent="0.25">
      <c r="A122" s="11" t="s">
        <v>280</v>
      </c>
      <c r="B122" s="12">
        <v>70</v>
      </c>
      <c r="C122" s="13" t="s">
        <v>238</v>
      </c>
      <c r="E122" s="200" t="s">
        <v>985</v>
      </c>
      <c r="F122" s="197"/>
      <c r="G122" s="199" t="s">
        <v>443</v>
      </c>
    </row>
    <row r="123" spans="1:19" x14ac:dyDescent="0.25">
      <c r="A123" s="11" t="s">
        <v>281</v>
      </c>
      <c r="B123" s="12">
        <v>70</v>
      </c>
      <c r="C123" s="13" t="s">
        <v>258</v>
      </c>
      <c r="E123" s="200" t="s">
        <v>382</v>
      </c>
      <c r="F123" s="197"/>
      <c r="G123" s="199" t="s">
        <v>444</v>
      </c>
    </row>
    <row r="124" spans="1:19" x14ac:dyDescent="0.25">
      <c r="A124" s="11" t="s">
        <v>508</v>
      </c>
      <c r="B124" s="12">
        <v>70</v>
      </c>
      <c r="C124" s="13" t="s">
        <v>193</v>
      </c>
      <c r="E124" s="200" t="s">
        <v>697</v>
      </c>
      <c r="F124" s="197"/>
      <c r="G124" s="199" t="s">
        <v>445</v>
      </c>
    </row>
    <row r="125" spans="1:19" x14ac:dyDescent="0.25">
      <c r="A125" s="11" t="s">
        <v>282</v>
      </c>
      <c r="B125" s="12">
        <v>80</v>
      </c>
      <c r="C125" s="13" t="s">
        <v>215</v>
      </c>
      <c r="E125" s="200" t="s">
        <v>383</v>
      </c>
      <c r="F125" s="197"/>
      <c r="G125" s="199" t="s">
        <v>519</v>
      </c>
      <c r="M125" s="14"/>
      <c r="N125" s="14"/>
    </row>
    <row r="126" spans="1:19" x14ac:dyDescent="0.25">
      <c r="A126" s="11" t="s">
        <v>283</v>
      </c>
      <c r="B126" s="12">
        <v>90</v>
      </c>
      <c r="C126" s="13" t="s">
        <v>284</v>
      </c>
      <c r="D126" s="14"/>
      <c r="E126" s="200" t="s">
        <v>384</v>
      </c>
      <c r="F126" s="198"/>
      <c r="G126" s="199" t="s">
        <v>446</v>
      </c>
      <c r="H126" s="14"/>
      <c r="I126" s="14"/>
      <c r="K126" s="14"/>
      <c r="L126" s="14"/>
      <c r="M126" s="14"/>
      <c r="N126" s="14"/>
      <c r="O126" s="14"/>
      <c r="P126" s="14"/>
      <c r="Q126" s="15"/>
      <c r="R126" s="14"/>
      <c r="S126" s="14"/>
    </row>
    <row r="127" spans="1:19" x14ac:dyDescent="0.25">
      <c r="A127" s="11" t="s">
        <v>285</v>
      </c>
      <c r="B127" s="12">
        <v>90</v>
      </c>
      <c r="C127" s="13" t="s">
        <v>778</v>
      </c>
      <c r="D127" s="14"/>
      <c r="E127" s="200" t="s">
        <v>385</v>
      </c>
      <c r="F127" s="198"/>
      <c r="G127" s="199" t="s">
        <v>447</v>
      </c>
      <c r="H127" s="14"/>
      <c r="I127" s="14"/>
      <c r="K127" s="14"/>
      <c r="L127" s="14"/>
      <c r="M127" s="14"/>
      <c r="N127" s="14"/>
      <c r="O127" s="14"/>
      <c r="P127" s="14"/>
      <c r="Q127" s="14"/>
      <c r="R127" s="14"/>
      <c r="S127" s="14"/>
    </row>
    <row r="128" spans="1:19" x14ac:dyDescent="0.25">
      <c r="A128" s="11" t="s">
        <v>286</v>
      </c>
      <c r="B128" s="12">
        <v>100</v>
      </c>
      <c r="C128" s="13" t="s">
        <v>287</v>
      </c>
      <c r="D128" s="14"/>
      <c r="E128" s="200" t="s">
        <v>386</v>
      </c>
      <c r="F128" s="198"/>
      <c r="G128" s="199" t="s">
        <v>448</v>
      </c>
      <c r="H128" s="14"/>
      <c r="I128" s="14"/>
      <c r="K128" s="14"/>
      <c r="L128" s="14"/>
      <c r="M128" s="16"/>
      <c r="N128" s="14"/>
      <c r="O128" s="14"/>
      <c r="P128" s="14"/>
      <c r="Q128" s="14"/>
      <c r="R128" s="14"/>
      <c r="S128" s="14"/>
    </row>
    <row r="129" spans="1:19" x14ac:dyDescent="0.25">
      <c r="A129" s="11" t="s">
        <v>288</v>
      </c>
      <c r="B129" s="12">
        <v>100</v>
      </c>
      <c r="C129" s="13" t="s">
        <v>262</v>
      </c>
      <c r="D129" s="14"/>
      <c r="E129" s="200" t="s">
        <v>699</v>
      </c>
      <c r="F129" s="198"/>
      <c r="G129" s="197"/>
      <c r="H129" s="14"/>
      <c r="I129" s="14"/>
      <c r="K129" s="14"/>
      <c r="L129" s="14"/>
      <c r="M129" s="16"/>
      <c r="N129" s="14"/>
      <c r="O129" s="14"/>
      <c r="P129" s="14"/>
      <c r="Q129" s="14"/>
      <c r="R129" s="14"/>
      <c r="S129" s="14"/>
    </row>
    <row r="130" spans="1:19" x14ac:dyDescent="0.25">
      <c r="A130" s="11" t="s">
        <v>509</v>
      </c>
      <c r="B130" s="12">
        <v>100</v>
      </c>
      <c r="C130" s="13" t="s">
        <v>510</v>
      </c>
      <c r="D130" s="14"/>
      <c r="E130" s="200" t="s">
        <v>750</v>
      </c>
      <c r="F130" s="198"/>
      <c r="G130" s="197"/>
      <c r="H130" s="14"/>
      <c r="I130" s="14"/>
      <c r="J130" s="15"/>
      <c r="K130" s="14"/>
      <c r="L130" s="14"/>
      <c r="M130" s="16"/>
      <c r="N130" s="14"/>
      <c r="O130" s="14"/>
      <c r="P130" s="14"/>
      <c r="Q130" s="14"/>
      <c r="R130" s="14"/>
      <c r="S130" s="14"/>
    </row>
    <row r="131" spans="1:19" x14ac:dyDescent="0.25">
      <c r="A131" s="11" t="s">
        <v>1006</v>
      </c>
      <c r="B131" s="12">
        <v>150</v>
      </c>
      <c r="C131" s="13" t="s">
        <v>1043</v>
      </c>
      <c r="D131" s="14"/>
      <c r="E131" s="198" t="s">
        <v>992</v>
      </c>
      <c r="F131" s="198"/>
      <c r="G131" s="197"/>
      <c r="H131" s="14"/>
      <c r="I131" s="14"/>
      <c r="J131" s="14"/>
      <c r="K131" s="14"/>
      <c r="L131" s="14"/>
      <c r="M131" s="16"/>
      <c r="N131" s="14"/>
      <c r="O131" s="14"/>
      <c r="P131" s="14"/>
      <c r="Q131" s="14"/>
      <c r="R131" s="14"/>
      <c r="S131" s="14"/>
    </row>
    <row r="132" spans="1:19" x14ac:dyDescent="0.25">
      <c r="A132" s="11" t="s">
        <v>1007</v>
      </c>
      <c r="B132" s="12">
        <v>150</v>
      </c>
      <c r="C132" s="13" t="s">
        <v>244</v>
      </c>
      <c r="D132" s="14"/>
      <c r="E132" s="200" t="s">
        <v>688</v>
      </c>
      <c r="F132" s="198"/>
      <c r="G132" s="197"/>
      <c r="H132" s="14"/>
      <c r="I132" s="14"/>
      <c r="J132" s="14"/>
      <c r="K132" s="14"/>
      <c r="L132" s="14"/>
      <c r="M132" s="16"/>
      <c r="N132" s="14"/>
      <c r="O132" s="14"/>
      <c r="P132" s="14"/>
      <c r="Q132" s="14"/>
      <c r="R132" s="14"/>
      <c r="S132" s="14"/>
    </row>
    <row r="133" spans="1:19" x14ac:dyDescent="0.25">
      <c r="A133" s="11" t="s">
        <v>289</v>
      </c>
      <c r="B133" s="12">
        <v>150</v>
      </c>
      <c r="C133" s="13" t="s">
        <v>290</v>
      </c>
      <c r="D133" s="14"/>
      <c r="E133" s="198" t="s">
        <v>957</v>
      </c>
      <c r="F133" s="198"/>
      <c r="G133" s="197"/>
      <c r="H133" s="14"/>
      <c r="I133" s="14"/>
      <c r="J133" s="14"/>
      <c r="K133" s="14"/>
      <c r="L133" s="14"/>
      <c r="M133" s="14"/>
      <c r="N133" s="14"/>
      <c r="O133" s="14"/>
      <c r="P133" s="14"/>
      <c r="Q133" s="14"/>
      <c r="R133" s="14"/>
      <c r="S133" s="14"/>
    </row>
    <row r="134" spans="1:19" x14ac:dyDescent="0.25">
      <c r="A134" s="11" t="s">
        <v>1008</v>
      </c>
      <c r="B134" s="12">
        <v>200</v>
      </c>
      <c r="C134" s="13" t="s">
        <v>258</v>
      </c>
      <c r="D134" s="14"/>
      <c r="E134" s="198" t="s">
        <v>949</v>
      </c>
      <c r="F134" s="198"/>
      <c r="G134" s="197"/>
      <c r="H134" s="14"/>
      <c r="I134" s="14"/>
      <c r="J134" s="14"/>
      <c r="K134" s="14"/>
      <c r="L134" s="14"/>
      <c r="M134" s="16"/>
      <c r="N134" s="14"/>
      <c r="O134" s="14"/>
      <c r="P134" s="14"/>
      <c r="Q134" s="14"/>
      <c r="R134" s="14"/>
      <c r="S134" s="14"/>
    </row>
    <row r="135" spans="1:19" x14ac:dyDescent="0.25">
      <c r="A135" s="11" t="s">
        <v>291</v>
      </c>
      <c r="B135" s="12">
        <v>200</v>
      </c>
      <c r="C135" s="13" t="s">
        <v>292</v>
      </c>
      <c r="D135" s="14"/>
      <c r="E135" s="198" t="s">
        <v>956</v>
      </c>
      <c r="F135" s="198"/>
      <c r="G135" s="199"/>
      <c r="H135" s="14"/>
      <c r="I135" s="14"/>
      <c r="J135" s="14"/>
      <c r="K135" s="14"/>
      <c r="L135" s="14"/>
      <c r="M135" s="14"/>
      <c r="N135" s="14"/>
      <c r="O135" s="14"/>
      <c r="P135" s="14"/>
      <c r="Q135" s="14"/>
      <c r="R135" s="14"/>
      <c r="S135" s="14"/>
    </row>
    <row r="136" spans="1:19" x14ac:dyDescent="0.25">
      <c r="A136" s="11" t="s">
        <v>1009</v>
      </c>
      <c r="B136" s="12">
        <v>250</v>
      </c>
      <c r="C136" s="13" t="s">
        <v>1010</v>
      </c>
      <c r="D136" s="14"/>
      <c r="E136" s="200" t="s">
        <v>520</v>
      </c>
      <c r="F136" s="198"/>
      <c r="G136" s="199"/>
      <c r="H136" s="14"/>
      <c r="I136" s="14"/>
      <c r="J136" s="14"/>
      <c r="K136" s="14"/>
      <c r="L136" s="14"/>
      <c r="M136" s="16"/>
      <c r="N136" s="14"/>
      <c r="O136" s="14"/>
      <c r="P136" s="14"/>
      <c r="Q136" s="14"/>
      <c r="R136" s="14"/>
      <c r="S136" s="14"/>
    </row>
    <row r="137" spans="1:19" x14ac:dyDescent="0.25">
      <c r="A137" s="11" t="s">
        <v>498</v>
      </c>
      <c r="B137" s="12">
        <v>300</v>
      </c>
      <c r="C137" s="13" t="s">
        <v>525</v>
      </c>
      <c r="D137" s="14"/>
      <c r="E137" s="198" t="s">
        <v>948</v>
      </c>
      <c r="F137" s="198"/>
      <c r="G137" s="199"/>
      <c r="H137" s="14"/>
      <c r="I137" s="14"/>
      <c r="J137" s="14"/>
      <c r="K137" s="14"/>
      <c r="L137" s="14"/>
      <c r="M137" s="14"/>
      <c r="N137" s="14"/>
      <c r="O137" s="14"/>
      <c r="P137" s="14"/>
      <c r="Q137" s="14"/>
      <c r="R137" s="14"/>
      <c r="S137" s="14"/>
    </row>
    <row r="138" spans="1:19" x14ac:dyDescent="0.25">
      <c r="A138" s="11" t="s">
        <v>499</v>
      </c>
      <c r="B138" s="12">
        <v>300</v>
      </c>
      <c r="C138" s="13" t="s">
        <v>500</v>
      </c>
      <c r="D138" s="14"/>
      <c r="E138" s="201" t="s">
        <v>488</v>
      </c>
      <c r="F138" s="198"/>
      <c r="G138" s="199"/>
      <c r="H138" s="14"/>
      <c r="I138" s="14"/>
      <c r="J138" s="14"/>
      <c r="K138" s="14"/>
      <c r="L138" s="14"/>
      <c r="M138" s="16"/>
      <c r="N138" s="14"/>
      <c r="O138" s="14"/>
      <c r="P138" s="14"/>
      <c r="Q138" s="14"/>
      <c r="R138" s="14"/>
      <c r="S138" s="14"/>
    </row>
    <row r="139" spans="1:19" x14ac:dyDescent="0.25">
      <c r="D139" s="14"/>
      <c r="E139" s="201" t="s">
        <v>387</v>
      </c>
      <c r="F139" s="198"/>
      <c r="G139" s="199"/>
      <c r="H139" s="14"/>
      <c r="I139" s="14"/>
      <c r="J139" s="14"/>
      <c r="K139" s="14"/>
      <c r="L139" s="14"/>
      <c r="M139" s="16"/>
      <c r="N139" s="14"/>
      <c r="O139" s="14"/>
      <c r="P139" s="14"/>
      <c r="Q139" s="14"/>
      <c r="R139" s="14"/>
      <c r="S139" s="14"/>
    </row>
    <row r="140" spans="1:19" x14ac:dyDescent="0.25">
      <c r="D140" s="14"/>
      <c r="E140" s="201" t="s">
        <v>95</v>
      </c>
      <c r="F140" s="198"/>
      <c r="G140" s="199"/>
      <c r="H140" s="14"/>
      <c r="I140" s="14"/>
      <c r="J140" s="14"/>
      <c r="K140" s="14"/>
      <c r="L140" s="14"/>
      <c r="M140" s="14"/>
      <c r="N140" s="14"/>
      <c r="O140" s="14"/>
      <c r="P140" s="14"/>
      <c r="Q140" s="14"/>
      <c r="R140" s="14"/>
      <c r="S140" s="14"/>
    </row>
    <row r="141" spans="1:19" x14ac:dyDescent="0.25">
      <c r="D141" s="14"/>
      <c r="E141" s="200" t="s">
        <v>1079</v>
      </c>
      <c r="F141" s="198"/>
      <c r="G141" s="199"/>
      <c r="H141" s="14"/>
      <c r="I141" s="14"/>
      <c r="J141" s="14"/>
      <c r="K141" s="14"/>
      <c r="L141" s="14"/>
      <c r="M141" s="16"/>
      <c r="N141" s="14"/>
      <c r="O141" s="14"/>
      <c r="P141" s="14"/>
      <c r="Q141" s="14"/>
      <c r="R141" s="14"/>
      <c r="S141" s="14"/>
    </row>
    <row r="142" spans="1:19" x14ac:dyDescent="0.25">
      <c r="D142" s="14"/>
      <c r="E142" s="201" t="s">
        <v>388</v>
      </c>
      <c r="F142" s="198"/>
      <c r="G142" s="199"/>
      <c r="H142" s="14"/>
      <c r="I142" s="14"/>
      <c r="J142" s="14"/>
      <c r="K142" s="14"/>
      <c r="L142" s="14"/>
      <c r="M142" s="16"/>
      <c r="N142" s="14"/>
      <c r="O142" s="14"/>
      <c r="P142" s="14"/>
      <c r="Q142" s="14"/>
      <c r="R142" s="14"/>
      <c r="S142" s="14"/>
    </row>
    <row r="143" spans="1:19" x14ac:dyDescent="0.25">
      <c r="D143" s="14"/>
      <c r="E143" s="201" t="s">
        <v>389</v>
      </c>
      <c r="F143" s="198"/>
      <c r="G143" s="199"/>
      <c r="H143" s="14"/>
      <c r="I143" s="14"/>
      <c r="J143" s="14"/>
      <c r="K143" s="14"/>
      <c r="L143" s="14"/>
      <c r="M143" s="16"/>
      <c r="N143" s="14"/>
      <c r="O143" s="14"/>
      <c r="P143" s="14"/>
      <c r="Q143" s="14"/>
      <c r="R143" s="14"/>
      <c r="S143" s="14"/>
    </row>
    <row r="144" spans="1:19" x14ac:dyDescent="0.25">
      <c r="D144" s="14"/>
      <c r="E144" s="201" t="s">
        <v>390</v>
      </c>
      <c r="F144" s="198"/>
      <c r="G144" s="199"/>
      <c r="H144" s="14"/>
      <c r="I144" s="14"/>
      <c r="J144" s="14"/>
      <c r="K144" s="14"/>
      <c r="L144" s="14"/>
      <c r="M144" s="14"/>
      <c r="N144" s="14"/>
      <c r="O144" s="14"/>
      <c r="P144" s="14"/>
      <c r="Q144" s="14"/>
      <c r="R144" s="14"/>
      <c r="S144" s="14"/>
    </row>
    <row r="145" spans="1:19" x14ac:dyDescent="0.25">
      <c r="D145" s="14"/>
      <c r="E145" s="198" t="s">
        <v>988</v>
      </c>
      <c r="F145" s="198"/>
      <c r="G145" s="199"/>
      <c r="H145" s="14"/>
      <c r="I145" s="14"/>
      <c r="J145" s="14"/>
      <c r="K145" s="14"/>
      <c r="L145" s="14"/>
      <c r="M145" s="14"/>
      <c r="N145" s="14"/>
      <c r="O145" s="14"/>
      <c r="P145" s="14"/>
      <c r="Q145" s="14"/>
      <c r="R145" s="14"/>
      <c r="S145" s="14"/>
    </row>
    <row r="146" spans="1:19" x14ac:dyDescent="0.25">
      <c r="D146" s="14"/>
      <c r="E146" s="201" t="s">
        <v>489</v>
      </c>
      <c r="F146" s="198"/>
      <c r="G146" s="199"/>
      <c r="H146" s="14"/>
      <c r="I146" s="14"/>
      <c r="J146" s="14"/>
      <c r="K146" s="14"/>
      <c r="L146" s="14"/>
      <c r="M146" s="16"/>
      <c r="N146" s="14"/>
      <c r="O146" s="14"/>
      <c r="P146" s="14"/>
      <c r="Q146" s="14"/>
      <c r="R146" s="14"/>
      <c r="S146" s="14"/>
    </row>
    <row r="147" spans="1:19" x14ac:dyDescent="0.25">
      <c r="D147" s="14"/>
      <c r="E147" s="201" t="s">
        <v>391</v>
      </c>
      <c r="F147" s="198"/>
      <c r="G147" s="199"/>
      <c r="H147" s="14"/>
      <c r="I147" s="14"/>
      <c r="J147" s="14"/>
      <c r="K147" s="14"/>
      <c r="L147" s="14"/>
      <c r="M147" s="16"/>
      <c r="N147" s="14"/>
      <c r="O147" s="14"/>
      <c r="P147" s="14"/>
      <c r="Q147" s="14"/>
      <c r="R147" s="14"/>
      <c r="S147" s="14"/>
    </row>
    <row r="148" spans="1:19" x14ac:dyDescent="0.25">
      <c r="D148" s="14"/>
      <c r="E148" s="201" t="s">
        <v>693</v>
      </c>
      <c r="F148" s="14"/>
      <c r="G148" s="22"/>
      <c r="H148" s="14"/>
      <c r="I148" s="14"/>
      <c r="J148" s="14"/>
      <c r="K148" s="14"/>
      <c r="L148" s="14"/>
      <c r="M148" s="16"/>
      <c r="N148" s="14"/>
      <c r="O148" s="14"/>
      <c r="P148" s="14"/>
      <c r="Q148" s="14"/>
      <c r="R148" s="14"/>
      <c r="S148" s="14"/>
    </row>
    <row r="149" spans="1:19" x14ac:dyDescent="0.25">
      <c r="D149" s="14"/>
      <c r="E149" s="200" t="s">
        <v>392</v>
      </c>
      <c r="F149" s="14"/>
      <c r="G149" s="22"/>
      <c r="H149" s="14"/>
      <c r="I149" s="14"/>
      <c r="J149" s="14"/>
      <c r="K149" s="14"/>
      <c r="L149" s="14"/>
      <c r="M149" s="14"/>
      <c r="N149" s="14"/>
      <c r="O149" s="14"/>
      <c r="P149" s="14"/>
      <c r="Q149" s="14"/>
      <c r="R149" s="14"/>
      <c r="S149" s="14"/>
    </row>
    <row r="150" spans="1:19" x14ac:dyDescent="0.25">
      <c r="D150" s="14"/>
      <c r="E150" s="201" t="s">
        <v>683</v>
      </c>
      <c r="F150" s="14"/>
      <c r="G150" s="22"/>
      <c r="H150" s="14"/>
      <c r="I150" s="14"/>
      <c r="J150" s="14"/>
      <c r="K150" s="14"/>
      <c r="L150" s="14"/>
      <c r="M150" s="14"/>
      <c r="N150" s="14"/>
      <c r="O150" s="14"/>
      <c r="P150" s="14"/>
      <c r="Q150" s="14"/>
      <c r="R150" s="14"/>
      <c r="S150" s="14"/>
    </row>
    <row r="151" spans="1:19" x14ac:dyDescent="0.25">
      <c r="D151" s="14"/>
      <c r="E151" s="14"/>
      <c r="F151" s="14"/>
      <c r="G151" s="22"/>
      <c r="H151" s="14"/>
      <c r="I151" s="14"/>
      <c r="J151" s="14"/>
      <c r="K151" s="14"/>
      <c r="L151" s="14"/>
      <c r="M151" s="16"/>
      <c r="N151" s="14"/>
      <c r="O151" s="14"/>
      <c r="P151" s="14"/>
      <c r="Q151" s="14"/>
      <c r="R151" s="14"/>
      <c r="S151" s="14"/>
    </row>
    <row r="152" spans="1:19" x14ac:dyDescent="0.25">
      <c r="D152" s="14"/>
      <c r="E152" s="14"/>
      <c r="F152" s="14"/>
      <c r="G152" s="22"/>
      <c r="H152" s="14"/>
      <c r="I152" s="14"/>
      <c r="J152" s="14"/>
      <c r="K152" s="14"/>
      <c r="L152" s="14"/>
      <c r="M152" s="16"/>
      <c r="N152" s="14"/>
      <c r="O152" s="14"/>
      <c r="P152" s="14"/>
      <c r="Q152" s="14"/>
      <c r="R152" s="14"/>
      <c r="S152" s="14"/>
    </row>
    <row r="153" spans="1:19" x14ac:dyDescent="0.25">
      <c r="A153" s="21"/>
      <c r="B153" s="21"/>
      <c r="C153" s="21"/>
      <c r="D153" s="14"/>
      <c r="E153" s="14"/>
      <c r="F153" s="14"/>
      <c r="G153" s="22"/>
      <c r="H153" s="14"/>
      <c r="I153" s="14"/>
      <c r="J153" s="14"/>
      <c r="K153" s="14"/>
      <c r="L153" s="14"/>
      <c r="M153" s="14"/>
      <c r="N153" s="14"/>
      <c r="O153" s="14"/>
      <c r="P153" s="14"/>
      <c r="Q153" s="14"/>
      <c r="R153" s="14"/>
      <c r="S153" s="14"/>
    </row>
    <row r="154" spans="1:19" x14ac:dyDescent="0.25">
      <c r="A154" s="11"/>
      <c r="B154" s="11"/>
      <c r="C154" s="11"/>
      <c r="D154" s="14" t="s">
        <v>772</v>
      </c>
      <c r="F154" s="14"/>
      <c r="G154" s="22"/>
      <c r="H154" s="14"/>
      <c r="I154" s="14"/>
      <c r="J154" s="14"/>
      <c r="K154" s="14"/>
      <c r="L154" s="14"/>
      <c r="M154" s="14"/>
      <c r="N154" s="14"/>
      <c r="O154" s="14"/>
      <c r="P154" s="14"/>
      <c r="Q154" s="14"/>
      <c r="R154" s="14"/>
      <c r="S154" s="14"/>
    </row>
    <row r="155" spans="1:19" x14ac:dyDescent="0.25">
      <c r="A155" s="11" t="s">
        <v>572</v>
      </c>
      <c r="B155" s="11"/>
      <c r="C155" s="11"/>
      <c r="D155" s="16" t="s">
        <v>765</v>
      </c>
      <c r="F155" s="14"/>
      <c r="G155" s="22"/>
      <c r="H155" s="14"/>
      <c r="I155" s="14"/>
      <c r="J155" s="14"/>
      <c r="K155" s="14"/>
      <c r="L155" s="14"/>
      <c r="M155" s="16"/>
      <c r="N155" s="14"/>
      <c r="O155" s="14"/>
      <c r="P155" s="14"/>
      <c r="Q155" s="14"/>
      <c r="R155" s="14"/>
      <c r="S155" s="14"/>
    </row>
    <row r="156" spans="1:19" x14ac:dyDescent="0.25">
      <c r="A156" s="24" t="s">
        <v>570</v>
      </c>
      <c r="B156" s="14"/>
      <c r="C156" s="14"/>
      <c r="D156" s="16" t="s">
        <v>784</v>
      </c>
      <c r="F156" s="14"/>
      <c r="G156" s="22"/>
      <c r="H156" s="14"/>
      <c r="I156" s="14"/>
      <c r="J156" s="14"/>
      <c r="K156" s="14"/>
      <c r="L156" s="14"/>
      <c r="M156" s="14"/>
      <c r="N156" s="14"/>
      <c r="O156" s="14"/>
      <c r="P156" s="14"/>
      <c r="Q156" s="14"/>
      <c r="R156" s="14"/>
      <c r="S156" s="14"/>
    </row>
    <row r="157" spans="1:19" x14ac:dyDescent="0.25">
      <c r="A157" s="24" t="s">
        <v>569</v>
      </c>
      <c r="B157" s="14"/>
      <c r="C157" s="14"/>
      <c r="D157" s="14" t="s">
        <v>766</v>
      </c>
      <c r="F157" s="14"/>
      <c r="G157" s="22"/>
      <c r="H157" s="14"/>
      <c r="I157" s="14"/>
      <c r="J157" s="14"/>
      <c r="K157" s="14"/>
      <c r="L157" s="14"/>
      <c r="M157" s="14"/>
      <c r="N157" s="14"/>
      <c r="O157" s="14"/>
      <c r="P157" s="14"/>
      <c r="Q157" s="14"/>
      <c r="R157" s="14"/>
      <c r="S157" s="14"/>
    </row>
    <row r="158" spans="1:19" x14ac:dyDescent="0.25">
      <c r="A158" s="24" t="s">
        <v>571</v>
      </c>
      <c r="B158" s="14"/>
      <c r="C158" s="14"/>
      <c r="D158" s="14" t="s">
        <v>767</v>
      </c>
      <c r="F158" s="14"/>
      <c r="G158" s="22"/>
      <c r="H158" s="14"/>
      <c r="I158" s="14"/>
      <c r="J158" s="14"/>
      <c r="K158" s="14"/>
      <c r="L158" s="14"/>
      <c r="M158" s="14"/>
      <c r="N158" s="14"/>
      <c r="O158" s="14"/>
      <c r="P158" s="14"/>
      <c r="Q158" s="14"/>
      <c r="R158" s="14"/>
      <c r="S158" s="14"/>
    </row>
    <row r="159" spans="1:19" x14ac:dyDescent="0.25">
      <c r="A159" s="14"/>
      <c r="B159" s="14"/>
      <c r="C159" s="14"/>
      <c r="D159" s="14" t="s">
        <v>768</v>
      </c>
      <c r="F159" s="14"/>
      <c r="G159" s="22"/>
      <c r="H159" s="14"/>
      <c r="I159" s="14"/>
      <c r="J159" s="14"/>
      <c r="K159" s="14"/>
      <c r="L159" s="14"/>
      <c r="M159" s="14"/>
      <c r="N159" s="14"/>
      <c r="O159" s="14"/>
      <c r="P159" s="14"/>
      <c r="Q159" s="14"/>
      <c r="R159" s="14"/>
      <c r="S159" s="14"/>
    </row>
    <row r="160" spans="1:19" x14ac:dyDescent="0.25">
      <c r="A160" s="14"/>
      <c r="B160" s="14"/>
      <c r="C160" s="14"/>
      <c r="D160" s="14" t="s">
        <v>769</v>
      </c>
      <c r="F160" s="14"/>
      <c r="G160" s="22"/>
      <c r="H160" s="14"/>
      <c r="I160" s="14"/>
      <c r="J160" s="14"/>
      <c r="K160" s="14"/>
      <c r="L160" s="14"/>
      <c r="M160" s="14"/>
      <c r="N160" s="14"/>
      <c r="O160" s="14"/>
      <c r="P160" s="14"/>
      <c r="Q160" s="14"/>
      <c r="R160" s="14"/>
      <c r="S160" s="14"/>
    </row>
    <row r="161" spans="1:19" x14ac:dyDescent="0.2">
      <c r="A161" s="8" t="s">
        <v>82</v>
      </c>
      <c r="B161" s="50">
        <v>0</v>
      </c>
      <c r="C161" s="14"/>
      <c r="D161" s="14" t="s">
        <v>770</v>
      </c>
      <c r="F161" s="14"/>
      <c r="G161" s="22"/>
      <c r="H161" s="14"/>
      <c r="I161" s="14"/>
      <c r="J161" s="14"/>
      <c r="K161" s="14"/>
      <c r="L161" s="14"/>
      <c r="M161" s="14"/>
      <c r="N161" s="14"/>
      <c r="O161" s="14"/>
      <c r="P161" s="14"/>
      <c r="Q161" s="14"/>
      <c r="R161" s="14"/>
      <c r="S161" s="14"/>
    </row>
    <row r="162" spans="1:19" x14ac:dyDescent="0.2">
      <c r="A162" s="8" t="s">
        <v>83</v>
      </c>
      <c r="B162" s="50">
        <v>0</v>
      </c>
      <c r="C162" s="14"/>
      <c r="D162" s="14" t="s">
        <v>771</v>
      </c>
      <c r="F162" s="14"/>
      <c r="G162" s="22"/>
      <c r="H162" s="14"/>
      <c r="I162" s="14"/>
      <c r="J162" s="14"/>
      <c r="K162" s="14"/>
      <c r="L162" s="14"/>
      <c r="M162" s="14"/>
      <c r="N162" s="14"/>
      <c r="O162" s="14"/>
      <c r="P162" s="14"/>
      <c r="Q162" s="14"/>
      <c r="R162" s="14"/>
      <c r="S162" s="14"/>
    </row>
    <row r="163" spans="1:19" x14ac:dyDescent="0.2">
      <c r="A163" s="8" t="s">
        <v>84</v>
      </c>
      <c r="B163" s="50">
        <v>0</v>
      </c>
      <c r="C163" s="14"/>
      <c r="D163" s="14"/>
      <c r="E163" s="14"/>
      <c r="F163" s="14"/>
      <c r="G163" s="22"/>
      <c r="H163" s="14"/>
      <c r="I163" s="14"/>
      <c r="J163" s="14"/>
      <c r="K163" s="14"/>
      <c r="L163" s="14"/>
      <c r="M163" s="14"/>
      <c r="N163" s="14"/>
      <c r="O163" s="14"/>
      <c r="P163" s="14"/>
      <c r="Q163" s="14"/>
      <c r="R163" s="14"/>
      <c r="S163" s="14"/>
    </row>
    <row r="164" spans="1:19" x14ac:dyDescent="0.2">
      <c r="A164" s="8" t="s">
        <v>85</v>
      </c>
      <c r="B164" s="50">
        <v>0</v>
      </c>
      <c r="C164" s="14"/>
      <c r="D164" s="14"/>
      <c r="E164" s="16"/>
      <c r="F164" s="14"/>
      <c r="G164" s="22"/>
      <c r="H164" s="14"/>
      <c r="I164" s="14"/>
      <c r="J164" s="14"/>
      <c r="K164" s="14"/>
      <c r="L164" s="14"/>
      <c r="M164" s="16"/>
      <c r="N164" s="14"/>
      <c r="O164" s="14"/>
      <c r="P164" s="14"/>
      <c r="Q164" s="14"/>
      <c r="R164" s="14"/>
      <c r="S164" s="14"/>
    </row>
    <row r="165" spans="1:19" x14ac:dyDescent="0.2">
      <c r="A165" s="8" t="s">
        <v>86</v>
      </c>
      <c r="B165" s="50">
        <v>0</v>
      </c>
      <c r="C165" s="14"/>
      <c r="D165" s="14"/>
      <c r="E165" s="14"/>
      <c r="F165" s="14"/>
      <c r="G165" s="22"/>
      <c r="H165" s="14"/>
      <c r="I165" s="14"/>
      <c r="J165" s="14"/>
      <c r="K165" s="14"/>
      <c r="L165" s="14"/>
      <c r="M165" s="14"/>
      <c r="N165" s="14"/>
      <c r="O165" s="14"/>
      <c r="P165" s="14"/>
      <c r="Q165" s="14"/>
      <c r="R165" s="14"/>
      <c r="S165" s="14"/>
    </row>
    <row r="166" spans="1:19" x14ac:dyDescent="0.2">
      <c r="A166" s="8" t="s">
        <v>87</v>
      </c>
      <c r="B166" s="50">
        <v>0</v>
      </c>
      <c r="C166" s="14"/>
      <c r="D166" s="14"/>
      <c r="E166" s="14"/>
      <c r="F166" s="14"/>
      <c r="G166" s="22"/>
      <c r="H166" s="14"/>
      <c r="I166" s="14"/>
      <c r="J166" s="14"/>
      <c r="K166" s="14"/>
      <c r="L166" s="14"/>
      <c r="M166" s="14"/>
      <c r="N166" s="14"/>
      <c r="O166" s="14"/>
      <c r="P166" s="14"/>
      <c r="Q166" s="14"/>
      <c r="R166" s="14"/>
      <c r="S166" s="14"/>
    </row>
    <row r="167" spans="1:19" x14ac:dyDescent="0.2">
      <c r="A167" s="8" t="s">
        <v>88</v>
      </c>
      <c r="B167" s="50">
        <v>0</v>
      </c>
      <c r="C167" s="14"/>
      <c r="D167" s="14"/>
      <c r="E167" s="14"/>
      <c r="F167" s="14"/>
      <c r="G167" s="22"/>
      <c r="H167" s="14"/>
      <c r="I167" s="14"/>
      <c r="J167" s="14"/>
      <c r="K167" s="14"/>
      <c r="L167" s="14"/>
      <c r="M167" s="16"/>
      <c r="N167" s="14"/>
      <c r="O167" s="14"/>
      <c r="P167" s="14"/>
      <c r="Q167" s="14"/>
      <c r="R167" s="14"/>
      <c r="S167" s="14"/>
    </row>
    <row r="168" spans="1:19" x14ac:dyDescent="0.2">
      <c r="A168" s="8" t="s">
        <v>89</v>
      </c>
      <c r="B168" s="50">
        <v>0</v>
      </c>
      <c r="C168" s="14"/>
      <c r="D168" s="14"/>
      <c r="E168" s="14"/>
      <c r="F168" s="14"/>
      <c r="G168" s="22"/>
      <c r="H168" s="14"/>
      <c r="I168" s="14"/>
      <c r="J168" s="14"/>
      <c r="K168" s="14"/>
      <c r="L168" s="14"/>
      <c r="M168" s="14"/>
      <c r="N168" s="14"/>
      <c r="O168" s="14"/>
      <c r="P168" s="14"/>
      <c r="Q168" s="14"/>
      <c r="R168" s="14"/>
      <c r="S168" s="14"/>
    </row>
    <row r="169" spans="1:19" x14ac:dyDescent="0.2">
      <c r="A169" s="8" t="s">
        <v>90</v>
      </c>
      <c r="B169" s="50">
        <v>0</v>
      </c>
      <c r="C169" s="14"/>
      <c r="D169" s="14"/>
      <c r="E169" s="14"/>
      <c r="F169" s="14"/>
      <c r="G169" s="22"/>
      <c r="H169" s="14"/>
      <c r="I169" s="14"/>
      <c r="J169" s="14"/>
      <c r="K169" s="14"/>
      <c r="L169" s="14"/>
      <c r="M169" s="14"/>
      <c r="N169" s="14"/>
      <c r="O169" s="14"/>
      <c r="P169" s="14"/>
      <c r="Q169" s="14"/>
      <c r="R169" s="14"/>
      <c r="S169" s="14"/>
    </row>
    <row r="170" spans="1:19" x14ac:dyDescent="0.2">
      <c r="A170" s="8" t="s">
        <v>91</v>
      </c>
      <c r="B170" s="50">
        <v>0</v>
      </c>
      <c r="C170" s="14"/>
      <c r="D170" s="14"/>
      <c r="E170" s="14"/>
      <c r="F170" s="14"/>
      <c r="G170" s="22"/>
      <c r="H170" s="14"/>
      <c r="I170" s="14"/>
      <c r="J170" s="14"/>
      <c r="K170" s="14"/>
      <c r="L170" s="14"/>
      <c r="M170" s="14"/>
      <c r="N170" s="14"/>
      <c r="O170" s="14"/>
      <c r="P170" s="14"/>
      <c r="Q170" s="14"/>
      <c r="R170" s="14"/>
      <c r="S170" s="14"/>
    </row>
    <row r="171" spans="1:19" x14ac:dyDescent="0.2">
      <c r="A171" s="8" t="s">
        <v>92</v>
      </c>
      <c r="B171" s="50">
        <v>0</v>
      </c>
      <c r="C171" s="14"/>
      <c r="D171" s="14"/>
      <c r="E171" s="14"/>
      <c r="F171" s="14"/>
      <c r="G171" s="22"/>
      <c r="H171" s="14"/>
      <c r="I171" s="14"/>
      <c r="J171" s="14"/>
      <c r="K171" s="14"/>
      <c r="L171" s="14"/>
      <c r="M171" s="14"/>
      <c r="N171" s="14"/>
      <c r="O171" s="14"/>
      <c r="P171" s="14"/>
      <c r="Q171" s="14"/>
      <c r="R171" s="14"/>
      <c r="S171" s="14"/>
    </row>
    <row r="172" spans="1:19" x14ac:dyDescent="0.2">
      <c r="A172" s="8" t="s">
        <v>93</v>
      </c>
      <c r="B172" s="50">
        <v>0</v>
      </c>
      <c r="C172" s="14"/>
      <c r="D172" s="14"/>
      <c r="E172" s="14"/>
      <c r="F172" s="14"/>
      <c r="G172" s="22"/>
      <c r="H172" s="14"/>
      <c r="I172" s="14"/>
      <c r="J172" s="14"/>
      <c r="K172" s="14"/>
      <c r="L172" s="14"/>
      <c r="M172" s="14"/>
      <c r="N172" s="14"/>
      <c r="O172" s="14"/>
      <c r="P172" s="14"/>
      <c r="Q172" s="14"/>
      <c r="R172" s="14"/>
      <c r="S172" s="14"/>
    </row>
    <row r="173" spans="1:19" x14ac:dyDescent="0.2">
      <c r="A173" s="8" t="s">
        <v>94</v>
      </c>
      <c r="B173" s="50">
        <v>0</v>
      </c>
      <c r="C173" s="14"/>
      <c r="D173" s="14"/>
      <c r="E173" s="16"/>
      <c r="F173" s="14"/>
      <c r="G173" s="22"/>
      <c r="H173" s="14"/>
      <c r="I173" s="14"/>
      <c r="J173" s="14"/>
      <c r="K173" s="14"/>
      <c r="L173" s="14"/>
      <c r="M173" s="16"/>
      <c r="N173" s="14"/>
      <c r="O173" s="14"/>
      <c r="P173" s="14"/>
      <c r="Q173" s="14"/>
      <c r="R173" s="14"/>
      <c r="S173" s="14"/>
    </row>
    <row r="174" spans="1:19" x14ac:dyDescent="0.2">
      <c r="A174" s="8" t="s">
        <v>96</v>
      </c>
      <c r="B174" s="50">
        <v>0</v>
      </c>
      <c r="C174" s="14"/>
      <c r="D174" s="14"/>
      <c r="E174" s="14"/>
      <c r="F174" s="14"/>
      <c r="G174" s="22"/>
      <c r="H174" s="14"/>
      <c r="I174" s="14"/>
      <c r="J174" s="14"/>
      <c r="K174" s="14"/>
      <c r="L174" s="14"/>
      <c r="M174" s="14"/>
      <c r="N174" s="14"/>
      <c r="O174" s="14"/>
      <c r="P174" s="14"/>
      <c r="Q174" s="14"/>
      <c r="R174" s="14"/>
      <c r="S174" s="14"/>
    </row>
    <row r="175" spans="1:19" x14ac:dyDescent="0.2">
      <c r="A175" s="8" t="s">
        <v>95</v>
      </c>
      <c r="B175" s="50">
        <v>0</v>
      </c>
      <c r="C175" s="14"/>
      <c r="D175" s="14"/>
      <c r="E175" s="16"/>
      <c r="F175" s="14"/>
      <c r="G175" s="22"/>
      <c r="H175" s="14"/>
      <c r="I175" s="14"/>
      <c r="J175" s="14"/>
      <c r="K175" s="14"/>
      <c r="L175" s="14"/>
      <c r="M175" s="14"/>
      <c r="N175" s="14"/>
      <c r="O175" s="14"/>
      <c r="P175" s="14"/>
      <c r="Q175" s="14"/>
      <c r="R175" s="14"/>
      <c r="S175" s="14"/>
    </row>
    <row r="176" spans="1:19" x14ac:dyDescent="0.2">
      <c r="A176" s="8" t="s">
        <v>97</v>
      </c>
      <c r="B176" s="50">
        <v>0</v>
      </c>
      <c r="C176" s="14"/>
      <c r="D176" s="14"/>
      <c r="E176" s="14"/>
      <c r="F176" s="14"/>
      <c r="G176" s="22"/>
      <c r="H176" s="14"/>
      <c r="I176" s="14"/>
      <c r="J176" s="14"/>
      <c r="K176" s="14"/>
      <c r="L176" s="14"/>
      <c r="M176" s="16"/>
      <c r="N176" s="14"/>
      <c r="O176" s="14"/>
      <c r="P176" s="14"/>
      <c r="Q176" s="14"/>
      <c r="R176" s="14"/>
      <c r="S176" s="14"/>
    </row>
    <row r="177" spans="1:19" x14ac:dyDescent="0.2">
      <c r="A177" s="8" t="s">
        <v>98</v>
      </c>
      <c r="B177" s="50">
        <v>0</v>
      </c>
      <c r="C177" s="14"/>
      <c r="D177" s="14"/>
      <c r="E177" s="14"/>
      <c r="F177" s="14"/>
      <c r="G177" s="22"/>
      <c r="H177" s="14"/>
      <c r="I177" s="14"/>
      <c r="J177" s="14"/>
      <c r="K177" s="14"/>
      <c r="L177" s="14"/>
      <c r="M177" s="14"/>
      <c r="N177" s="14"/>
      <c r="O177" s="14"/>
      <c r="P177" s="14"/>
      <c r="Q177" s="14"/>
      <c r="R177" s="14"/>
      <c r="S177" s="14"/>
    </row>
    <row r="178" spans="1:19" x14ac:dyDescent="0.2">
      <c r="A178" s="8" t="s">
        <v>99</v>
      </c>
      <c r="B178" s="50">
        <v>0</v>
      </c>
      <c r="C178" s="14"/>
      <c r="D178" s="14"/>
      <c r="E178" s="14"/>
      <c r="F178" s="14"/>
      <c r="G178" s="22"/>
      <c r="H178" s="14"/>
      <c r="I178" s="14"/>
      <c r="J178" s="14"/>
      <c r="K178" s="14"/>
      <c r="L178" s="14"/>
      <c r="M178" s="16"/>
      <c r="N178" s="14"/>
      <c r="O178" s="14"/>
      <c r="P178" s="14"/>
      <c r="Q178" s="14"/>
      <c r="R178" s="14"/>
      <c r="S178" s="14"/>
    </row>
    <row r="179" spans="1:19" x14ac:dyDescent="0.2">
      <c r="A179" s="8" t="s">
        <v>100</v>
      </c>
      <c r="B179" s="50">
        <v>0</v>
      </c>
      <c r="C179" s="14"/>
      <c r="D179" s="14"/>
      <c r="E179" s="14"/>
      <c r="F179" s="14"/>
      <c r="G179" s="22"/>
      <c r="H179" s="14"/>
      <c r="I179" s="14"/>
      <c r="J179" s="14"/>
      <c r="K179" s="14"/>
      <c r="L179" s="14"/>
      <c r="M179" s="16"/>
      <c r="N179" s="14"/>
      <c r="O179" s="14"/>
      <c r="P179" s="14"/>
      <c r="Q179" s="14"/>
      <c r="R179" s="14"/>
      <c r="S179" s="14"/>
    </row>
    <row r="180" spans="1:19" x14ac:dyDescent="0.2">
      <c r="A180" s="8" t="s">
        <v>101</v>
      </c>
      <c r="B180" s="50">
        <v>0</v>
      </c>
      <c r="C180" s="14"/>
      <c r="D180" s="14"/>
      <c r="E180" s="14"/>
      <c r="F180" s="14"/>
      <c r="G180" s="22"/>
      <c r="H180" s="14"/>
      <c r="I180" s="14"/>
      <c r="J180" s="14"/>
      <c r="K180" s="14"/>
      <c r="L180" s="14"/>
      <c r="M180" s="16"/>
      <c r="N180" s="14"/>
      <c r="O180" s="14"/>
      <c r="P180" s="14"/>
      <c r="Q180" s="14"/>
      <c r="R180" s="14"/>
      <c r="S180" s="14"/>
    </row>
    <row r="181" spans="1:19" x14ac:dyDescent="0.25">
      <c r="A181" s="14"/>
      <c r="B181" s="14"/>
      <c r="C181" s="14"/>
      <c r="D181" s="14"/>
      <c r="E181" s="16"/>
      <c r="F181" s="14"/>
      <c r="G181" s="22"/>
      <c r="H181" s="14"/>
      <c r="I181" s="14"/>
      <c r="J181" s="14"/>
      <c r="K181" s="14"/>
      <c r="L181" s="14"/>
      <c r="M181" s="16"/>
      <c r="N181" s="14"/>
      <c r="O181" s="14"/>
      <c r="P181" s="14"/>
      <c r="Q181" s="14"/>
      <c r="R181" s="14"/>
      <c r="S181" s="14"/>
    </row>
    <row r="182" spans="1:19" x14ac:dyDescent="0.25">
      <c r="A182" s="14"/>
      <c r="B182" s="14"/>
      <c r="C182" s="14"/>
      <c r="D182" s="14"/>
      <c r="E182" s="14"/>
      <c r="F182" s="14"/>
      <c r="G182" s="22"/>
      <c r="H182" s="14"/>
      <c r="I182" s="14"/>
      <c r="J182" s="14"/>
      <c r="K182" s="14"/>
      <c r="L182" s="14"/>
      <c r="M182" s="14"/>
      <c r="N182" s="14"/>
      <c r="O182" s="14"/>
      <c r="P182" s="14"/>
      <c r="Q182" s="14"/>
      <c r="R182" s="14"/>
      <c r="S182" s="14"/>
    </row>
    <row r="183" spans="1:19" x14ac:dyDescent="0.25">
      <c r="A183" s="14"/>
      <c r="B183" s="14"/>
      <c r="C183" s="14"/>
      <c r="D183" s="14"/>
      <c r="E183" s="14"/>
      <c r="F183" s="14"/>
      <c r="G183" s="22"/>
      <c r="H183" s="14"/>
      <c r="I183" s="14"/>
      <c r="J183" s="14"/>
      <c r="K183" s="14"/>
      <c r="L183" s="14"/>
      <c r="M183" s="14"/>
      <c r="N183" s="14"/>
      <c r="O183" s="14"/>
      <c r="P183" s="14"/>
      <c r="Q183" s="14"/>
      <c r="R183" s="14"/>
      <c r="S183" s="14"/>
    </row>
    <row r="184" spans="1:19" x14ac:dyDescent="0.25">
      <c r="A184" s="14"/>
      <c r="B184" s="14"/>
      <c r="C184" s="14"/>
      <c r="D184" s="14"/>
      <c r="E184" s="16"/>
      <c r="F184" s="14"/>
      <c r="G184" s="22"/>
      <c r="H184" s="14"/>
      <c r="I184" s="14"/>
      <c r="J184" s="14"/>
      <c r="K184" s="14"/>
      <c r="L184" s="14"/>
      <c r="M184" s="14"/>
      <c r="N184" s="14"/>
      <c r="O184" s="14"/>
      <c r="P184" s="14"/>
      <c r="Q184" s="14"/>
      <c r="R184" s="14"/>
      <c r="S184" s="14"/>
    </row>
    <row r="185" spans="1:19" x14ac:dyDescent="0.25">
      <c r="A185" s="14"/>
      <c r="B185" s="14"/>
      <c r="C185" s="14"/>
      <c r="D185" s="14"/>
      <c r="E185" s="16"/>
      <c r="F185" s="14"/>
      <c r="G185" s="22"/>
      <c r="H185" s="14"/>
      <c r="I185" s="14"/>
      <c r="J185" s="14"/>
      <c r="K185" s="14"/>
      <c r="L185" s="14"/>
      <c r="M185" s="14"/>
      <c r="N185" s="14"/>
      <c r="O185" s="14"/>
      <c r="P185" s="14"/>
      <c r="Q185" s="14"/>
      <c r="R185" s="14"/>
      <c r="S185" s="14"/>
    </row>
    <row r="186" spans="1:19" x14ac:dyDescent="0.25">
      <c r="A186" s="14"/>
      <c r="B186" s="14"/>
      <c r="C186" s="14"/>
      <c r="D186" s="14"/>
      <c r="E186" s="14"/>
      <c r="F186" s="14"/>
      <c r="G186" s="22"/>
      <c r="H186" s="14"/>
      <c r="I186" s="14"/>
      <c r="J186" s="14"/>
      <c r="K186" s="14"/>
      <c r="L186" s="14"/>
      <c r="M186" s="14"/>
      <c r="N186" s="14"/>
      <c r="O186" s="14"/>
      <c r="P186" s="14"/>
      <c r="Q186" s="14"/>
      <c r="R186" s="14"/>
      <c r="S186" s="14"/>
    </row>
    <row r="187" spans="1:19" x14ac:dyDescent="0.25">
      <c r="A187" s="14"/>
      <c r="B187" s="14"/>
      <c r="C187" s="14"/>
      <c r="D187" s="14"/>
      <c r="E187" s="14"/>
      <c r="F187" s="14"/>
      <c r="G187" s="22"/>
      <c r="H187" s="14"/>
      <c r="I187" s="14"/>
      <c r="J187" s="14"/>
      <c r="K187" s="14"/>
      <c r="L187" s="14"/>
      <c r="M187" s="16"/>
      <c r="N187" s="14"/>
      <c r="O187" s="14"/>
      <c r="P187" s="14"/>
      <c r="Q187" s="14"/>
      <c r="R187" s="14"/>
      <c r="S187" s="14"/>
    </row>
    <row r="188" spans="1:19" x14ac:dyDescent="0.25">
      <c r="A188" s="14"/>
      <c r="B188" s="14"/>
      <c r="C188" s="14"/>
      <c r="D188" s="14"/>
      <c r="E188" s="16"/>
      <c r="F188" s="14"/>
      <c r="G188" s="22"/>
      <c r="H188" s="14"/>
      <c r="I188" s="14"/>
      <c r="J188" s="14"/>
      <c r="K188" s="14"/>
      <c r="L188" s="14"/>
      <c r="M188" s="16"/>
      <c r="N188" s="14"/>
      <c r="O188" s="14"/>
      <c r="P188" s="14"/>
      <c r="Q188" s="14"/>
      <c r="R188" s="14"/>
      <c r="S188" s="14"/>
    </row>
    <row r="189" spans="1:19" x14ac:dyDescent="0.25">
      <c r="A189" s="14"/>
      <c r="B189" s="14"/>
      <c r="C189" s="14"/>
      <c r="D189" s="14"/>
      <c r="E189" s="16"/>
      <c r="F189" s="14"/>
      <c r="G189" s="22"/>
      <c r="H189" s="14"/>
      <c r="I189" s="14"/>
      <c r="J189" s="14"/>
      <c r="K189" s="14"/>
      <c r="L189" s="14"/>
      <c r="M189" s="16"/>
      <c r="N189" s="14"/>
      <c r="O189" s="14"/>
      <c r="P189" s="14"/>
      <c r="Q189" s="14"/>
      <c r="R189" s="14"/>
      <c r="S189" s="14"/>
    </row>
    <row r="190" spans="1:19" x14ac:dyDescent="0.25">
      <c r="A190" s="14"/>
      <c r="B190" s="14"/>
      <c r="C190" s="14"/>
      <c r="D190" s="14"/>
      <c r="E190" s="14"/>
      <c r="F190" s="14"/>
      <c r="G190" s="22"/>
      <c r="H190" s="14"/>
      <c r="I190" s="14"/>
      <c r="J190" s="14"/>
      <c r="K190" s="14"/>
      <c r="L190" s="14"/>
      <c r="M190" s="16"/>
      <c r="N190" s="14"/>
      <c r="O190" s="14"/>
      <c r="P190" s="14"/>
      <c r="Q190" s="14"/>
      <c r="R190" s="14"/>
      <c r="S190" s="14"/>
    </row>
    <row r="191" spans="1:19" x14ac:dyDescent="0.25">
      <c r="A191" s="14"/>
      <c r="B191" s="14"/>
      <c r="C191" s="14"/>
      <c r="D191" s="14"/>
      <c r="E191" s="16"/>
      <c r="F191" s="14"/>
      <c r="G191" s="22"/>
      <c r="H191" s="14"/>
      <c r="I191" s="14"/>
      <c r="J191" s="14"/>
      <c r="K191" s="14"/>
      <c r="L191" s="14"/>
      <c r="M191" s="14"/>
      <c r="N191" s="14"/>
      <c r="O191" s="14"/>
      <c r="P191" s="14"/>
      <c r="Q191" s="14"/>
      <c r="R191" s="14"/>
      <c r="S191" s="14"/>
    </row>
    <row r="192" spans="1:19" x14ac:dyDescent="0.25">
      <c r="A192" s="14"/>
      <c r="B192" s="14"/>
      <c r="C192" s="14"/>
      <c r="D192" s="14"/>
      <c r="E192" s="14"/>
      <c r="F192" s="14"/>
      <c r="G192" s="22"/>
      <c r="H192" s="14"/>
      <c r="I192" s="14"/>
      <c r="J192" s="14"/>
      <c r="K192" s="14"/>
      <c r="L192" s="14"/>
      <c r="M192" s="16"/>
      <c r="N192" s="14"/>
      <c r="O192" s="14"/>
      <c r="P192" s="14"/>
      <c r="Q192" s="14"/>
      <c r="R192" s="14"/>
      <c r="S192" s="14"/>
    </row>
    <row r="193" spans="1:19" x14ac:dyDescent="0.25">
      <c r="A193" s="14"/>
      <c r="B193" s="14"/>
      <c r="C193" s="14"/>
      <c r="D193" s="14"/>
      <c r="E193" s="14"/>
      <c r="F193" s="14"/>
      <c r="G193" s="22"/>
      <c r="H193" s="14"/>
      <c r="I193" s="14"/>
      <c r="J193" s="14"/>
      <c r="K193" s="14"/>
      <c r="L193" s="14"/>
      <c r="M193" s="14"/>
      <c r="N193" s="14"/>
      <c r="O193" s="14"/>
      <c r="P193" s="14"/>
      <c r="Q193" s="14"/>
      <c r="R193" s="14"/>
      <c r="S193" s="14"/>
    </row>
    <row r="194" spans="1:19" x14ac:dyDescent="0.25">
      <c r="A194" s="14"/>
      <c r="B194" s="14"/>
      <c r="C194" s="14"/>
      <c r="D194" s="14"/>
      <c r="E194" s="14"/>
      <c r="F194" s="14"/>
      <c r="G194" s="22"/>
      <c r="H194" s="14"/>
      <c r="I194" s="14"/>
      <c r="J194" s="14"/>
      <c r="K194" s="14"/>
      <c r="L194" s="14"/>
      <c r="M194" s="14"/>
      <c r="N194" s="14"/>
      <c r="O194" s="14"/>
      <c r="P194" s="14"/>
      <c r="Q194" s="14"/>
      <c r="R194" s="14"/>
      <c r="S194" s="14"/>
    </row>
    <row r="195" spans="1:19" x14ac:dyDescent="0.25">
      <c r="A195" s="14"/>
      <c r="B195" s="14"/>
      <c r="C195" s="14"/>
      <c r="D195" s="14"/>
      <c r="E195" s="14"/>
      <c r="F195" s="14"/>
      <c r="G195" s="22"/>
      <c r="H195" s="14"/>
      <c r="I195" s="14"/>
      <c r="J195" s="14"/>
      <c r="K195" s="14"/>
      <c r="L195" s="14"/>
      <c r="M195" s="16"/>
      <c r="N195" s="14"/>
      <c r="O195" s="14"/>
      <c r="P195" s="14"/>
      <c r="Q195" s="14"/>
      <c r="R195" s="14"/>
      <c r="S195" s="14"/>
    </row>
    <row r="196" spans="1:19" x14ac:dyDescent="0.25">
      <c r="A196" s="14"/>
      <c r="B196" s="14"/>
      <c r="C196" s="14"/>
      <c r="D196" s="14"/>
      <c r="E196" s="14"/>
      <c r="F196" s="14"/>
      <c r="G196" s="22"/>
      <c r="H196" s="14"/>
      <c r="I196" s="14"/>
      <c r="J196" s="14"/>
      <c r="K196" s="14"/>
      <c r="L196" s="14"/>
      <c r="M196" s="14"/>
      <c r="N196" s="14"/>
      <c r="O196" s="14"/>
      <c r="P196" s="14"/>
      <c r="Q196" s="14"/>
      <c r="R196" s="14"/>
      <c r="S196" s="14"/>
    </row>
    <row r="197" spans="1:19" x14ac:dyDescent="0.25">
      <c r="A197" s="14"/>
      <c r="B197" s="14"/>
      <c r="C197" s="14"/>
      <c r="D197" s="14"/>
      <c r="E197" s="14"/>
      <c r="F197" s="14"/>
      <c r="G197" s="22"/>
      <c r="H197" s="14"/>
      <c r="I197" s="14"/>
      <c r="J197" s="14"/>
      <c r="K197" s="14"/>
      <c r="L197" s="14"/>
      <c r="M197" s="14"/>
      <c r="N197" s="14"/>
      <c r="O197" s="14"/>
      <c r="P197" s="14"/>
      <c r="Q197" s="14"/>
      <c r="R197" s="14"/>
      <c r="S197" s="14"/>
    </row>
    <row r="198" spans="1:19" x14ac:dyDescent="0.25">
      <c r="A198" s="14"/>
      <c r="B198" s="14"/>
      <c r="C198" s="14"/>
      <c r="D198" s="14"/>
      <c r="E198" s="14"/>
      <c r="F198" s="14"/>
      <c r="G198" s="22"/>
      <c r="H198" s="14"/>
      <c r="I198" s="14"/>
      <c r="J198" s="14"/>
      <c r="K198" s="14"/>
      <c r="L198" s="14"/>
      <c r="M198" s="14"/>
      <c r="N198" s="14"/>
      <c r="O198" s="14"/>
      <c r="P198" s="14"/>
      <c r="Q198" s="14"/>
      <c r="R198" s="14"/>
      <c r="S198" s="14"/>
    </row>
    <row r="199" spans="1:19" x14ac:dyDescent="0.25">
      <c r="A199" s="14"/>
      <c r="B199" s="14"/>
      <c r="C199" s="14"/>
      <c r="D199" s="14"/>
      <c r="E199" s="14"/>
      <c r="F199" s="14"/>
      <c r="G199" s="22"/>
      <c r="H199" s="14"/>
      <c r="I199" s="14"/>
      <c r="J199" s="14"/>
      <c r="K199" s="14"/>
      <c r="L199" s="14"/>
      <c r="M199" s="16"/>
      <c r="N199" s="14"/>
      <c r="O199" s="14"/>
      <c r="P199" s="14"/>
      <c r="Q199" s="14"/>
      <c r="R199" s="14"/>
      <c r="S199" s="14"/>
    </row>
    <row r="200" spans="1:19" x14ac:dyDescent="0.25">
      <c r="A200" s="14"/>
      <c r="B200" s="14"/>
      <c r="C200" s="14"/>
      <c r="D200" s="14"/>
      <c r="E200" s="14"/>
      <c r="F200" s="14"/>
      <c r="G200" s="22"/>
      <c r="H200" s="14"/>
      <c r="I200" s="14"/>
      <c r="J200" s="14"/>
      <c r="K200" s="14"/>
      <c r="L200" s="14"/>
      <c r="M200" s="16"/>
      <c r="N200" s="14"/>
      <c r="O200" s="14"/>
      <c r="P200" s="14"/>
      <c r="Q200" s="14"/>
      <c r="R200" s="14"/>
      <c r="S200" s="14"/>
    </row>
    <row r="201" spans="1:19" x14ac:dyDescent="0.25">
      <c r="A201" s="14"/>
      <c r="B201" s="14"/>
      <c r="C201" s="14"/>
      <c r="D201" s="14"/>
      <c r="E201" s="14"/>
      <c r="F201" s="14"/>
      <c r="G201" s="22"/>
      <c r="H201" s="14"/>
      <c r="I201" s="14"/>
      <c r="J201" s="14"/>
      <c r="K201" s="14"/>
      <c r="L201" s="14"/>
      <c r="M201" s="16"/>
      <c r="N201" s="14"/>
      <c r="O201" s="14"/>
      <c r="P201" s="14"/>
      <c r="Q201" s="14"/>
      <c r="R201" s="14"/>
      <c r="S201" s="14"/>
    </row>
    <row r="202" spans="1:19" x14ac:dyDescent="0.25">
      <c r="A202" s="14"/>
      <c r="B202" s="14"/>
      <c r="C202" s="14"/>
      <c r="D202" s="14"/>
      <c r="E202" s="14"/>
      <c r="F202" s="14"/>
      <c r="G202" s="22"/>
      <c r="H202" s="14"/>
      <c r="I202" s="14"/>
      <c r="J202" s="14"/>
      <c r="K202" s="14"/>
      <c r="L202" s="14"/>
      <c r="M202" s="16"/>
      <c r="N202" s="14"/>
      <c r="O202" s="14"/>
      <c r="P202" s="14"/>
      <c r="Q202" s="14"/>
      <c r="R202" s="14"/>
      <c r="S202" s="14"/>
    </row>
    <row r="203" spans="1:19" x14ac:dyDescent="0.25">
      <c r="A203" s="14"/>
      <c r="B203" s="14"/>
      <c r="C203" s="14"/>
      <c r="D203" s="14"/>
      <c r="E203" s="14"/>
      <c r="F203" s="14"/>
      <c r="G203" s="22"/>
      <c r="H203" s="14"/>
      <c r="I203" s="14"/>
      <c r="J203" s="14"/>
      <c r="K203" s="14"/>
      <c r="L203" s="14"/>
      <c r="M203" s="16"/>
      <c r="N203" s="14"/>
      <c r="O203" s="14"/>
      <c r="P203" s="14"/>
      <c r="Q203" s="14"/>
      <c r="R203" s="14"/>
      <c r="S203" s="14"/>
    </row>
    <row r="204" spans="1:19" x14ac:dyDescent="0.25">
      <c r="A204" s="14"/>
      <c r="B204" s="14"/>
      <c r="C204" s="14"/>
      <c r="D204" s="14"/>
      <c r="E204" s="14"/>
      <c r="F204" s="14"/>
      <c r="G204" s="22"/>
      <c r="H204" s="14"/>
      <c r="I204" s="14"/>
      <c r="J204" s="14"/>
      <c r="K204" s="14"/>
      <c r="L204" s="14"/>
      <c r="M204" s="14"/>
      <c r="N204" s="14"/>
      <c r="O204" s="14"/>
      <c r="P204" s="14"/>
      <c r="Q204" s="14"/>
      <c r="R204" s="14"/>
      <c r="S204" s="14"/>
    </row>
    <row r="205" spans="1:19" x14ac:dyDescent="0.25">
      <c r="A205" s="14"/>
      <c r="B205" s="14"/>
      <c r="C205" s="14"/>
      <c r="D205" s="14"/>
      <c r="E205" s="14"/>
      <c r="F205" s="14"/>
      <c r="G205" s="22"/>
      <c r="H205" s="14"/>
      <c r="I205" s="14"/>
      <c r="J205" s="14"/>
      <c r="K205" s="14"/>
      <c r="L205" s="14"/>
      <c r="M205" s="14"/>
      <c r="N205" s="14"/>
      <c r="O205" s="14"/>
      <c r="P205" s="14"/>
      <c r="Q205" s="14"/>
      <c r="R205" s="14"/>
      <c r="S205" s="14"/>
    </row>
    <row r="206" spans="1:19" x14ac:dyDescent="0.25">
      <c r="A206" s="14"/>
      <c r="B206" s="14"/>
      <c r="C206" s="14"/>
      <c r="D206" s="14"/>
      <c r="E206" s="14"/>
      <c r="F206" s="14"/>
      <c r="G206" s="22"/>
      <c r="H206" s="14"/>
      <c r="I206" s="14"/>
      <c r="J206" s="14"/>
      <c r="K206" s="14"/>
      <c r="L206" s="14"/>
      <c r="M206" s="16"/>
      <c r="N206" s="14"/>
      <c r="O206" s="14"/>
      <c r="P206" s="14"/>
      <c r="Q206" s="14"/>
      <c r="R206" s="14"/>
      <c r="S206" s="14"/>
    </row>
    <row r="207" spans="1:19" x14ac:dyDescent="0.25">
      <c r="A207" s="14"/>
      <c r="B207" s="14"/>
      <c r="C207" s="14"/>
      <c r="D207" s="14"/>
      <c r="E207" s="14"/>
      <c r="F207" s="14"/>
      <c r="G207" s="22"/>
      <c r="H207" s="14"/>
      <c r="I207" s="14"/>
      <c r="J207" s="14"/>
      <c r="K207" s="14"/>
      <c r="L207" s="14"/>
      <c r="M207" s="14"/>
      <c r="N207" s="14"/>
      <c r="O207" s="14"/>
      <c r="P207" s="14"/>
      <c r="Q207" s="14"/>
      <c r="R207" s="14"/>
      <c r="S207" s="14"/>
    </row>
    <row r="208" spans="1:19" x14ac:dyDescent="0.25">
      <c r="A208" s="14"/>
      <c r="B208" s="14"/>
      <c r="C208" s="14"/>
      <c r="D208" s="14"/>
      <c r="E208" s="14"/>
      <c r="F208" s="14"/>
      <c r="G208" s="14"/>
      <c r="H208" s="14"/>
      <c r="I208" s="14"/>
      <c r="J208" s="14"/>
      <c r="K208" s="14"/>
      <c r="L208" s="14"/>
      <c r="M208" s="14"/>
      <c r="N208" s="14"/>
      <c r="O208" s="14"/>
      <c r="P208" s="14"/>
      <c r="Q208" s="14"/>
      <c r="R208" s="14"/>
      <c r="S208" s="14"/>
    </row>
    <row r="209" spans="1:19" x14ac:dyDescent="0.25">
      <c r="A209" s="14"/>
      <c r="B209" s="14"/>
      <c r="C209" s="14"/>
      <c r="D209" s="14"/>
      <c r="E209" s="14"/>
      <c r="F209" s="14"/>
      <c r="G209" s="14"/>
      <c r="H209" s="14"/>
      <c r="I209" s="14"/>
      <c r="J209" s="14"/>
      <c r="K209" s="14"/>
      <c r="L209" s="14"/>
      <c r="M209" s="14"/>
      <c r="N209" s="14"/>
      <c r="O209" s="14"/>
      <c r="P209" s="14"/>
      <c r="Q209" s="14"/>
      <c r="R209" s="14"/>
      <c r="S209" s="14"/>
    </row>
    <row r="210" spans="1:19" x14ac:dyDescent="0.25">
      <c r="A210" s="14"/>
      <c r="B210" s="14"/>
      <c r="C210" s="14"/>
      <c r="D210" s="14"/>
      <c r="E210" s="14"/>
      <c r="F210" s="14"/>
      <c r="G210" s="14"/>
      <c r="H210" s="14"/>
      <c r="I210" s="14"/>
      <c r="J210" s="14"/>
      <c r="K210" s="14"/>
      <c r="L210" s="14"/>
      <c r="M210" s="14"/>
      <c r="N210" s="14"/>
      <c r="O210" s="14"/>
      <c r="P210" s="14"/>
      <c r="Q210" s="14"/>
      <c r="R210" s="14"/>
      <c r="S210" s="14"/>
    </row>
    <row r="211" spans="1:19" x14ac:dyDescent="0.25">
      <c r="A211" s="14"/>
      <c r="B211" s="14"/>
      <c r="C211" s="14"/>
      <c r="D211" s="14"/>
      <c r="E211" s="14"/>
      <c r="F211" s="14"/>
      <c r="G211" s="14"/>
      <c r="H211" s="14"/>
      <c r="I211" s="14"/>
      <c r="J211" s="14"/>
      <c r="K211" s="14"/>
      <c r="L211" s="14"/>
      <c r="M211" s="14"/>
      <c r="N211" s="14"/>
      <c r="O211" s="14"/>
      <c r="P211" s="14"/>
      <c r="Q211" s="14"/>
      <c r="R211" s="14"/>
      <c r="S211" s="14"/>
    </row>
    <row r="212" spans="1:19" x14ac:dyDescent="0.25">
      <c r="A212" s="14"/>
      <c r="B212" s="14"/>
      <c r="C212" s="14"/>
      <c r="D212" s="14"/>
      <c r="E212" s="14"/>
      <c r="F212" s="14"/>
      <c r="G212" s="14"/>
      <c r="H212" s="14"/>
      <c r="I212" s="14"/>
      <c r="J212" s="14"/>
      <c r="K212" s="14"/>
      <c r="L212" s="14"/>
      <c r="M212" s="14"/>
      <c r="N212" s="14"/>
      <c r="O212" s="14"/>
      <c r="P212" s="14"/>
      <c r="Q212" s="14"/>
      <c r="R212" s="14"/>
      <c r="S212" s="14"/>
    </row>
    <row r="213" spans="1:19" x14ac:dyDescent="0.25">
      <c r="A213" s="14"/>
      <c r="B213" s="14"/>
      <c r="C213" s="14"/>
      <c r="D213" s="14"/>
      <c r="E213" s="14"/>
      <c r="F213" s="14"/>
      <c r="G213" s="14"/>
      <c r="H213" s="14"/>
      <c r="I213" s="14"/>
      <c r="J213" s="14"/>
      <c r="K213" s="14"/>
      <c r="L213" s="14"/>
      <c r="M213" s="14"/>
      <c r="N213" s="14"/>
      <c r="O213" s="14"/>
      <c r="P213" s="14"/>
      <c r="Q213" s="14"/>
      <c r="R213" s="14"/>
      <c r="S213" s="14"/>
    </row>
    <row r="214" spans="1:19" x14ac:dyDescent="0.25">
      <c r="A214" s="14"/>
      <c r="B214" s="14"/>
      <c r="C214" s="14"/>
      <c r="D214" s="14"/>
      <c r="E214" s="14"/>
      <c r="F214" s="14"/>
      <c r="G214" s="14"/>
      <c r="H214" s="14"/>
      <c r="I214" s="14"/>
      <c r="J214" s="14"/>
      <c r="K214" s="14"/>
      <c r="L214" s="14"/>
      <c r="M214" s="16"/>
      <c r="N214" s="14"/>
      <c r="O214" s="14"/>
      <c r="P214" s="14"/>
      <c r="Q214" s="14"/>
      <c r="R214" s="14"/>
      <c r="S214" s="14"/>
    </row>
    <row r="215" spans="1:19" x14ac:dyDescent="0.25">
      <c r="A215" s="14"/>
      <c r="B215" s="14"/>
      <c r="C215" s="14"/>
      <c r="D215" s="14"/>
      <c r="E215" s="14"/>
      <c r="F215" s="14"/>
      <c r="G215" s="14"/>
      <c r="H215" s="14"/>
      <c r="I215" s="14"/>
      <c r="J215" s="14"/>
      <c r="K215" s="14"/>
      <c r="L215" s="14"/>
      <c r="M215" s="14"/>
      <c r="N215" s="14"/>
      <c r="O215" s="14"/>
      <c r="P215" s="14"/>
      <c r="Q215" s="14"/>
      <c r="R215" s="14"/>
      <c r="S215" s="14"/>
    </row>
    <row r="216" spans="1:19" x14ac:dyDescent="0.25">
      <c r="A216" s="14"/>
      <c r="B216" s="14"/>
      <c r="C216" s="14"/>
      <c r="D216" s="14"/>
      <c r="E216" s="14"/>
      <c r="F216" s="14"/>
      <c r="G216" s="14"/>
      <c r="H216" s="14"/>
      <c r="I216" s="14"/>
      <c r="J216" s="14"/>
      <c r="K216" s="14"/>
      <c r="L216" s="14"/>
      <c r="M216" s="14"/>
      <c r="N216" s="14"/>
      <c r="O216" s="14"/>
      <c r="P216" s="14"/>
      <c r="Q216" s="14"/>
      <c r="R216" s="14"/>
      <c r="S216" s="14"/>
    </row>
    <row r="217" spans="1:19" x14ac:dyDescent="0.25">
      <c r="A217" s="14"/>
      <c r="B217" s="14"/>
      <c r="C217" s="14"/>
      <c r="D217" s="14"/>
      <c r="E217" s="16"/>
      <c r="F217" s="14"/>
      <c r="G217" s="14"/>
      <c r="H217" s="14"/>
      <c r="I217" s="14"/>
      <c r="J217" s="14"/>
      <c r="K217" s="14"/>
      <c r="L217" s="14"/>
      <c r="M217" s="14"/>
      <c r="N217" s="14"/>
      <c r="O217" s="14"/>
      <c r="P217" s="14"/>
      <c r="Q217" s="14"/>
      <c r="R217" s="14"/>
      <c r="S217" s="14"/>
    </row>
    <row r="218" spans="1:19" x14ac:dyDescent="0.25">
      <c r="A218" s="14"/>
      <c r="B218" s="14"/>
      <c r="C218" s="14"/>
      <c r="D218" s="14"/>
      <c r="E218" s="14"/>
      <c r="F218" s="14"/>
      <c r="G218" s="14"/>
      <c r="H218" s="14"/>
      <c r="I218" s="14"/>
      <c r="J218" s="14"/>
      <c r="K218" s="14"/>
      <c r="L218" s="14"/>
      <c r="M218" s="16"/>
      <c r="N218" s="14"/>
      <c r="O218" s="14"/>
      <c r="P218" s="14"/>
      <c r="Q218" s="14"/>
      <c r="R218" s="14"/>
      <c r="S218" s="14"/>
    </row>
    <row r="219" spans="1:19" x14ac:dyDescent="0.25">
      <c r="A219" s="14"/>
      <c r="B219" s="14"/>
      <c r="C219" s="14"/>
      <c r="D219" s="14"/>
      <c r="E219" s="14"/>
      <c r="F219" s="14"/>
      <c r="G219" s="14"/>
      <c r="H219" s="14"/>
      <c r="I219" s="14"/>
      <c r="J219" s="14"/>
      <c r="K219" s="14"/>
      <c r="L219" s="14"/>
      <c r="M219" s="14"/>
      <c r="N219" s="14"/>
      <c r="O219" s="14"/>
      <c r="P219" s="14"/>
      <c r="Q219" s="14"/>
      <c r="R219" s="14"/>
      <c r="S219" s="14"/>
    </row>
    <row r="220" spans="1:19" x14ac:dyDescent="0.25">
      <c r="A220" s="14"/>
      <c r="B220" s="14"/>
      <c r="C220" s="14"/>
      <c r="D220" s="14"/>
      <c r="E220" s="14"/>
      <c r="F220" s="14"/>
      <c r="G220" s="14"/>
      <c r="H220" s="14"/>
      <c r="I220" s="14"/>
      <c r="J220" s="14"/>
      <c r="K220" s="14"/>
      <c r="L220" s="14"/>
      <c r="M220" s="16"/>
      <c r="N220" s="14"/>
      <c r="O220" s="14"/>
      <c r="P220" s="14"/>
      <c r="Q220" s="14"/>
      <c r="R220" s="14"/>
      <c r="S220" s="14"/>
    </row>
    <row r="221" spans="1:19" x14ac:dyDescent="0.25">
      <c r="A221" s="14"/>
      <c r="B221" s="14"/>
      <c r="C221" s="14"/>
      <c r="D221" s="14"/>
      <c r="E221" s="14"/>
      <c r="F221" s="14"/>
      <c r="G221" s="14"/>
      <c r="H221" s="14"/>
      <c r="I221" s="14"/>
      <c r="J221" s="14"/>
      <c r="K221" s="14"/>
      <c r="L221" s="14"/>
      <c r="M221" s="14"/>
      <c r="N221" s="14"/>
      <c r="O221" s="14"/>
      <c r="P221" s="14"/>
      <c r="Q221" s="14"/>
      <c r="R221" s="14"/>
      <c r="S221" s="14"/>
    </row>
    <row r="222" spans="1:19" x14ac:dyDescent="0.25">
      <c r="A222" s="14"/>
      <c r="B222" s="14"/>
      <c r="C222" s="14"/>
      <c r="D222" s="14"/>
      <c r="E222" s="14"/>
      <c r="F222" s="14"/>
      <c r="G222" s="14"/>
      <c r="H222" s="14"/>
      <c r="I222" s="14"/>
      <c r="J222" s="14"/>
      <c r="K222" s="14"/>
      <c r="L222" s="14"/>
      <c r="M222" s="14"/>
      <c r="N222" s="14"/>
      <c r="O222" s="14"/>
      <c r="P222" s="14"/>
      <c r="Q222" s="14"/>
      <c r="R222" s="14"/>
      <c r="S222" s="14"/>
    </row>
    <row r="223" spans="1:19" x14ac:dyDescent="0.25">
      <c r="A223" s="14"/>
      <c r="B223" s="14"/>
      <c r="C223" s="14"/>
      <c r="D223" s="14"/>
      <c r="E223" s="14"/>
      <c r="F223" s="14"/>
      <c r="G223" s="14"/>
      <c r="H223" s="14"/>
      <c r="I223" s="14"/>
      <c r="J223" s="14"/>
      <c r="K223" s="14"/>
      <c r="L223" s="14"/>
      <c r="M223" s="14"/>
      <c r="N223" s="14"/>
      <c r="O223" s="14"/>
      <c r="P223" s="14"/>
      <c r="Q223" s="14"/>
      <c r="R223" s="14"/>
      <c r="S223" s="14"/>
    </row>
    <row r="224" spans="1:19" x14ac:dyDescent="0.25">
      <c r="A224" s="14"/>
      <c r="B224" s="14"/>
      <c r="C224" s="14"/>
      <c r="D224" s="14"/>
      <c r="E224" s="14"/>
      <c r="F224" s="14"/>
      <c r="G224" s="14"/>
      <c r="H224" s="14"/>
      <c r="I224" s="14"/>
      <c r="J224" s="14"/>
      <c r="K224" s="14"/>
      <c r="L224" s="14"/>
      <c r="M224" s="14"/>
      <c r="N224" s="14"/>
      <c r="O224" s="14"/>
      <c r="P224" s="14"/>
      <c r="Q224" s="14"/>
      <c r="R224" s="14"/>
      <c r="S224" s="14"/>
    </row>
    <row r="225" spans="1:19" x14ac:dyDescent="0.25">
      <c r="A225" s="14"/>
      <c r="B225" s="14"/>
      <c r="C225" s="14"/>
      <c r="D225" s="14"/>
      <c r="E225" s="14"/>
      <c r="F225" s="14"/>
      <c r="G225" s="14"/>
      <c r="H225" s="14"/>
      <c r="I225" s="14"/>
      <c r="J225" s="14"/>
      <c r="K225" s="14"/>
      <c r="L225" s="14"/>
      <c r="M225" s="14"/>
      <c r="N225" s="14"/>
      <c r="O225" s="14"/>
      <c r="P225" s="14"/>
      <c r="Q225" s="14"/>
      <c r="R225" s="14"/>
      <c r="S225" s="14"/>
    </row>
    <row r="226" spans="1:19" x14ac:dyDescent="0.25">
      <c r="A226" s="14"/>
      <c r="B226" s="14"/>
      <c r="C226" s="14"/>
      <c r="D226" s="14"/>
      <c r="E226" s="14"/>
      <c r="F226" s="14"/>
      <c r="G226" s="14"/>
      <c r="H226" s="14"/>
      <c r="I226" s="14"/>
      <c r="J226" s="14"/>
      <c r="K226" s="14"/>
      <c r="L226" s="14"/>
      <c r="O226" s="14"/>
      <c r="P226" s="14"/>
      <c r="Q226" s="14"/>
      <c r="R226" s="14"/>
      <c r="S226" s="14"/>
    </row>
    <row r="227" spans="1:19" x14ac:dyDescent="0.25">
      <c r="E227" s="14"/>
      <c r="G227" s="14"/>
      <c r="J227" s="14"/>
    </row>
    <row r="228" spans="1:19" x14ac:dyDescent="0.25">
      <c r="E228" s="14"/>
      <c r="G228" s="14"/>
      <c r="J228" s="14"/>
    </row>
    <row r="229" spans="1:19" x14ac:dyDescent="0.25">
      <c r="E229" s="14"/>
      <c r="G229" s="14"/>
      <c r="J229" s="14"/>
    </row>
    <row r="230" spans="1:19" x14ac:dyDescent="0.25">
      <c r="E230" s="14"/>
      <c r="G230" s="14"/>
      <c r="J230" s="14"/>
    </row>
    <row r="231" spans="1:19" x14ac:dyDescent="0.25">
      <c r="E231" s="14"/>
      <c r="G231" s="14"/>
    </row>
    <row r="232" spans="1:19" x14ac:dyDescent="0.25">
      <c r="E232" s="14"/>
      <c r="G232" s="14"/>
    </row>
    <row r="233" spans="1:19" x14ac:dyDescent="0.25">
      <c r="E233" s="14"/>
      <c r="G233" s="14"/>
    </row>
    <row r="234" spans="1:19" x14ac:dyDescent="0.25">
      <c r="E234" s="14"/>
      <c r="G234" s="14"/>
    </row>
    <row r="235" spans="1:19" x14ac:dyDescent="0.25">
      <c r="E235" s="14"/>
      <c r="G235" s="14"/>
    </row>
    <row r="236" spans="1:19" x14ac:dyDescent="0.25">
      <c r="E236" s="14"/>
      <c r="G236" s="14"/>
    </row>
    <row r="237" spans="1:19" x14ac:dyDescent="0.25">
      <c r="E237" s="14"/>
      <c r="G237" s="14"/>
    </row>
    <row r="238" spans="1:19" x14ac:dyDescent="0.25">
      <c r="E238" s="14"/>
      <c r="G238" s="14"/>
    </row>
    <row r="239" spans="1:19" x14ac:dyDescent="0.25">
      <c r="E239" s="14"/>
      <c r="G239" s="14"/>
    </row>
    <row r="240" spans="1:19" x14ac:dyDescent="0.25">
      <c r="E240" s="14"/>
      <c r="G240" s="14"/>
    </row>
    <row r="241" spans="5:7" x14ac:dyDescent="0.25">
      <c r="E241" s="14"/>
      <c r="G241" s="14"/>
    </row>
    <row r="242" spans="5:7" x14ac:dyDescent="0.25">
      <c r="E242" s="14"/>
    </row>
  </sheetData>
  <sheetProtection selectLockedCells="1" selectUnlockedCells="1"/>
  <sortState ref="E33:E150">
    <sortCondition ref="E32"/>
  </sortState>
  <customSheetViews>
    <customSheetView guid="{5F7E442B-9104-458B-9892-4194DBB06FCD}" state="hidden" topLeftCell="A10">
      <selection activeCell="L46" sqref="L46:N66"/>
      <pageMargins left="0.511811024" right="0.511811024" top="0.78740157499999996" bottom="0.78740157499999996" header="0.31496062000000002" footer="0.31496062000000002"/>
      <pageSetup paperSize="9" orientation="portrait" horizontalDpi="300" verticalDpi="300" r:id="rId1"/>
    </customSheetView>
  </customSheetViews>
  <mergeCells count="2">
    <mergeCell ref="R69:S69"/>
    <mergeCell ref="P69:Q69"/>
  </mergeCells>
  <pageMargins left="0.511811024" right="0.511811024" top="0.78740157499999996" bottom="0.78740157499999996" header="0.31496062000000002" footer="0.31496062000000002"/>
  <pageSetup paperSize="9"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8"/>
  <sheetViews>
    <sheetView zoomScale="70" zoomScaleNormal="70" workbookViewId="0">
      <selection activeCell="D59" sqref="D59"/>
    </sheetView>
  </sheetViews>
  <sheetFormatPr defaultRowHeight="15" x14ac:dyDescent="0.25"/>
  <cols>
    <col min="1" max="1" width="19.5703125" bestFit="1" customWidth="1"/>
    <col min="2" max="2" width="8.140625" bestFit="1" customWidth="1"/>
    <col min="3" max="3" width="7.7109375" bestFit="1" customWidth="1"/>
    <col min="4" max="4" width="8.85546875" bestFit="1" customWidth="1"/>
  </cols>
  <sheetData>
    <row r="1" spans="1:4" x14ac:dyDescent="0.25">
      <c r="A1" t="s">
        <v>64</v>
      </c>
      <c r="B1" t="s">
        <v>827</v>
      </c>
      <c r="C1" t="s">
        <v>828</v>
      </c>
      <c r="D1" t="s">
        <v>1084</v>
      </c>
    </row>
    <row r="2" spans="1:4" x14ac:dyDescent="0.25">
      <c r="A2" t="s">
        <v>1011</v>
      </c>
      <c r="B2">
        <v>414</v>
      </c>
      <c r="C2">
        <v>2244</v>
      </c>
      <c r="D2">
        <v>1</v>
      </c>
    </row>
    <row r="3" spans="1:4" x14ac:dyDescent="0.25">
      <c r="A3" t="s">
        <v>1085</v>
      </c>
      <c r="B3">
        <v>541</v>
      </c>
      <c r="C3">
        <v>3410</v>
      </c>
      <c r="D3">
        <v>14</v>
      </c>
    </row>
    <row r="4" spans="1:4" x14ac:dyDescent="0.25">
      <c r="A4" t="s">
        <v>1068</v>
      </c>
      <c r="B4">
        <v>400</v>
      </c>
      <c r="C4">
        <v>1366</v>
      </c>
      <c r="D4">
        <v>0</v>
      </c>
    </row>
    <row r="5" spans="1:4" x14ac:dyDescent="0.25">
      <c r="A5" t="s">
        <v>832</v>
      </c>
      <c r="B5">
        <v>522</v>
      </c>
      <c r="C5">
        <v>6660</v>
      </c>
      <c r="D5">
        <v>5</v>
      </c>
    </row>
    <row r="6" spans="1:4" x14ac:dyDescent="0.25">
      <c r="A6" t="s">
        <v>1014</v>
      </c>
      <c r="B6">
        <v>403</v>
      </c>
      <c r="C6">
        <v>1994</v>
      </c>
      <c r="D6">
        <v>0</v>
      </c>
    </row>
    <row r="7" spans="1:4" x14ac:dyDescent="0.25">
      <c r="A7" t="s">
        <v>896</v>
      </c>
      <c r="B7">
        <v>410</v>
      </c>
      <c r="C7">
        <v>1234</v>
      </c>
      <c r="D7">
        <v>0</v>
      </c>
    </row>
    <row r="8" spans="1:4" x14ac:dyDescent="0.25">
      <c r="A8" t="s">
        <v>834</v>
      </c>
      <c r="B8">
        <v>445</v>
      </c>
      <c r="C8">
        <v>1111</v>
      </c>
      <c r="D8">
        <v>2</v>
      </c>
    </row>
    <row r="9" spans="1:4" x14ac:dyDescent="0.25">
      <c r="A9" t="s">
        <v>1086</v>
      </c>
      <c r="B9">
        <v>400</v>
      </c>
      <c r="C9">
        <v>3110</v>
      </c>
      <c r="D9">
        <v>0</v>
      </c>
    </row>
    <row r="10" spans="1:4" x14ac:dyDescent="0.25">
      <c r="A10" t="s">
        <v>1087</v>
      </c>
      <c r="B10">
        <v>410</v>
      </c>
      <c r="C10">
        <v>4159</v>
      </c>
      <c r="D10">
        <v>0</v>
      </c>
    </row>
    <row r="11" spans="1:4" x14ac:dyDescent="0.25">
      <c r="A11" t="s">
        <v>1088</v>
      </c>
      <c r="B11">
        <v>415</v>
      </c>
      <c r="C11">
        <v>1313</v>
      </c>
      <c r="D11">
        <v>1</v>
      </c>
    </row>
    <row r="12" spans="1:4" x14ac:dyDescent="0.25">
      <c r="A12" t="s">
        <v>1089</v>
      </c>
      <c r="B12">
        <v>524</v>
      </c>
      <c r="C12">
        <v>8104</v>
      </c>
      <c r="D12">
        <v>9</v>
      </c>
    </row>
    <row r="13" spans="1:4" x14ac:dyDescent="0.25">
      <c r="A13" t="s">
        <v>901</v>
      </c>
      <c r="B13">
        <v>1261</v>
      </c>
      <c r="C13">
        <v>6669</v>
      </c>
      <c r="D13">
        <v>73</v>
      </c>
    </row>
    <row r="14" spans="1:4" x14ac:dyDescent="0.25">
      <c r="A14" t="s">
        <v>1090</v>
      </c>
      <c r="B14">
        <v>400</v>
      </c>
      <c r="C14" t="s">
        <v>1091</v>
      </c>
      <c r="D14">
        <v>0</v>
      </c>
    </row>
    <row r="15" spans="1:4" x14ac:dyDescent="0.25">
      <c r="A15" t="s">
        <v>882</v>
      </c>
      <c r="B15">
        <v>410</v>
      </c>
      <c r="C15" t="s">
        <v>883</v>
      </c>
      <c r="D15">
        <v>0</v>
      </c>
    </row>
    <row r="16" spans="1:4" x14ac:dyDescent="0.25">
      <c r="A16" t="s">
        <v>874</v>
      </c>
      <c r="B16">
        <v>1173</v>
      </c>
      <c r="C16">
        <v>4444</v>
      </c>
      <c r="D16">
        <v>60</v>
      </c>
    </row>
    <row r="17" spans="1:4" x14ac:dyDescent="0.25">
      <c r="A17" t="s">
        <v>1092</v>
      </c>
      <c r="B17">
        <v>400</v>
      </c>
      <c r="C17">
        <v>7576</v>
      </c>
      <c r="D17">
        <v>0</v>
      </c>
    </row>
    <row r="18" spans="1:4" x14ac:dyDescent="0.25">
      <c r="A18" t="s">
        <v>1093</v>
      </c>
      <c r="B18">
        <v>437</v>
      </c>
      <c r="C18">
        <v>3302</v>
      </c>
      <c r="D18">
        <v>1</v>
      </c>
    </row>
    <row r="19" spans="1:4" x14ac:dyDescent="0.25">
      <c r="A19" t="s">
        <v>1094</v>
      </c>
      <c r="B19">
        <v>400</v>
      </c>
      <c r="C19">
        <v>1276</v>
      </c>
      <c r="D19">
        <v>0</v>
      </c>
    </row>
    <row r="20" spans="1:4" x14ac:dyDescent="0.25">
      <c r="A20" t="s">
        <v>1095</v>
      </c>
      <c r="B20">
        <v>450</v>
      </c>
      <c r="C20">
        <v>7132</v>
      </c>
      <c r="D20">
        <v>2</v>
      </c>
    </row>
    <row r="21" spans="1:4" x14ac:dyDescent="0.25">
      <c r="A21" t="s">
        <v>1096</v>
      </c>
      <c r="B21">
        <v>400</v>
      </c>
      <c r="C21" t="s">
        <v>1097</v>
      </c>
      <c r="D21">
        <v>0</v>
      </c>
    </row>
    <row r="22" spans="1:4" x14ac:dyDescent="0.25">
      <c r="A22" t="s">
        <v>899</v>
      </c>
      <c r="B22">
        <v>506</v>
      </c>
      <c r="C22" t="s">
        <v>900</v>
      </c>
      <c r="D22">
        <v>4</v>
      </c>
    </row>
    <row r="23" spans="1:4" x14ac:dyDescent="0.25">
      <c r="A23" t="s">
        <v>1098</v>
      </c>
      <c r="B23">
        <v>416</v>
      </c>
      <c r="C23">
        <v>1904</v>
      </c>
      <c r="D23">
        <v>1</v>
      </c>
    </row>
    <row r="24" spans="1:4" x14ac:dyDescent="0.25">
      <c r="A24" t="s">
        <v>1015</v>
      </c>
      <c r="B24">
        <v>675</v>
      </c>
      <c r="C24">
        <v>4286</v>
      </c>
      <c r="D24">
        <v>10</v>
      </c>
    </row>
    <row r="25" spans="1:4" x14ac:dyDescent="0.25">
      <c r="A25" t="s">
        <v>1016</v>
      </c>
      <c r="B25">
        <v>400</v>
      </c>
      <c r="C25">
        <v>1234</v>
      </c>
      <c r="D25">
        <v>0</v>
      </c>
    </row>
    <row r="26" spans="1:4" x14ac:dyDescent="0.25">
      <c r="A26" t="s">
        <v>1099</v>
      </c>
      <c r="B26">
        <v>406</v>
      </c>
      <c r="C26">
        <v>1991</v>
      </c>
      <c r="D26">
        <v>0</v>
      </c>
    </row>
    <row r="27" spans="1:4" x14ac:dyDescent="0.25">
      <c r="A27" t="s">
        <v>1100</v>
      </c>
      <c r="B27">
        <v>402</v>
      </c>
      <c r="C27">
        <v>8232</v>
      </c>
      <c r="D27">
        <v>0</v>
      </c>
    </row>
    <row r="28" spans="1:4" x14ac:dyDescent="0.25">
      <c r="A28" t="s">
        <v>1069</v>
      </c>
      <c r="B28">
        <v>400</v>
      </c>
      <c r="C28">
        <v>6969</v>
      </c>
      <c r="D28">
        <v>0</v>
      </c>
    </row>
    <row r="29" spans="1:4" x14ac:dyDescent="0.25">
      <c r="A29" t="s">
        <v>1070</v>
      </c>
      <c r="B29">
        <v>400</v>
      </c>
      <c r="C29" t="s">
        <v>1071</v>
      </c>
      <c r="D29">
        <v>0</v>
      </c>
    </row>
    <row r="30" spans="1:4" x14ac:dyDescent="0.25">
      <c r="A30" t="s">
        <v>833</v>
      </c>
      <c r="B30">
        <v>791</v>
      </c>
      <c r="C30">
        <v>1959</v>
      </c>
      <c r="D30">
        <v>16</v>
      </c>
    </row>
    <row r="31" spans="1:4" x14ac:dyDescent="0.25">
      <c r="A31" t="s">
        <v>1101</v>
      </c>
      <c r="B31">
        <v>406</v>
      </c>
      <c r="C31">
        <v>5327</v>
      </c>
      <c r="D31">
        <v>0</v>
      </c>
    </row>
    <row r="32" spans="1:4" x14ac:dyDescent="0.25">
      <c r="A32" t="s">
        <v>1012</v>
      </c>
      <c r="B32">
        <v>400</v>
      </c>
      <c r="C32">
        <v>1901</v>
      </c>
      <c r="D32">
        <v>0</v>
      </c>
    </row>
    <row r="33" spans="1:4" x14ac:dyDescent="0.25">
      <c r="A33" t="s">
        <v>1102</v>
      </c>
      <c r="B33">
        <v>401</v>
      </c>
      <c r="C33">
        <v>5777</v>
      </c>
      <c r="D33">
        <v>0</v>
      </c>
    </row>
    <row r="34" spans="1:4" x14ac:dyDescent="0.25">
      <c r="A34" t="s">
        <v>1072</v>
      </c>
      <c r="B34">
        <v>416</v>
      </c>
      <c r="C34">
        <v>7963</v>
      </c>
      <c r="D34">
        <v>1</v>
      </c>
    </row>
    <row r="35" spans="1:4" x14ac:dyDescent="0.25">
      <c r="A35" t="s">
        <v>942</v>
      </c>
      <c r="B35">
        <v>474</v>
      </c>
      <c r="C35">
        <v>6354</v>
      </c>
      <c r="D35">
        <v>3</v>
      </c>
    </row>
    <row r="36" spans="1:4" x14ac:dyDescent="0.25">
      <c r="A36" t="s">
        <v>879</v>
      </c>
      <c r="B36">
        <v>410</v>
      </c>
      <c r="C36">
        <v>804</v>
      </c>
      <c r="D36">
        <v>0</v>
      </c>
    </row>
    <row r="37" spans="1:4" x14ac:dyDescent="0.25">
      <c r="A37" t="s">
        <v>1017</v>
      </c>
      <c r="B37">
        <v>697</v>
      </c>
      <c r="C37">
        <v>1234</v>
      </c>
      <c r="D37">
        <v>1</v>
      </c>
    </row>
    <row r="38" spans="1:4" x14ac:dyDescent="0.25">
      <c r="A38" t="s">
        <v>884</v>
      </c>
      <c r="B38">
        <v>425</v>
      </c>
      <c r="C38">
        <v>1145</v>
      </c>
      <c r="D38">
        <v>1</v>
      </c>
    </row>
    <row r="39" spans="1:4" x14ac:dyDescent="0.25">
      <c r="A39" t="s">
        <v>1103</v>
      </c>
      <c r="B39">
        <v>400</v>
      </c>
      <c r="C39">
        <v>0</v>
      </c>
      <c r="D39">
        <v>0</v>
      </c>
    </row>
    <row r="40" spans="1:4" x14ac:dyDescent="0.25">
      <c r="A40" t="s">
        <v>829</v>
      </c>
      <c r="B40">
        <v>2019</v>
      </c>
      <c r="C40">
        <v>1414</v>
      </c>
      <c r="D40">
        <v>0</v>
      </c>
    </row>
    <row r="41" spans="1:4" x14ac:dyDescent="0.25">
      <c r="A41" t="s">
        <v>1063</v>
      </c>
      <c r="B41">
        <v>487</v>
      </c>
      <c r="C41">
        <v>4276</v>
      </c>
      <c r="D41">
        <v>9</v>
      </c>
    </row>
    <row r="42" spans="1:4" x14ac:dyDescent="0.25">
      <c r="A42" t="s">
        <v>1104</v>
      </c>
      <c r="B42">
        <v>436</v>
      </c>
      <c r="C42" t="s">
        <v>1105</v>
      </c>
      <c r="D42">
        <v>1</v>
      </c>
    </row>
    <row r="43" spans="1:4" x14ac:dyDescent="0.25">
      <c r="A43" t="s">
        <v>897</v>
      </c>
      <c r="B43">
        <v>425</v>
      </c>
      <c r="C43">
        <v>7879</v>
      </c>
      <c r="D43">
        <v>1</v>
      </c>
    </row>
    <row r="44" spans="1:4" x14ac:dyDescent="0.25">
      <c r="A44" t="s">
        <v>1041</v>
      </c>
      <c r="B44">
        <v>403</v>
      </c>
      <c r="C44">
        <v>9905</v>
      </c>
      <c r="D44">
        <v>0</v>
      </c>
    </row>
    <row r="45" spans="1:4" x14ac:dyDescent="0.25">
      <c r="A45" t="s">
        <v>943</v>
      </c>
      <c r="B45">
        <v>420</v>
      </c>
      <c r="C45">
        <v>1234</v>
      </c>
      <c r="D45">
        <v>1</v>
      </c>
    </row>
    <row r="46" spans="1:4" x14ac:dyDescent="0.25">
      <c r="A46" t="s">
        <v>876</v>
      </c>
      <c r="B46">
        <v>412</v>
      </c>
      <c r="C46" t="s">
        <v>877</v>
      </c>
      <c r="D46">
        <v>0</v>
      </c>
    </row>
    <row r="47" spans="1:4" x14ac:dyDescent="0.25">
      <c r="A47" t="s">
        <v>1106</v>
      </c>
      <c r="B47">
        <v>400</v>
      </c>
      <c r="C47">
        <v>3172</v>
      </c>
      <c r="D47">
        <v>0</v>
      </c>
    </row>
    <row r="48" spans="1:4" x14ac:dyDescent="0.25">
      <c r="A48" t="s">
        <v>1000</v>
      </c>
      <c r="B48">
        <v>400</v>
      </c>
      <c r="C48">
        <v>3369</v>
      </c>
      <c r="D48">
        <v>0</v>
      </c>
    </row>
    <row r="49" spans="1:4" x14ac:dyDescent="0.25">
      <c r="A49" t="s">
        <v>1107</v>
      </c>
      <c r="B49">
        <v>400</v>
      </c>
      <c r="C49">
        <v>8606</v>
      </c>
      <c r="D49">
        <v>0</v>
      </c>
    </row>
    <row r="50" spans="1:4" x14ac:dyDescent="0.25">
      <c r="A50" t="s">
        <v>1108</v>
      </c>
      <c r="B50">
        <v>407</v>
      </c>
      <c r="C50" t="s">
        <v>1109</v>
      </c>
      <c r="D50">
        <v>0</v>
      </c>
    </row>
    <row r="51" spans="1:4" x14ac:dyDescent="0.25">
      <c r="A51" t="s">
        <v>902</v>
      </c>
      <c r="B51">
        <v>556</v>
      </c>
      <c r="C51">
        <v>666</v>
      </c>
      <c r="D51">
        <v>6</v>
      </c>
    </row>
    <row r="52" spans="1:4" x14ac:dyDescent="0.25">
      <c r="A52" t="s">
        <v>835</v>
      </c>
      <c r="B52">
        <v>415</v>
      </c>
      <c r="C52">
        <v>2222</v>
      </c>
      <c r="D52">
        <v>1</v>
      </c>
    </row>
    <row r="53" spans="1:4" x14ac:dyDescent="0.25">
      <c r="A53" t="s">
        <v>880</v>
      </c>
      <c r="B53">
        <v>1369</v>
      </c>
      <c r="C53">
        <v>2468</v>
      </c>
      <c r="D53">
        <v>8</v>
      </c>
    </row>
    <row r="54" spans="1:4" x14ac:dyDescent="0.25">
      <c r="A54" t="s">
        <v>885</v>
      </c>
      <c r="B54">
        <v>606</v>
      </c>
      <c r="C54">
        <v>1093</v>
      </c>
      <c r="D54">
        <v>8</v>
      </c>
    </row>
    <row r="55" spans="1:4" x14ac:dyDescent="0.25">
      <c r="A55" t="s">
        <v>1018</v>
      </c>
      <c r="B55">
        <v>467</v>
      </c>
      <c r="C55">
        <v>1234</v>
      </c>
      <c r="D55">
        <v>3</v>
      </c>
    </row>
    <row r="56" spans="1:4" x14ac:dyDescent="0.25">
      <c r="A56" t="s">
        <v>1110</v>
      </c>
      <c r="B56">
        <v>426</v>
      </c>
      <c r="C56">
        <v>1824</v>
      </c>
      <c r="D56">
        <v>1</v>
      </c>
    </row>
    <row r="57" spans="1:4" x14ac:dyDescent="0.25">
      <c r="A57" t="s">
        <v>1111</v>
      </c>
      <c r="B57">
        <v>400</v>
      </c>
      <c r="C57">
        <v>1234</v>
      </c>
      <c r="D57">
        <v>0</v>
      </c>
    </row>
    <row r="58" spans="1:4" x14ac:dyDescent="0.25">
      <c r="A58" t="s">
        <v>1112</v>
      </c>
      <c r="B58">
        <v>451</v>
      </c>
      <c r="C58">
        <v>3003</v>
      </c>
      <c r="D58">
        <v>2</v>
      </c>
    </row>
    <row r="59" spans="1:4" x14ac:dyDescent="0.25">
      <c r="A59" t="s">
        <v>1113</v>
      </c>
      <c r="B59">
        <v>408</v>
      </c>
      <c r="C59">
        <v>1793</v>
      </c>
      <c r="D59">
        <v>0</v>
      </c>
    </row>
    <row r="60" spans="1:4" x14ac:dyDescent="0.25">
      <c r="A60" t="s">
        <v>1114</v>
      </c>
      <c r="B60">
        <v>528</v>
      </c>
      <c r="C60">
        <v>1234</v>
      </c>
      <c r="D60">
        <v>14</v>
      </c>
    </row>
    <row r="61" spans="1:4" x14ac:dyDescent="0.25">
      <c r="A61" t="s">
        <v>771</v>
      </c>
      <c r="B61">
        <v>400</v>
      </c>
      <c r="C61">
        <v>0</v>
      </c>
      <c r="D61">
        <v>0</v>
      </c>
    </row>
    <row r="62" spans="1:4" x14ac:dyDescent="0.25">
      <c r="A62" t="s">
        <v>875</v>
      </c>
      <c r="B62">
        <v>444</v>
      </c>
      <c r="C62">
        <v>1505</v>
      </c>
      <c r="D62">
        <v>2</v>
      </c>
    </row>
    <row r="63" spans="1:4" x14ac:dyDescent="0.25">
      <c r="A63" t="s">
        <v>847</v>
      </c>
      <c r="B63">
        <v>574</v>
      </c>
      <c r="C63">
        <v>4286</v>
      </c>
      <c r="D63">
        <v>7</v>
      </c>
    </row>
    <row r="64" spans="1:4" x14ac:dyDescent="0.25">
      <c r="A64" t="s">
        <v>944</v>
      </c>
      <c r="B64">
        <v>425</v>
      </c>
      <c r="C64">
        <v>1234</v>
      </c>
      <c r="D64">
        <v>1</v>
      </c>
    </row>
    <row r="65" spans="1:4" x14ac:dyDescent="0.25">
      <c r="A65" t="s">
        <v>999</v>
      </c>
      <c r="B65">
        <v>400</v>
      </c>
      <c r="C65">
        <v>1234</v>
      </c>
      <c r="D65">
        <v>0</v>
      </c>
    </row>
    <row r="66" spans="1:4" x14ac:dyDescent="0.25">
      <c r="A66" t="s">
        <v>903</v>
      </c>
      <c r="B66">
        <v>400</v>
      </c>
      <c r="C66" t="s">
        <v>904</v>
      </c>
      <c r="D66">
        <v>0</v>
      </c>
    </row>
    <row r="67" spans="1:4" x14ac:dyDescent="0.25">
      <c r="A67" t="s">
        <v>1073</v>
      </c>
      <c r="B67">
        <v>400</v>
      </c>
      <c r="C67">
        <v>1210</v>
      </c>
      <c r="D67">
        <v>0</v>
      </c>
    </row>
    <row r="68" spans="1:4" x14ac:dyDescent="0.25">
      <c r="A68" t="s">
        <v>1115</v>
      </c>
      <c r="B68">
        <v>416</v>
      </c>
      <c r="C68">
        <v>2676</v>
      </c>
      <c r="D68">
        <v>1</v>
      </c>
    </row>
    <row r="69" spans="1:4" x14ac:dyDescent="0.25">
      <c r="A69" t="s">
        <v>898</v>
      </c>
      <c r="B69">
        <v>415</v>
      </c>
      <c r="C69">
        <v>3006</v>
      </c>
      <c r="D69">
        <v>1</v>
      </c>
    </row>
    <row r="70" spans="1:4" x14ac:dyDescent="0.25">
      <c r="A70" t="s">
        <v>881</v>
      </c>
      <c r="B70">
        <v>410</v>
      </c>
      <c r="C70">
        <v>3257</v>
      </c>
      <c r="D70">
        <v>0</v>
      </c>
    </row>
    <row r="71" spans="1:4" x14ac:dyDescent="0.25">
      <c r="A71" t="s">
        <v>1044</v>
      </c>
      <c r="B71">
        <v>2000</v>
      </c>
      <c r="C71">
        <v>2000</v>
      </c>
      <c r="D71">
        <v>64</v>
      </c>
    </row>
    <row r="72" spans="1:4" x14ac:dyDescent="0.25">
      <c r="A72" t="s">
        <v>830</v>
      </c>
      <c r="B72">
        <v>1696</v>
      </c>
      <c r="C72">
        <v>2808</v>
      </c>
      <c r="D72">
        <v>3</v>
      </c>
    </row>
    <row r="73" spans="1:4" x14ac:dyDescent="0.25">
      <c r="A73" t="s">
        <v>1116</v>
      </c>
      <c r="B73">
        <v>400</v>
      </c>
      <c r="C73">
        <v>6313</v>
      </c>
      <c r="D73">
        <v>0</v>
      </c>
    </row>
    <row r="74" spans="1:4" x14ac:dyDescent="0.25">
      <c r="A74" t="s">
        <v>1019</v>
      </c>
      <c r="B74">
        <v>403</v>
      </c>
      <c r="C74">
        <v>2205</v>
      </c>
      <c r="D74">
        <v>0</v>
      </c>
    </row>
    <row r="75" spans="1:4" x14ac:dyDescent="0.25">
      <c r="A75" t="s">
        <v>831</v>
      </c>
      <c r="B75">
        <v>1232</v>
      </c>
      <c r="C75">
        <v>6666</v>
      </c>
      <c r="D75">
        <v>82</v>
      </c>
    </row>
    <row r="76" spans="1:4" x14ac:dyDescent="0.25">
      <c r="A76" t="s">
        <v>945</v>
      </c>
      <c r="B76">
        <v>967</v>
      </c>
      <c r="C76">
        <v>2842</v>
      </c>
      <c r="D76">
        <v>5</v>
      </c>
    </row>
    <row r="77" spans="1:4" x14ac:dyDescent="0.25">
      <c r="A77" t="s">
        <v>1117</v>
      </c>
      <c r="B77">
        <v>422</v>
      </c>
      <c r="C77">
        <v>2323</v>
      </c>
      <c r="D77">
        <v>1</v>
      </c>
    </row>
    <row r="78" spans="1:4" x14ac:dyDescent="0.25">
      <c r="A78" t="s">
        <v>1074</v>
      </c>
      <c r="B78">
        <v>417</v>
      </c>
      <c r="C78" t="s">
        <v>1075</v>
      </c>
      <c r="D78">
        <v>1</v>
      </c>
    </row>
  </sheetData>
  <sortState ref="A2:C31">
    <sortCondition ref="A1"/>
  </sortState>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tabColor theme="2" tint="-0.749992370372631"/>
  </sheetPr>
  <dimension ref="C2:AA30"/>
  <sheetViews>
    <sheetView showGridLines="0" showRowColHeaders="0" zoomScaleNormal="100" workbookViewId="0">
      <selection activeCell="L21" sqref="L21:M21"/>
    </sheetView>
  </sheetViews>
  <sheetFormatPr defaultColWidth="9.140625" defaultRowHeight="14.25" x14ac:dyDescent="0.25"/>
  <cols>
    <col min="1" max="1" width="0.85546875" style="55" customWidth="1"/>
    <col min="2" max="2" width="5" style="55" customWidth="1"/>
    <col min="3" max="6" width="9.140625" style="55" hidden="1" customWidth="1"/>
    <col min="7" max="10" width="9.140625" style="55"/>
    <col min="11" max="11" width="6.7109375" style="55" customWidth="1"/>
    <col min="12" max="15" width="9.140625" style="55"/>
    <col min="16" max="16" width="6.7109375" style="55" customWidth="1"/>
    <col min="17" max="20" width="9.140625" style="55"/>
    <col min="21" max="22" width="6.7109375" style="55" customWidth="1"/>
    <col min="23" max="16384" width="9.140625" style="55"/>
  </cols>
  <sheetData>
    <row r="2" spans="6:27" x14ac:dyDescent="0.25">
      <c r="F2" s="250" t="s">
        <v>780</v>
      </c>
      <c r="G2" s="250"/>
      <c r="H2" s="250"/>
      <c r="I2" s="250"/>
      <c r="J2" s="250"/>
      <c r="K2" s="58"/>
      <c r="L2" s="250" t="s">
        <v>684</v>
      </c>
      <c r="M2" s="250"/>
      <c r="N2" s="250"/>
      <c r="O2" s="250"/>
      <c r="P2" s="58"/>
      <c r="Q2" s="250" t="s">
        <v>676</v>
      </c>
      <c r="R2" s="250"/>
      <c r="S2" s="250"/>
      <c r="T2" s="250"/>
      <c r="U2" s="58"/>
      <c r="V2" s="250" t="s">
        <v>593</v>
      </c>
      <c r="W2" s="250"/>
      <c r="X2" s="250"/>
      <c r="Y2" s="250"/>
      <c r="Z2" s="250"/>
      <c r="AA2" s="56"/>
    </row>
    <row r="3" spans="6:27" x14ac:dyDescent="0.25">
      <c r="V3" s="59"/>
    </row>
    <row r="4" spans="6:27" ht="15" customHeight="1" x14ac:dyDescent="0.25">
      <c r="G4" s="265"/>
      <c r="H4" s="266"/>
      <c r="I4" s="266"/>
      <c r="J4" s="267"/>
      <c r="K4" s="60"/>
      <c r="L4" s="264" t="s">
        <v>677</v>
      </c>
      <c r="M4" s="264"/>
      <c r="N4" s="264" t="s">
        <v>678</v>
      </c>
      <c r="O4" s="264"/>
      <c r="P4" s="60"/>
      <c r="Q4" s="264" t="s">
        <v>528</v>
      </c>
      <c r="R4" s="264"/>
      <c r="S4" s="264" t="s">
        <v>64</v>
      </c>
      <c r="T4" s="264"/>
      <c r="U4" s="60"/>
      <c r="V4" s="253" t="s">
        <v>564</v>
      </c>
      <c r="W4" s="253"/>
      <c r="X4" s="253" t="s">
        <v>563</v>
      </c>
      <c r="Y4" s="253"/>
      <c r="Z4" s="253"/>
      <c r="AA4" s="61"/>
    </row>
    <row r="5" spans="6:27" ht="15" customHeight="1" x14ac:dyDescent="0.25">
      <c r="G5" s="268"/>
      <c r="H5" s="269"/>
      <c r="I5" s="269"/>
      <c r="J5" s="270"/>
      <c r="K5" s="62"/>
      <c r="L5" s="248"/>
      <c r="M5" s="249"/>
      <c r="N5" s="246"/>
      <c r="O5" s="247"/>
      <c r="P5" s="62"/>
      <c r="Q5" s="261"/>
      <c r="R5" s="262"/>
      <c r="S5" s="254"/>
      <c r="T5" s="256"/>
      <c r="U5" s="62"/>
      <c r="V5" s="251"/>
      <c r="W5" s="252"/>
      <c r="X5" s="254"/>
      <c r="Y5" s="255"/>
      <c r="Z5" s="256"/>
    </row>
    <row r="6" spans="6:27" ht="15" customHeight="1" x14ac:dyDescent="0.25">
      <c r="F6" s="57"/>
      <c r="G6" s="268"/>
      <c r="H6" s="269"/>
      <c r="I6" s="269"/>
      <c r="J6" s="270"/>
      <c r="K6" s="62"/>
      <c r="L6" s="248"/>
      <c r="M6" s="249"/>
      <c r="N6" s="246"/>
      <c r="O6" s="247"/>
      <c r="P6" s="62"/>
      <c r="Q6" s="261"/>
      <c r="R6" s="262"/>
      <c r="S6" s="254"/>
      <c r="T6" s="256"/>
      <c r="U6" s="62"/>
      <c r="V6" s="251"/>
      <c r="W6" s="252"/>
      <c r="X6" s="254"/>
      <c r="Y6" s="255"/>
      <c r="Z6" s="256"/>
    </row>
    <row r="7" spans="6:27" ht="15" customHeight="1" x14ac:dyDescent="0.25">
      <c r="F7" s="57"/>
      <c r="G7" s="268"/>
      <c r="H7" s="269"/>
      <c r="I7" s="269"/>
      <c r="J7" s="270"/>
      <c r="K7" s="62"/>
      <c r="L7" s="248"/>
      <c r="M7" s="249"/>
      <c r="N7" s="246"/>
      <c r="O7" s="247"/>
      <c r="P7" s="62"/>
      <c r="Q7" s="261"/>
      <c r="R7" s="262"/>
      <c r="S7" s="254"/>
      <c r="T7" s="256"/>
      <c r="U7" s="62"/>
      <c r="V7" s="251"/>
      <c r="W7" s="252"/>
      <c r="X7" s="254"/>
      <c r="Y7" s="255"/>
      <c r="Z7" s="256"/>
    </row>
    <row r="8" spans="6:27" ht="15" customHeight="1" x14ac:dyDescent="0.25">
      <c r="F8" s="57"/>
      <c r="G8" s="268"/>
      <c r="H8" s="269"/>
      <c r="I8" s="269"/>
      <c r="J8" s="270"/>
      <c r="K8" s="62"/>
      <c r="L8" s="248"/>
      <c r="M8" s="249"/>
      <c r="N8" s="246"/>
      <c r="O8" s="247"/>
      <c r="P8" s="62"/>
      <c r="Q8" s="261"/>
      <c r="R8" s="262"/>
      <c r="S8" s="254"/>
      <c r="T8" s="256"/>
      <c r="U8" s="62"/>
      <c r="V8" s="251"/>
      <c r="W8" s="252"/>
      <c r="X8" s="254"/>
      <c r="Y8" s="255"/>
      <c r="Z8" s="256"/>
    </row>
    <row r="9" spans="6:27" ht="15" customHeight="1" x14ac:dyDescent="0.25">
      <c r="F9" s="57"/>
      <c r="G9" s="268"/>
      <c r="H9" s="269"/>
      <c r="I9" s="269"/>
      <c r="J9" s="270"/>
      <c r="K9" s="62"/>
      <c r="L9" s="248"/>
      <c r="M9" s="249"/>
      <c r="N9" s="246"/>
      <c r="O9" s="247"/>
      <c r="P9" s="62"/>
      <c r="Q9" s="261"/>
      <c r="R9" s="262"/>
      <c r="S9" s="254"/>
      <c r="T9" s="256"/>
      <c r="U9" s="62"/>
      <c r="V9" s="251"/>
      <c r="W9" s="252"/>
      <c r="X9" s="254"/>
      <c r="Y9" s="255"/>
      <c r="Z9" s="256"/>
    </row>
    <row r="10" spans="6:27" ht="15" customHeight="1" x14ac:dyDescent="0.25">
      <c r="F10" s="57"/>
      <c r="G10" s="268"/>
      <c r="H10" s="269"/>
      <c r="I10" s="269"/>
      <c r="J10" s="270"/>
      <c r="K10" s="62"/>
      <c r="L10" s="248"/>
      <c r="M10" s="249"/>
      <c r="N10" s="246"/>
      <c r="O10" s="247"/>
      <c r="P10" s="62"/>
      <c r="Q10" s="261"/>
      <c r="R10" s="262"/>
      <c r="S10" s="254"/>
      <c r="T10" s="256"/>
      <c r="U10" s="62"/>
      <c r="V10" s="251"/>
      <c r="W10" s="252"/>
      <c r="X10" s="254"/>
      <c r="Y10" s="255"/>
      <c r="Z10" s="256"/>
    </row>
    <row r="11" spans="6:27" ht="15" customHeight="1" x14ac:dyDescent="0.25">
      <c r="F11" s="57"/>
      <c r="G11" s="268"/>
      <c r="H11" s="269"/>
      <c r="I11" s="269"/>
      <c r="J11" s="270"/>
      <c r="K11" s="62"/>
      <c r="L11" s="248"/>
      <c r="M11" s="249"/>
      <c r="N11" s="246"/>
      <c r="O11" s="247"/>
      <c r="P11" s="62"/>
      <c r="Q11" s="261"/>
      <c r="R11" s="262"/>
      <c r="S11" s="254"/>
      <c r="T11" s="256"/>
      <c r="U11" s="62"/>
      <c r="V11" s="251"/>
      <c r="W11" s="252"/>
      <c r="X11" s="254"/>
      <c r="Y11" s="255"/>
      <c r="Z11" s="256"/>
    </row>
    <row r="12" spans="6:27" ht="15" customHeight="1" x14ac:dyDescent="0.25">
      <c r="F12" s="57"/>
      <c r="G12" s="268"/>
      <c r="H12" s="269"/>
      <c r="I12" s="269"/>
      <c r="J12" s="270"/>
      <c r="K12" s="62"/>
      <c r="L12" s="248"/>
      <c r="M12" s="249"/>
      <c r="N12" s="246"/>
      <c r="O12" s="247"/>
      <c r="P12" s="62"/>
      <c r="Q12" s="261"/>
      <c r="R12" s="262"/>
      <c r="S12" s="254"/>
      <c r="T12" s="256"/>
      <c r="U12" s="62"/>
      <c r="V12" s="251"/>
      <c r="W12" s="252"/>
      <c r="X12" s="254"/>
      <c r="Y12" s="255"/>
      <c r="Z12" s="256"/>
    </row>
    <row r="13" spans="6:27" ht="15" customHeight="1" x14ac:dyDescent="0.25">
      <c r="F13" s="57"/>
      <c r="G13" s="268"/>
      <c r="H13" s="269"/>
      <c r="I13" s="269"/>
      <c r="J13" s="270"/>
      <c r="K13" s="62"/>
      <c r="L13" s="248"/>
      <c r="M13" s="249"/>
      <c r="N13" s="246"/>
      <c r="O13" s="247"/>
      <c r="P13" s="62"/>
      <c r="Q13" s="261"/>
      <c r="R13" s="262"/>
      <c r="S13" s="254"/>
      <c r="T13" s="256"/>
      <c r="U13" s="62"/>
      <c r="V13" s="251"/>
      <c r="W13" s="252"/>
      <c r="X13" s="254"/>
      <c r="Y13" s="255"/>
      <c r="Z13" s="256"/>
    </row>
    <row r="14" spans="6:27" ht="15" customHeight="1" x14ac:dyDescent="0.25">
      <c r="F14" s="57"/>
      <c r="G14" s="268"/>
      <c r="H14" s="269"/>
      <c r="I14" s="269"/>
      <c r="J14" s="270"/>
      <c r="K14" s="62"/>
      <c r="L14" s="248"/>
      <c r="M14" s="249"/>
      <c r="N14" s="246"/>
      <c r="O14" s="247"/>
      <c r="P14" s="62"/>
      <c r="Q14" s="261"/>
      <c r="R14" s="262"/>
      <c r="S14" s="254"/>
      <c r="T14" s="256"/>
      <c r="U14" s="62"/>
      <c r="V14" s="251"/>
      <c r="W14" s="252"/>
      <c r="X14" s="254"/>
      <c r="Y14" s="255"/>
      <c r="Z14" s="256"/>
    </row>
    <row r="15" spans="6:27" ht="15" customHeight="1" x14ac:dyDescent="0.25">
      <c r="G15" s="268"/>
      <c r="H15" s="269"/>
      <c r="I15" s="269"/>
      <c r="J15" s="270"/>
      <c r="K15" s="62"/>
      <c r="L15" s="248"/>
      <c r="M15" s="249"/>
      <c r="N15" s="246"/>
      <c r="O15" s="247"/>
      <c r="P15" s="62"/>
      <c r="Q15" s="261"/>
      <c r="R15" s="262"/>
      <c r="S15" s="254"/>
      <c r="T15" s="256"/>
      <c r="U15" s="62"/>
      <c r="V15" s="251"/>
      <c r="W15" s="252"/>
      <c r="X15" s="254"/>
      <c r="Y15" s="255"/>
      <c r="Z15" s="256"/>
    </row>
    <row r="16" spans="6:27" ht="15" customHeight="1" x14ac:dyDescent="0.25">
      <c r="G16" s="268"/>
      <c r="H16" s="269"/>
      <c r="I16" s="269"/>
      <c r="J16" s="270"/>
      <c r="L16" s="248"/>
      <c r="M16" s="249"/>
      <c r="N16" s="246"/>
      <c r="O16" s="247"/>
      <c r="V16" s="251"/>
      <c r="W16" s="252"/>
      <c r="X16" s="254"/>
      <c r="Y16" s="255"/>
      <c r="Z16" s="256"/>
    </row>
    <row r="17" spans="6:26" ht="15" customHeight="1" x14ac:dyDescent="0.25">
      <c r="G17" s="268"/>
      <c r="H17" s="269"/>
      <c r="I17" s="269"/>
      <c r="J17" s="270"/>
      <c r="L17" s="248"/>
      <c r="M17" s="249"/>
      <c r="N17" s="246"/>
      <c r="O17" s="247"/>
      <c r="Q17" s="250" t="s">
        <v>592</v>
      </c>
      <c r="R17" s="250"/>
      <c r="S17" s="250"/>
      <c r="T17" s="250"/>
      <c r="V17" s="251"/>
      <c r="W17" s="252"/>
      <c r="X17" s="254"/>
      <c r="Y17" s="255"/>
      <c r="Z17" s="256"/>
    </row>
    <row r="18" spans="6:26" ht="15" customHeight="1" x14ac:dyDescent="0.25">
      <c r="F18" s="57"/>
      <c r="G18" s="268"/>
      <c r="H18" s="269"/>
      <c r="I18" s="269"/>
      <c r="J18" s="270"/>
      <c r="L18" s="248"/>
      <c r="M18" s="249"/>
      <c r="N18" s="246"/>
      <c r="O18" s="247"/>
      <c r="Q18" s="63"/>
      <c r="R18" s="63"/>
      <c r="V18" s="251"/>
      <c r="W18" s="252"/>
      <c r="X18" s="254"/>
      <c r="Y18" s="255"/>
      <c r="Z18" s="256"/>
    </row>
    <row r="19" spans="6:26" ht="15" customHeight="1" x14ac:dyDescent="0.25">
      <c r="F19" s="57"/>
      <c r="G19" s="268"/>
      <c r="H19" s="269"/>
      <c r="I19" s="269"/>
      <c r="J19" s="270"/>
      <c r="L19" s="248"/>
      <c r="M19" s="249"/>
      <c r="N19" s="246"/>
      <c r="O19" s="247"/>
      <c r="Q19" s="253" t="s">
        <v>558</v>
      </c>
      <c r="R19" s="253"/>
      <c r="S19" s="263" t="s">
        <v>679</v>
      </c>
      <c r="T19" s="263"/>
      <c r="V19" s="251"/>
      <c r="W19" s="252"/>
      <c r="X19" s="254"/>
      <c r="Y19" s="255"/>
      <c r="Z19" s="256"/>
    </row>
    <row r="20" spans="6:26" ht="15" customHeight="1" x14ac:dyDescent="0.25">
      <c r="G20" s="268"/>
      <c r="H20" s="269"/>
      <c r="I20" s="269"/>
      <c r="J20" s="270"/>
      <c r="L20" s="248"/>
      <c r="M20" s="249"/>
      <c r="N20" s="246"/>
      <c r="O20" s="247"/>
      <c r="Q20" s="259"/>
      <c r="R20" s="260"/>
      <c r="S20" s="257"/>
      <c r="T20" s="258"/>
      <c r="V20" s="251"/>
      <c r="W20" s="252"/>
      <c r="X20" s="254"/>
      <c r="Y20" s="255"/>
      <c r="Z20" s="256"/>
    </row>
    <row r="21" spans="6:26" ht="15" customHeight="1" x14ac:dyDescent="0.25">
      <c r="G21" s="268"/>
      <c r="H21" s="269"/>
      <c r="I21" s="269"/>
      <c r="J21" s="270"/>
      <c r="L21" s="248"/>
      <c r="M21" s="249"/>
      <c r="N21" s="246"/>
      <c r="O21" s="247"/>
      <c r="Q21" s="259"/>
      <c r="R21" s="260"/>
      <c r="S21" s="257"/>
      <c r="T21" s="258"/>
      <c r="V21" s="251"/>
      <c r="W21" s="252"/>
      <c r="X21" s="254"/>
      <c r="Y21" s="255"/>
      <c r="Z21" s="256"/>
    </row>
    <row r="22" spans="6:26" ht="15" customHeight="1" x14ac:dyDescent="0.25">
      <c r="G22" s="268"/>
      <c r="H22" s="269"/>
      <c r="I22" s="269"/>
      <c r="J22" s="270"/>
      <c r="L22" s="248"/>
      <c r="M22" s="249"/>
      <c r="N22" s="246"/>
      <c r="O22" s="247"/>
      <c r="Q22" s="259"/>
      <c r="R22" s="260"/>
      <c r="S22" s="257"/>
      <c r="T22" s="258"/>
      <c r="V22" s="251"/>
      <c r="W22" s="252"/>
      <c r="X22" s="254"/>
      <c r="Y22" s="255"/>
      <c r="Z22" s="256"/>
    </row>
    <row r="23" spans="6:26" ht="15" customHeight="1" x14ac:dyDescent="0.25">
      <c r="G23" s="268"/>
      <c r="H23" s="269"/>
      <c r="I23" s="269"/>
      <c r="J23" s="270"/>
      <c r="L23" s="248"/>
      <c r="M23" s="249"/>
      <c r="N23" s="246"/>
      <c r="O23" s="247"/>
      <c r="Q23" s="259"/>
      <c r="R23" s="260"/>
      <c r="S23" s="257"/>
      <c r="T23" s="258"/>
      <c r="V23" s="251"/>
      <c r="W23" s="252"/>
      <c r="X23" s="254"/>
      <c r="Y23" s="255"/>
      <c r="Z23" s="256"/>
    </row>
    <row r="24" spans="6:26" ht="15" customHeight="1" x14ac:dyDescent="0.25">
      <c r="G24" s="268"/>
      <c r="H24" s="269"/>
      <c r="I24" s="269"/>
      <c r="J24" s="270"/>
      <c r="L24" s="248"/>
      <c r="M24" s="249"/>
      <c r="N24" s="246"/>
      <c r="O24" s="247"/>
      <c r="Q24" s="259"/>
      <c r="R24" s="260"/>
      <c r="S24" s="257"/>
      <c r="T24" s="258"/>
      <c r="V24" s="251"/>
      <c r="W24" s="252"/>
      <c r="X24" s="254"/>
      <c r="Y24" s="255"/>
      <c r="Z24" s="256"/>
    </row>
    <row r="25" spans="6:26" ht="15" customHeight="1" x14ac:dyDescent="0.25">
      <c r="G25" s="268"/>
      <c r="H25" s="269"/>
      <c r="I25" s="269"/>
      <c r="J25" s="270"/>
      <c r="L25" s="248"/>
      <c r="M25" s="249"/>
      <c r="N25" s="246"/>
      <c r="O25" s="247"/>
      <c r="Q25" s="259"/>
      <c r="R25" s="260"/>
      <c r="S25" s="257"/>
      <c r="T25" s="258"/>
      <c r="V25" s="251"/>
      <c r="W25" s="252"/>
      <c r="X25" s="254"/>
      <c r="Y25" s="255"/>
      <c r="Z25" s="256"/>
    </row>
    <row r="26" spans="6:26" ht="15" customHeight="1" x14ac:dyDescent="0.25">
      <c r="G26" s="268"/>
      <c r="H26" s="269"/>
      <c r="I26" s="269"/>
      <c r="J26" s="270"/>
      <c r="L26" s="248"/>
      <c r="M26" s="249"/>
      <c r="N26" s="246"/>
      <c r="O26" s="247"/>
      <c r="Q26" s="259"/>
      <c r="R26" s="260"/>
      <c r="S26" s="257"/>
      <c r="T26" s="258"/>
      <c r="V26" s="251"/>
      <c r="W26" s="252"/>
      <c r="X26" s="254"/>
      <c r="Y26" s="255"/>
      <c r="Z26" s="256"/>
    </row>
    <row r="27" spans="6:26" ht="15" customHeight="1" x14ac:dyDescent="0.25">
      <c r="G27" s="268"/>
      <c r="H27" s="269"/>
      <c r="I27" s="269"/>
      <c r="J27" s="270"/>
      <c r="L27" s="248"/>
      <c r="M27" s="249"/>
      <c r="N27" s="246"/>
      <c r="O27" s="247"/>
      <c r="Q27" s="259"/>
      <c r="R27" s="260"/>
      <c r="S27" s="257"/>
      <c r="T27" s="258"/>
      <c r="V27" s="251"/>
      <c r="W27" s="252"/>
      <c r="X27" s="254"/>
      <c r="Y27" s="255"/>
      <c r="Z27" s="256"/>
    </row>
    <row r="28" spans="6:26" ht="15" customHeight="1" x14ac:dyDescent="0.25">
      <c r="G28" s="268"/>
      <c r="H28" s="269"/>
      <c r="I28" s="269"/>
      <c r="J28" s="270"/>
      <c r="L28" s="248"/>
      <c r="M28" s="249"/>
      <c r="N28" s="246"/>
      <c r="O28" s="247"/>
      <c r="Q28" s="259"/>
      <c r="R28" s="260"/>
      <c r="S28" s="257"/>
      <c r="T28" s="258"/>
      <c r="V28" s="251"/>
      <c r="W28" s="252"/>
      <c r="X28" s="254"/>
      <c r="Y28" s="255"/>
      <c r="Z28" s="256"/>
    </row>
    <row r="29" spans="6:26" ht="15" customHeight="1" x14ac:dyDescent="0.25">
      <c r="G29" s="268"/>
      <c r="H29" s="269"/>
      <c r="I29" s="269"/>
      <c r="J29" s="270"/>
      <c r="L29" s="248"/>
      <c r="M29" s="249"/>
      <c r="N29" s="246"/>
      <c r="O29" s="247"/>
      <c r="Q29" s="259"/>
      <c r="R29" s="260"/>
      <c r="S29" s="257"/>
      <c r="T29" s="258"/>
      <c r="V29" s="251"/>
      <c r="W29" s="252"/>
      <c r="X29" s="254"/>
      <c r="Y29" s="255"/>
      <c r="Z29" s="256"/>
    </row>
    <row r="30" spans="6:26" ht="15" customHeight="1" x14ac:dyDescent="0.25">
      <c r="G30" s="271"/>
      <c r="H30" s="272"/>
      <c r="I30" s="272"/>
      <c r="J30" s="273"/>
      <c r="L30" s="248"/>
      <c r="M30" s="249"/>
      <c r="N30" s="246"/>
      <c r="O30" s="247"/>
      <c r="Q30" s="259"/>
      <c r="R30" s="260"/>
      <c r="S30" s="257"/>
      <c r="T30" s="258"/>
      <c r="V30" s="251"/>
      <c r="W30" s="252"/>
      <c r="X30" s="254"/>
      <c r="Y30" s="255"/>
      <c r="Z30" s="256"/>
    </row>
  </sheetData>
  <sheetProtection algorithmName="SHA-512" hashValue="9vzz5JVm7rj0smQ5Xva8Yg71J9dBkIMUZibpSLcmrXGYhEdfSLO66OdysxxFgpoR7DoMrBjvYox3UpSdDFNMxg==" saltValue="ziW0teV5KiQMbm9LvHXnkg==" spinCount="100000" sheet="1" selectLockedCells="1" autoFilter="0"/>
  <protectedRanges>
    <protectedRange algorithmName="SHA-512" hashValue="BwfBT1advWdZYKWnr3y6o5s14McvzOs041BO3N+Oa+V5hUJ7lqqZI/ii+hNSVVFQ4AQ10PEk7tiQJvyNMvqzHQ==" saltValue="YtNcLYhBzDnMbUyKKHmWKQ==" spinCount="100000" sqref="B1:Z30" name="Intervalo1"/>
  </protectedRanges>
  <customSheetViews>
    <customSheetView guid="{5F7E442B-9104-458B-9892-4194DBB06FCD}" hiddenColumns="1">
      <selection activeCell="S22" sqref="S22:T22"/>
      <pageMargins left="0.511811024" right="0.511811024" top="0.78740157499999996" bottom="0.78740157499999996" header="0.31496062000000002" footer="0.31496062000000002"/>
      <pageSetup paperSize="9" orientation="portrait" horizontalDpi="300" verticalDpi="300" r:id="rId1"/>
    </customSheetView>
  </customSheetViews>
  <mergeCells count="162">
    <mergeCell ref="G4:J30"/>
    <mergeCell ref="F2:J2"/>
    <mergeCell ref="L30:M30"/>
    <mergeCell ref="N30:O30"/>
    <mergeCell ref="N5:O5"/>
    <mergeCell ref="N6:O6"/>
    <mergeCell ref="N7:O7"/>
    <mergeCell ref="N8:O8"/>
    <mergeCell ref="N9:O9"/>
    <mergeCell ref="N4:O4"/>
    <mergeCell ref="L2:O2"/>
    <mergeCell ref="L7:M7"/>
    <mergeCell ref="L8:M8"/>
    <mergeCell ref="L9:M9"/>
    <mergeCell ref="L4:M4"/>
    <mergeCell ref="L5:M5"/>
    <mergeCell ref="L6:M6"/>
    <mergeCell ref="L25:M25"/>
    <mergeCell ref="N25:O25"/>
    <mergeCell ref="L26:M26"/>
    <mergeCell ref="N26:O26"/>
    <mergeCell ref="L27:M27"/>
    <mergeCell ref="N20:O20"/>
    <mergeCell ref="L13:M13"/>
    <mergeCell ref="Q4:R4"/>
    <mergeCell ref="Q2:T2"/>
    <mergeCell ref="S4:T4"/>
    <mergeCell ref="S5:T5"/>
    <mergeCell ref="S6:T6"/>
    <mergeCell ref="S7:T7"/>
    <mergeCell ref="Q10:R10"/>
    <mergeCell ref="Q11:R11"/>
    <mergeCell ref="Q12:R12"/>
    <mergeCell ref="Q5:R5"/>
    <mergeCell ref="Q6:R6"/>
    <mergeCell ref="Q7:R7"/>
    <mergeCell ref="Q8:R8"/>
    <mergeCell ref="Q9:R9"/>
    <mergeCell ref="S8:T8"/>
    <mergeCell ref="S9:T9"/>
    <mergeCell ref="S10:T10"/>
    <mergeCell ref="S11:T11"/>
    <mergeCell ref="S12:T12"/>
    <mergeCell ref="Q13:R13"/>
    <mergeCell ref="S13:T13"/>
    <mergeCell ref="Q14:R14"/>
    <mergeCell ref="S14:T14"/>
    <mergeCell ref="Q15:R15"/>
    <mergeCell ref="L20:M20"/>
    <mergeCell ref="L15:M15"/>
    <mergeCell ref="S19:T19"/>
    <mergeCell ref="L18:M18"/>
    <mergeCell ref="N18:O18"/>
    <mergeCell ref="L19:M19"/>
    <mergeCell ref="N19:O19"/>
    <mergeCell ref="L14:M14"/>
    <mergeCell ref="S15:T15"/>
    <mergeCell ref="Q17:T17"/>
    <mergeCell ref="Q19:R19"/>
    <mergeCell ref="S30:T30"/>
    <mergeCell ref="Q29:R29"/>
    <mergeCell ref="Q30:R30"/>
    <mergeCell ref="Q20:R20"/>
    <mergeCell ref="S20:T20"/>
    <mergeCell ref="S21:T21"/>
    <mergeCell ref="S22:T22"/>
    <mergeCell ref="S23:T23"/>
    <mergeCell ref="S24:T24"/>
    <mergeCell ref="S25:T25"/>
    <mergeCell ref="S26:T26"/>
    <mergeCell ref="Q23:R23"/>
    <mergeCell ref="Q24:R24"/>
    <mergeCell ref="Q25:R25"/>
    <mergeCell ref="Q26:R26"/>
    <mergeCell ref="Q27:R27"/>
    <mergeCell ref="Q28:R28"/>
    <mergeCell ref="Q21:R21"/>
    <mergeCell ref="Q22:R22"/>
    <mergeCell ref="X12:Z12"/>
    <mergeCell ref="X13:Z13"/>
    <mergeCell ref="X14:Z14"/>
    <mergeCell ref="X15:Z15"/>
    <mergeCell ref="X16:Z16"/>
    <mergeCell ref="X17:Z17"/>
    <mergeCell ref="X18:Z18"/>
    <mergeCell ref="X19:Z19"/>
    <mergeCell ref="X20:Z20"/>
    <mergeCell ref="V30:W30"/>
    <mergeCell ref="V19:W19"/>
    <mergeCell ref="V21:W21"/>
    <mergeCell ref="V22:W22"/>
    <mergeCell ref="V23:W23"/>
    <mergeCell ref="L21:M21"/>
    <mergeCell ref="N21:O21"/>
    <mergeCell ref="V24:W24"/>
    <mergeCell ref="V25:W25"/>
    <mergeCell ref="V26:W26"/>
    <mergeCell ref="V27:W27"/>
    <mergeCell ref="V28:W28"/>
    <mergeCell ref="V29:W29"/>
    <mergeCell ref="V20:W20"/>
    <mergeCell ref="S27:T27"/>
    <mergeCell ref="S28:T28"/>
    <mergeCell ref="S29:T29"/>
    <mergeCell ref="L28:M28"/>
    <mergeCell ref="N28:O28"/>
    <mergeCell ref="L29:M29"/>
    <mergeCell ref="N29:O29"/>
    <mergeCell ref="L24:M24"/>
    <mergeCell ref="N24:O24"/>
    <mergeCell ref="N22:O22"/>
    <mergeCell ref="X30:Z30"/>
    <mergeCell ref="X21:Z21"/>
    <mergeCell ref="X22:Z22"/>
    <mergeCell ref="X23:Z23"/>
    <mergeCell ref="X24:Z24"/>
    <mergeCell ref="X25:Z25"/>
    <mergeCell ref="X26:Z26"/>
    <mergeCell ref="X27:Z27"/>
    <mergeCell ref="X28:Z28"/>
    <mergeCell ref="X29:Z29"/>
    <mergeCell ref="V2:Z2"/>
    <mergeCell ref="V11:W11"/>
    <mergeCell ref="V12:W12"/>
    <mergeCell ref="V13:W13"/>
    <mergeCell ref="V14:W14"/>
    <mergeCell ref="V15:W15"/>
    <mergeCell ref="V16:W16"/>
    <mergeCell ref="V17:W17"/>
    <mergeCell ref="V18:W18"/>
    <mergeCell ref="X4:Z4"/>
    <mergeCell ref="X5:Z5"/>
    <mergeCell ref="X6:Z6"/>
    <mergeCell ref="X7:Z7"/>
    <mergeCell ref="X8:Z8"/>
    <mergeCell ref="X9:Z9"/>
    <mergeCell ref="X10:Z10"/>
    <mergeCell ref="X11:Z11"/>
    <mergeCell ref="V5:W5"/>
    <mergeCell ref="V4:W4"/>
    <mergeCell ref="V6:W6"/>
    <mergeCell ref="V7:W7"/>
    <mergeCell ref="V8:W8"/>
    <mergeCell ref="V9:W9"/>
    <mergeCell ref="V10:W10"/>
    <mergeCell ref="N23:O23"/>
    <mergeCell ref="L22:M22"/>
    <mergeCell ref="L23:M23"/>
    <mergeCell ref="N27:O27"/>
    <mergeCell ref="L10:M10"/>
    <mergeCell ref="N10:O10"/>
    <mergeCell ref="L11:M11"/>
    <mergeCell ref="N11:O11"/>
    <mergeCell ref="L12:M12"/>
    <mergeCell ref="N12:O12"/>
    <mergeCell ref="L16:M16"/>
    <mergeCell ref="N16:O16"/>
    <mergeCell ref="L17:M17"/>
    <mergeCell ref="N17:O17"/>
    <mergeCell ref="N14:O14"/>
    <mergeCell ref="N13:O13"/>
    <mergeCell ref="N15:O15"/>
  </mergeCells>
  <dataValidations count="2">
    <dataValidation type="list" allowBlank="1" showInputMessage="1" showErrorMessage="1" sqref="Q20:Q30 R21:R30" xr:uid="{00000000-0002-0000-0100-000000000000}">
      <formula1>divisões</formula1>
    </dataValidation>
    <dataValidation type="list" allowBlank="1" showInputMessage="1" showErrorMessage="1" sqref="Q5:R15" xr:uid="{00000000-0002-0000-0100-000001000000}">
      <formula1>Parentesco</formula1>
    </dataValidation>
  </dataValidations>
  <pageMargins left="0.511811024" right="0.511811024" top="0.78740157499999996" bottom="0.78740157499999996" header="0.31496062000000002" footer="0.31496062000000002"/>
  <pageSetup paperSize="9" orientation="portrait" horizontalDpi="300" verticalDpi="300"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Database!$C$37:$C$42</xm:f>
          </x14:formula1>
          <xm:sqref>S20:T30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tabColor theme="1" tint="0.14999847407452621"/>
  </sheetPr>
  <dimension ref="A1:AE44"/>
  <sheetViews>
    <sheetView showGridLines="0" zoomScaleNormal="100" zoomScalePageLayoutView="55" workbookViewId="0">
      <selection activeCell="P9" sqref="P9:Q9"/>
    </sheetView>
  </sheetViews>
  <sheetFormatPr defaultColWidth="9.140625" defaultRowHeight="14.25" x14ac:dyDescent="0.25"/>
  <cols>
    <col min="1" max="1" width="10" style="74" customWidth="1"/>
    <col min="2" max="2" width="9.140625" style="74" customWidth="1"/>
    <col min="3" max="3" width="9.140625" style="74"/>
    <col min="4" max="5" width="9.140625" style="74" customWidth="1"/>
    <col min="6" max="6" width="10.28515625" style="74" customWidth="1"/>
    <col min="7" max="8" width="9.140625" style="74"/>
    <col min="9" max="9" width="9.140625" style="114"/>
    <col min="10" max="12" width="9.140625" style="74"/>
    <col min="13" max="13" width="7.140625" style="74" customWidth="1"/>
    <col min="14" max="14" width="11.5703125" style="74" customWidth="1"/>
    <col min="15" max="16" width="9.140625" style="74"/>
    <col min="17" max="17" width="9.42578125" style="74" bestFit="1" customWidth="1"/>
    <col min="18" max="19" width="9.140625" style="74" customWidth="1"/>
    <col min="20" max="20" width="12.28515625" style="74" bestFit="1" customWidth="1"/>
    <col min="21" max="23" width="9.140625" style="74" customWidth="1"/>
    <col min="24" max="16384" width="9.140625" style="74"/>
  </cols>
  <sheetData>
    <row r="1" spans="1:31" x14ac:dyDescent="0.25">
      <c r="I1" s="106"/>
      <c r="J1" s="73" t="s">
        <v>1025</v>
      </c>
      <c r="K1" s="73" t="s">
        <v>868</v>
      </c>
      <c r="L1" s="73" t="s">
        <v>1042</v>
      </c>
    </row>
    <row r="2" spans="1:31" ht="18.75" customHeight="1" x14ac:dyDescent="0.25">
      <c r="B2" s="274" t="s">
        <v>1064</v>
      </c>
      <c r="C2" s="274"/>
      <c r="D2" s="274"/>
      <c r="E2" s="274"/>
      <c r="F2" s="220"/>
      <c r="G2" s="73" t="str">
        <f>VLOOKUP(E7,postoebônus,3)</f>
        <v>REI+1</v>
      </c>
      <c r="H2" s="73">
        <f>VLOOKUP(E7,postoebônus,4)</f>
        <v>0</v>
      </c>
      <c r="I2" s="210"/>
      <c r="J2" s="235">
        <f>VLOOKUP(P9,multiplicadores,2,0)</f>
        <v>0.5</v>
      </c>
      <c r="K2" s="235">
        <f>VLOOKUP(P9,multiplicadores,3,0)</f>
        <v>1.3</v>
      </c>
      <c r="L2" s="235">
        <f>VLOOKUP(P9,multiplicadores,4,0)</f>
        <v>0.3</v>
      </c>
      <c r="P2" s="215"/>
      <c r="Q2" s="215"/>
      <c r="R2" s="220"/>
      <c r="S2" s="220"/>
      <c r="T2" s="220"/>
      <c r="U2" s="220"/>
      <c r="V2" s="220"/>
      <c r="W2" s="220"/>
      <c r="X2" s="220"/>
      <c r="Y2" s="220"/>
      <c r="Z2" s="220"/>
      <c r="AA2" s="220"/>
      <c r="AB2" s="220"/>
      <c r="AC2" s="220"/>
      <c r="AD2" s="220"/>
      <c r="AE2" s="220"/>
    </row>
    <row r="3" spans="1:31" ht="14.25" customHeight="1" x14ac:dyDescent="0.25">
      <c r="C3" s="142"/>
      <c r="D3" s="107"/>
      <c r="E3" s="107"/>
      <c r="G3" s="73" t="str">
        <f>IF(F4="","",VLOOKUP(F4,Database!M10:N11,2,0))</f>
        <v/>
      </c>
      <c r="H3" s="170" t="s">
        <v>31</v>
      </c>
      <c r="I3" s="210"/>
      <c r="M3" s="215"/>
      <c r="N3" s="213" t="s">
        <v>48</v>
      </c>
      <c r="O3" s="215"/>
      <c r="P3" s="215"/>
      <c r="Q3" s="215"/>
      <c r="R3" s="73">
        <f>Especificações!G7</f>
        <v>225</v>
      </c>
      <c r="S3" s="73">
        <f>Especificações!G6</f>
        <v>15</v>
      </c>
      <c r="T3" s="73">
        <f ca="1">(S3*(N6+O6))+((C13+D13)*L7)+((B22+C22)*1.1*(L7/1.5))</f>
        <v>255</v>
      </c>
      <c r="U3" s="220"/>
      <c r="V3" s="220"/>
      <c r="W3" s="220"/>
      <c r="X3" s="220"/>
      <c r="Y3" s="220"/>
      <c r="Z3" s="220"/>
      <c r="AA3" s="220"/>
      <c r="AB3" s="220"/>
      <c r="AC3" s="220"/>
      <c r="AD3" s="220"/>
      <c r="AE3" s="220"/>
    </row>
    <row r="4" spans="1:31" ht="14.25" customHeight="1" x14ac:dyDescent="0.25">
      <c r="A4" s="108" t="s">
        <v>15</v>
      </c>
      <c r="B4" s="278" t="s">
        <v>1044</v>
      </c>
      <c r="C4" s="278"/>
      <c r="E4" s="143" t="s">
        <v>762</v>
      </c>
      <c r="F4" s="175"/>
      <c r="G4" s="73" t="str">
        <f>VLOOKUP(E5,aptbonus,2)</f>
        <v>REF+1</v>
      </c>
      <c r="H4" s="108" t="s">
        <v>45</v>
      </c>
      <c r="I4" s="179">
        <f ca="1">(((C17+D17)*(L7*70))+((C16+D16)*(L7*40))+((C13+D13)*(L7*10))+(N6+O6)*(L7*20))*1.7+(((C17+D17)*(185))+((C16+D16)*(100))+((C13+D13)*(25))+(N6+O6)*(90))*J2</f>
        <v>18288.611111111109</v>
      </c>
      <c r="M4" s="215"/>
      <c r="O4" s="215"/>
      <c r="P4" s="215"/>
      <c r="Q4" s="215"/>
      <c r="R4" s="109">
        <f>Especificações!G15</f>
        <v>0</v>
      </c>
      <c r="S4" s="109">
        <f>Especificações!N15</f>
        <v>0</v>
      </c>
      <c r="T4" s="109">
        <f>Personalização!F8</f>
        <v>0</v>
      </c>
      <c r="U4" s="220"/>
      <c r="V4" s="220"/>
      <c r="W4" s="220"/>
      <c r="X4" s="220"/>
      <c r="Y4" s="220"/>
      <c r="Z4" s="220"/>
      <c r="AA4" s="220"/>
      <c r="AB4" s="220"/>
      <c r="AC4" s="220"/>
      <c r="AD4" s="220"/>
      <c r="AE4" s="220"/>
    </row>
    <row r="5" spans="1:31" ht="15" customHeight="1" x14ac:dyDescent="0.25">
      <c r="A5" s="108" t="s">
        <v>16</v>
      </c>
      <c r="B5" s="279" t="s">
        <v>179</v>
      </c>
      <c r="C5" s="279"/>
      <c r="D5" s="108" t="s">
        <v>470</v>
      </c>
      <c r="E5" s="279" t="s">
        <v>471</v>
      </c>
      <c r="F5" s="279"/>
      <c r="G5" s="73" t="str">
        <f>VLOOKUP(B6,classesebônus,2)</f>
        <v>INT+1</v>
      </c>
      <c r="H5" s="108" t="s">
        <v>46</v>
      </c>
      <c r="I5" s="151">
        <f ca="1">(((N6+O6)*(N6+O6))*4)+((C14+D14)*(L7*8))+((B24+C24)*(L7*4))+((C30+D30)*(L7*2)+(L5*2)*(L7*2)+((C16+D16)*(L7*20)))*K2</f>
        <v>5128.8395061728388</v>
      </c>
      <c r="K5" s="168" t="s">
        <v>10</v>
      </c>
      <c r="L5" s="73">
        <f>K7/90</f>
        <v>22.222222222222221</v>
      </c>
      <c r="M5" s="210"/>
      <c r="O5" s="168" t="s">
        <v>14</v>
      </c>
      <c r="P5" s="168" t="s">
        <v>10</v>
      </c>
      <c r="Q5" s="168" t="s">
        <v>478</v>
      </c>
      <c r="R5" s="109">
        <f>Especificações!G16</f>
        <v>0</v>
      </c>
      <c r="S5" s="109">
        <f>Especificações!N16</f>
        <v>0</v>
      </c>
      <c r="T5" s="109">
        <f>Personalização!F16</f>
        <v>0</v>
      </c>
      <c r="U5" s="221"/>
      <c r="V5" s="220"/>
      <c r="W5" s="220"/>
      <c r="X5" s="220"/>
      <c r="Y5" s="220"/>
      <c r="Z5" s="220"/>
      <c r="AA5" s="220"/>
      <c r="AB5" s="220"/>
      <c r="AC5" s="220"/>
      <c r="AD5" s="220"/>
      <c r="AE5" s="220"/>
    </row>
    <row r="6" spans="1:31" x14ac:dyDescent="0.25">
      <c r="A6" s="108" t="s">
        <v>18</v>
      </c>
      <c r="B6" s="279" t="s">
        <v>911</v>
      </c>
      <c r="C6" s="279"/>
      <c r="D6" s="108" t="s">
        <v>17</v>
      </c>
      <c r="E6" s="279" t="s">
        <v>168</v>
      </c>
      <c r="F6" s="279"/>
      <c r="G6" s="73" t="str">
        <f>VLOOKUP(B6,classesebônus,3)</f>
        <v>KID+1</v>
      </c>
      <c r="H6" s="108" t="s">
        <v>779</v>
      </c>
      <c r="I6" s="144">
        <f ca="1">((C13+D13)*(L5*4))+((B23+C23)*(L5*2))+((C33+D33)*(L5*2))+((N6+O6)*(L5*1))*L2</f>
        <v>113.33333333333333</v>
      </c>
      <c r="J6" s="108" t="s">
        <v>32</v>
      </c>
      <c r="K6" s="111">
        <f>E13+E14+E15+E16+E17+D22+D23+E33+D24+E29+E30+E31+E32+P6+R3+R4+R5+S4+S5+T5+T6+T7+T4-R6-R7-S7-S6</f>
        <v>925</v>
      </c>
      <c r="L6" s="208">
        <f>K7</f>
        <v>2000</v>
      </c>
      <c r="M6" s="108" t="s">
        <v>51</v>
      </c>
      <c r="N6" s="175">
        <v>15</v>
      </c>
      <c r="O6" s="169">
        <f ca="1">COUNTIF(FichaToda,"REI+1")-COUNTIF(FichaToda,"REI-1")</f>
        <v>2</v>
      </c>
      <c r="P6" s="169">
        <f>N6*N6</f>
        <v>225</v>
      </c>
      <c r="Q6" s="145">
        <f>N6*0.5</f>
        <v>7.5</v>
      </c>
      <c r="R6" s="109">
        <f>Especificações!G17</f>
        <v>0</v>
      </c>
      <c r="S6" s="109">
        <f>Especificações!N17</f>
        <v>0</v>
      </c>
      <c r="T6" s="109">
        <f>Personalização!F25</f>
        <v>0</v>
      </c>
      <c r="U6" s="220"/>
      <c r="V6" s="220"/>
      <c r="W6" s="220"/>
      <c r="X6" s="220"/>
      <c r="Y6" s="220"/>
      <c r="Z6" s="220"/>
      <c r="AA6" s="220"/>
      <c r="AB6" s="220"/>
      <c r="AC6" s="220"/>
      <c r="AD6" s="220"/>
      <c r="AE6" s="220"/>
    </row>
    <row r="7" spans="1:31" x14ac:dyDescent="0.25">
      <c r="A7" s="108" t="s">
        <v>764</v>
      </c>
      <c r="B7" s="279" t="s">
        <v>771</v>
      </c>
      <c r="C7" s="279"/>
      <c r="D7" s="108" t="s">
        <v>19</v>
      </c>
      <c r="E7" s="279" t="s">
        <v>9</v>
      </c>
      <c r="F7" s="279"/>
      <c r="G7" s="73" t="str">
        <f>VLOOKUP(E7,postoebônus,2)</f>
        <v>REI+1</v>
      </c>
      <c r="H7" s="108" t="s">
        <v>869</v>
      </c>
      <c r="I7" s="177">
        <f ca="1">(C33+D33+C31+D31+C15+D15)*0.3</f>
        <v>3.3</v>
      </c>
      <c r="K7" s="171">
        <f>PPCerto</f>
        <v>2000</v>
      </c>
      <c r="L7" s="73">
        <f>K7/180</f>
        <v>11.111111111111111</v>
      </c>
      <c r="M7" s="108" t="s">
        <v>50</v>
      </c>
      <c r="N7" s="176" t="s">
        <v>103</v>
      </c>
      <c r="O7" s="167" t="s">
        <v>110</v>
      </c>
      <c r="P7" s="151">
        <f ca="1">Q7/4.13</f>
        <v>49.394673123486683</v>
      </c>
      <c r="Q7" s="144">
        <f ca="1">((N6+O6)*12)+((C32+D32)*L7)</f>
        <v>204</v>
      </c>
      <c r="R7" s="109">
        <f>Especificações!G18</f>
        <v>0</v>
      </c>
      <c r="S7" s="109">
        <f>Especificações!N18</f>
        <v>0</v>
      </c>
      <c r="T7" s="109">
        <f>Personalização!F33</f>
        <v>0</v>
      </c>
      <c r="U7" s="221"/>
      <c r="V7" s="220"/>
      <c r="W7" s="220"/>
      <c r="X7" s="220"/>
      <c r="Y7" s="220"/>
      <c r="Z7" s="220"/>
      <c r="AA7" s="220"/>
      <c r="AB7" s="220"/>
      <c r="AC7" s="220"/>
      <c r="AD7" s="220"/>
      <c r="AE7" s="220"/>
    </row>
    <row r="8" spans="1:31" ht="15" customHeight="1" x14ac:dyDescent="0.25">
      <c r="A8" s="108" t="s">
        <v>836</v>
      </c>
      <c r="B8" s="280">
        <v>2000</v>
      </c>
      <c r="C8" s="280"/>
      <c r="H8" s="108" t="s">
        <v>479</v>
      </c>
      <c r="I8" s="178">
        <f ca="1">F33/1.5</f>
        <v>0</v>
      </c>
      <c r="J8" s="108" t="s">
        <v>47</v>
      </c>
      <c r="K8" s="172">
        <f>IF(Name="","???",IF(Senha=SenhaCerta,Database!L50,"???"))</f>
        <v>2000</v>
      </c>
      <c r="M8" s="281" t="s">
        <v>773</v>
      </c>
      <c r="N8" s="281"/>
      <c r="O8" s="281"/>
      <c r="P8" s="151">
        <f ca="1">Q7/8</f>
        <v>25.5</v>
      </c>
      <c r="Q8" s="144">
        <f ca="1">Q7*1.5</f>
        <v>306</v>
      </c>
      <c r="R8" s="109" t="s">
        <v>393</v>
      </c>
      <c r="S8" s="73" t="s">
        <v>394</v>
      </c>
      <c r="T8" s="109" t="s">
        <v>1045</v>
      </c>
      <c r="U8" s="220"/>
      <c r="V8" s="220"/>
      <c r="W8" s="220"/>
      <c r="X8" s="220"/>
      <c r="Y8" s="220"/>
      <c r="Z8" s="220"/>
      <c r="AA8" s="220"/>
      <c r="AB8" s="220"/>
      <c r="AC8" s="220"/>
      <c r="AD8" s="220"/>
      <c r="AE8" s="220"/>
    </row>
    <row r="9" spans="1:31" ht="15" customHeight="1" x14ac:dyDescent="0.25">
      <c r="H9" s="108" t="s">
        <v>480</v>
      </c>
      <c r="I9" s="178">
        <f ca="1">F33*5</f>
        <v>0</v>
      </c>
      <c r="J9" s="210"/>
      <c r="K9" s="214"/>
      <c r="L9" s="210"/>
      <c r="M9" s="112"/>
      <c r="O9" s="108" t="s">
        <v>1021</v>
      </c>
      <c r="P9" s="280" t="s">
        <v>1037</v>
      </c>
      <c r="Q9" s="280"/>
      <c r="R9" s="73"/>
      <c r="S9" s="73"/>
      <c r="T9" s="146">
        <f ca="1">((N6+O6)*(L7*0.0736))+((C14+D14)*(L7*0.1)+((B24+C24)*(L7*0.025)))</f>
        <v>26.124444444444443</v>
      </c>
      <c r="U9" s="220"/>
      <c r="V9" s="220"/>
      <c r="W9" s="220"/>
      <c r="X9" s="220"/>
      <c r="Y9" s="220"/>
      <c r="Z9" s="220"/>
      <c r="AA9" s="220"/>
      <c r="AB9" s="220"/>
      <c r="AC9" s="220"/>
      <c r="AD9" s="220"/>
      <c r="AE9" s="220"/>
    </row>
    <row r="10" spans="1:31" x14ac:dyDescent="0.25">
      <c r="B10" s="275" t="s">
        <v>20</v>
      </c>
      <c r="C10" s="275"/>
      <c r="D10" s="275"/>
      <c r="E10" s="275"/>
      <c r="F10" s="113"/>
      <c r="H10" s="216"/>
      <c r="I10" s="210"/>
      <c r="R10" s="73"/>
      <c r="S10" s="73" t="s">
        <v>14</v>
      </c>
      <c r="T10" s="73"/>
      <c r="U10" s="220"/>
      <c r="V10" s="220"/>
      <c r="W10" s="220"/>
      <c r="X10" s="220"/>
      <c r="Y10" s="220"/>
      <c r="Z10" s="220"/>
      <c r="AA10" s="220"/>
      <c r="AB10" s="220"/>
      <c r="AC10" s="220"/>
      <c r="AD10" s="220"/>
      <c r="AE10" s="220"/>
    </row>
    <row r="11" spans="1:31" x14ac:dyDescent="0.25">
      <c r="B11" s="113"/>
      <c r="R11" s="73"/>
      <c r="S11" s="73" t="s">
        <v>293</v>
      </c>
      <c r="T11" s="73" t="str">
        <f>Especificações!G9</f>
        <v>INT+1</v>
      </c>
      <c r="U11" s="220"/>
      <c r="V11" s="220"/>
      <c r="W11" s="220"/>
      <c r="X11" s="220"/>
      <c r="Y11" s="220"/>
      <c r="Z11" s="220"/>
      <c r="AA11" s="220"/>
      <c r="AB11" s="220"/>
      <c r="AC11" s="220"/>
      <c r="AD11" s="220"/>
      <c r="AE11" s="220"/>
    </row>
    <row r="12" spans="1:31" x14ac:dyDescent="0.25">
      <c r="C12" s="168" t="s">
        <v>13</v>
      </c>
      <c r="D12" s="168" t="s">
        <v>14</v>
      </c>
      <c r="E12" s="168" t="s">
        <v>10</v>
      </c>
      <c r="F12" s="168" t="s">
        <v>11</v>
      </c>
      <c r="N12" s="275" t="s">
        <v>41</v>
      </c>
      <c r="O12" s="275"/>
      <c r="P12" s="275"/>
      <c r="Q12" s="275"/>
      <c r="R12" s="73"/>
      <c r="S12" s="73" t="s">
        <v>294</v>
      </c>
      <c r="T12" s="73">
        <f>Personalização!G6</f>
        <v>0</v>
      </c>
      <c r="U12" s="220"/>
      <c r="V12" s="220"/>
      <c r="W12" s="220"/>
      <c r="X12" s="220"/>
      <c r="Y12" s="220"/>
      <c r="Z12" s="220"/>
      <c r="AA12" s="220"/>
      <c r="AB12" s="220"/>
      <c r="AC12" s="220"/>
      <c r="AD12" s="220"/>
      <c r="AE12" s="220"/>
    </row>
    <row r="13" spans="1:31" x14ac:dyDescent="0.25">
      <c r="B13" s="108" t="s">
        <v>21</v>
      </c>
      <c r="C13" s="175">
        <v>0</v>
      </c>
      <c r="D13" s="169">
        <f ca="1">COUNTIF(FichaToda,"FOR+1")-COUNTIF(FichaToda,"FOR-1")</f>
        <v>0</v>
      </c>
      <c r="E13" s="169">
        <f>C13*20</f>
        <v>0</v>
      </c>
      <c r="F13" s="169">
        <f ca="1">(C13*3)+D13</f>
        <v>0</v>
      </c>
      <c r="R13" s="73"/>
      <c r="S13" s="73" t="s">
        <v>295</v>
      </c>
      <c r="T13" s="73">
        <f>Personalização!G14</f>
        <v>0</v>
      </c>
      <c r="U13" s="220"/>
      <c r="V13" s="220"/>
      <c r="W13" s="220"/>
      <c r="X13" s="220"/>
      <c r="Y13" s="220"/>
      <c r="Z13" s="220"/>
      <c r="AA13" s="220"/>
      <c r="AB13" s="220"/>
      <c r="AC13" s="220"/>
      <c r="AD13" s="220"/>
      <c r="AE13" s="220"/>
    </row>
    <row r="14" spans="1:31" x14ac:dyDescent="0.25">
      <c r="B14" s="108" t="s">
        <v>22</v>
      </c>
      <c r="C14" s="175">
        <v>5</v>
      </c>
      <c r="D14" s="169">
        <f ca="1">COUNTIF(FichaToda,"INT+1")-COUNTIF(FichaToda,"INT-1")</f>
        <v>3</v>
      </c>
      <c r="E14" s="169">
        <f>C14*20</f>
        <v>100</v>
      </c>
      <c r="F14" s="169">
        <f ca="1">(C14*3)+D14</f>
        <v>18</v>
      </c>
      <c r="M14" s="108" t="s">
        <v>38</v>
      </c>
      <c r="N14" s="282" t="s">
        <v>1065</v>
      </c>
      <c r="O14" s="282"/>
      <c r="P14" s="282"/>
      <c r="Q14" s="282"/>
      <c r="R14" s="282"/>
      <c r="S14" s="73" t="s">
        <v>296</v>
      </c>
      <c r="T14" s="73">
        <f>Personalização!G25</f>
        <v>0</v>
      </c>
      <c r="U14" s="73">
        <f>Calculadora!B12</f>
        <v>0</v>
      </c>
      <c r="V14" s="220"/>
      <c r="W14" s="220"/>
      <c r="X14" s="220"/>
      <c r="Y14" s="220"/>
      <c r="Z14" s="220"/>
      <c r="AA14" s="220"/>
      <c r="AB14" s="220"/>
      <c r="AC14" s="220"/>
      <c r="AD14" s="220"/>
      <c r="AE14" s="220"/>
    </row>
    <row r="15" spans="1:31" x14ac:dyDescent="0.25">
      <c r="B15" s="108" t="s">
        <v>23</v>
      </c>
      <c r="C15" s="175">
        <v>0</v>
      </c>
      <c r="D15" s="169">
        <f ca="1">COUNTIF(FichaToda,"DES+1")-COUNTIF(FichaToda,"DES-1")</f>
        <v>0</v>
      </c>
      <c r="E15" s="169">
        <f>C15*20</f>
        <v>0</v>
      </c>
      <c r="F15" s="169">
        <f ca="1">(C15*3)+D15</f>
        <v>0</v>
      </c>
      <c r="M15" s="108" t="s">
        <v>37</v>
      </c>
      <c r="N15" s="282" t="s">
        <v>1066</v>
      </c>
      <c r="O15" s="282"/>
      <c r="P15" s="282"/>
      <c r="Q15" s="282"/>
      <c r="R15" s="282"/>
      <c r="S15" s="73" t="s">
        <v>297</v>
      </c>
      <c r="T15" s="73">
        <f>Personalização!G33</f>
        <v>0</v>
      </c>
      <c r="U15" s="73">
        <f>Calculadora!B13</f>
        <v>0</v>
      </c>
      <c r="V15" s="220"/>
      <c r="W15" s="220"/>
      <c r="X15" s="220"/>
      <c r="Y15" s="220"/>
      <c r="Z15" s="220"/>
      <c r="AA15" s="220"/>
      <c r="AB15" s="220"/>
      <c r="AC15" s="220"/>
      <c r="AD15" s="220"/>
      <c r="AE15" s="220"/>
    </row>
    <row r="16" spans="1:31" ht="15" customHeight="1" x14ac:dyDescent="0.25">
      <c r="B16" s="108" t="s">
        <v>24</v>
      </c>
      <c r="C16" s="175">
        <v>5</v>
      </c>
      <c r="D16" s="169">
        <f ca="1">COUNTIF(FichaToda,"VIG+1")-COUNTIF(FichaToda,"VIG-1")</f>
        <v>0</v>
      </c>
      <c r="E16" s="169">
        <f>C16*20</f>
        <v>100</v>
      </c>
      <c r="F16" s="169">
        <f ca="1">(C16*3)+D16</f>
        <v>15</v>
      </c>
      <c r="M16" s="108" t="s">
        <v>39</v>
      </c>
      <c r="N16" s="282" t="s">
        <v>1032</v>
      </c>
      <c r="O16" s="282"/>
      <c r="P16" s="282"/>
      <c r="Q16" s="282"/>
      <c r="R16" s="282"/>
      <c r="S16" s="73"/>
      <c r="T16" s="73"/>
      <c r="U16" s="73">
        <f>Calculadora!B14</f>
        <v>0</v>
      </c>
      <c r="V16" s="220"/>
      <c r="W16" s="220"/>
      <c r="X16" s="220"/>
      <c r="Y16" s="220"/>
      <c r="Z16" s="220"/>
      <c r="AA16" s="220"/>
      <c r="AB16" s="220"/>
      <c r="AC16" s="220"/>
      <c r="AD16" s="220"/>
      <c r="AE16" s="220"/>
    </row>
    <row r="17" spans="1:31" ht="15" customHeight="1" x14ac:dyDescent="0.25">
      <c r="B17" s="108" t="s">
        <v>25</v>
      </c>
      <c r="C17" s="175">
        <v>5</v>
      </c>
      <c r="D17" s="169">
        <f ca="1">COUNTIF(FichaToda,"RES+1")-COUNTIF(FichaToda,"RES-1")</f>
        <v>0</v>
      </c>
      <c r="E17" s="169">
        <f>C17*20</f>
        <v>100</v>
      </c>
      <c r="F17" s="169">
        <f ca="1">(C17*3)+D17</f>
        <v>15</v>
      </c>
      <c r="M17" s="108" t="s">
        <v>685</v>
      </c>
      <c r="N17" s="282" t="s">
        <v>1067</v>
      </c>
      <c r="O17" s="282"/>
      <c r="P17" s="282"/>
      <c r="Q17" s="282"/>
      <c r="R17" s="282"/>
      <c r="S17" s="73"/>
      <c r="T17" s="73"/>
      <c r="U17" s="73">
        <f>Calculadora!B15</f>
        <v>0</v>
      </c>
      <c r="V17" s="220"/>
      <c r="W17" s="220"/>
      <c r="X17" s="220"/>
      <c r="Y17" s="220"/>
      <c r="Z17" s="220"/>
      <c r="AA17" s="220"/>
      <c r="AB17" s="220"/>
      <c r="AC17" s="220"/>
      <c r="AD17" s="220"/>
      <c r="AE17" s="220"/>
    </row>
    <row r="18" spans="1:31" ht="15" customHeight="1" x14ac:dyDescent="0.25">
      <c r="R18" s="220"/>
      <c r="S18" s="73" t="s">
        <v>298</v>
      </c>
      <c r="T18" s="73"/>
      <c r="U18" s="73">
        <f>Calculadora!B16</f>
        <v>0</v>
      </c>
      <c r="V18" s="220"/>
      <c r="W18" s="220"/>
      <c r="X18" s="220"/>
      <c r="Y18" s="220"/>
      <c r="Z18" s="220"/>
      <c r="AA18" s="220"/>
      <c r="AB18" s="220"/>
      <c r="AC18" s="220"/>
      <c r="AD18" s="220"/>
      <c r="AE18" s="220"/>
    </row>
    <row r="19" spans="1:31" ht="15" customHeight="1" x14ac:dyDescent="0.25">
      <c r="B19" s="275" t="s">
        <v>26</v>
      </c>
      <c r="C19" s="275"/>
      <c r="D19" s="275"/>
      <c r="E19" s="275"/>
      <c r="F19" s="275"/>
      <c r="N19" s="276" t="s">
        <v>1024</v>
      </c>
      <c r="O19" s="276"/>
      <c r="P19" s="276"/>
      <c r="Q19" s="276"/>
      <c r="S19" s="73"/>
      <c r="T19" s="73" t="str">
        <f>Especificações!T26</f>
        <v>KID+1</v>
      </c>
      <c r="U19" s="73">
        <f>Calculadora!B17</f>
        <v>0</v>
      </c>
      <c r="V19" s="220"/>
      <c r="W19" s="220"/>
      <c r="X19" s="220"/>
      <c r="Y19" s="220"/>
      <c r="Z19" s="220"/>
      <c r="AA19" s="220"/>
      <c r="AB19" s="220"/>
      <c r="AC19" s="220"/>
      <c r="AD19" s="220"/>
      <c r="AE19" s="220"/>
    </row>
    <row r="20" spans="1:31" ht="15" customHeight="1" x14ac:dyDescent="0.25">
      <c r="B20" s="113"/>
      <c r="E20" s="276" t="s">
        <v>11</v>
      </c>
      <c r="F20" s="276"/>
      <c r="N20" s="283" t="s">
        <v>1028</v>
      </c>
      <c r="O20" s="283"/>
      <c r="P20" s="283" t="s">
        <v>1027</v>
      </c>
      <c r="Q20" s="283"/>
      <c r="R20" s="73" t="s">
        <v>296</v>
      </c>
      <c r="S20" s="73" t="str">
        <f>Personalização!G22</f>
        <v/>
      </c>
      <c r="T20" s="73">
        <f>Especificações!T27</f>
        <v>0</v>
      </c>
      <c r="U20" s="73">
        <f>Calculadora!B18</f>
        <v>0</v>
      </c>
      <c r="V20" s="220"/>
      <c r="W20" s="220"/>
      <c r="X20" s="220"/>
      <c r="Y20" s="220"/>
      <c r="Z20" s="220"/>
      <c r="AA20" s="220"/>
      <c r="AB20" s="220"/>
      <c r="AC20" s="220"/>
      <c r="AD20" s="220"/>
      <c r="AE20" s="220"/>
    </row>
    <row r="21" spans="1:31" ht="15" customHeight="1" x14ac:dyDescent="0.25">
      <c r="B21" s="168" t="s">
        <v>13</v>
      </c>
      <c r="C21" s="168" t="s">
        <v>14</v>
      </c>
      <c r="D21" s="168" t="s">
        <v>10</v>
      </c>
      <c r="E21" s="168" t="s">
        <v>42</v>
      </c>
      <c r="F21" s="168" t="s">
        <v>43</v>
      </c>
      <c r="N21" s="277"/>
      <c r="O21" s="277"/>
      <c r="P21" s="277"/>
      <c r="Q21" s="277"/>
      <c r="R21" s="73" t="s">
        <v>1046</v>
      </c>
      <c r="S21" s="173" t="str">
        <f>IF(S20="ON","REI+1","0")</f>
        <v>0</v>
      </c>
      <c r="T21" s="73">
        <f>Especificações!T28</f>
        <v>0</v>
      </c>
      <c r="U21" s="73">
        <f>Calculadora!B19</f>
        <v>0</v>
      </c>
      <c r="V21" s="220"/>
      <c r="W21" s="220"/>
      <c r="X21" s="220"/>
      <c r="Y21" s="220"/>
      <c r="Z21" s="220"/>
      <c r="AA21" s="220"/>
      <c r="AB21" s="220"/>
      <c r="AC21" s="220"/>
      <c r="AD21" s="220"/>
      <c r="AE21" s="220"/>
    </row>
    <row r="22" spans="1:31" ht="15" customHeight="1" x14ac:dyDescent="0.25">
      <c r="A22" s="108" t="s">
        <v>27</v>
      </c>
      <c r="B22" s="175">
        <v>0</v>
      </c>
      <c r="C22" s="169">
        <f ca="1">COUNTIF(FichaToda,"ZAN+1")-COUNTIF(FichaToda,"ZAN-1")</f>
        <v>0</v>
      </c>
      <c r="D22" s="169">
        <f>B22*10</f>
        <v>0</v>
      </c>
      <c r="E22" s="169">
        <f ca="1">B22+C22+C15+D15</f>
        <v>0</v>
      </c>
      <c r="F22" s="145">
        <f ca="1">(B22+C22+C15+D15+C31+D31)*0.475</f>
        <v>5.2249999999999996</v>
      </c>
      <c r="N22" s="277"/>
      <c r="O22" s="277"/>
      <c r="P22" s="277"/>
      <c r="Q22" s="277"/>
      <c r="R22" s="73" t="s">
        <v>1047</v>
      </c>
      <c r="S22" s="173" t="str">
        <f>IF(S20="ON","REI+1","0")</f>
        <v>0</v>
      </c>
      <c r="T22" s="73">
        <f>Especificações!T29</f>
        <v>0</v>
      </c>
      <c r="U22" s="73">
        <f>Calculadora!B20</f>
        <v>0</v>
      </c>
      <c r="V22" s="220"/>
      <c r="W22" s="220"/>
      <c r="X22" s="220"/>
      <c r="Y22" s="220"/>
      <c r="Z22" s="220"/>
      <c r="AA22" s="220"/>
      <c r="AB22" s="220"/>
      <c r="AC22" s="220"/>
      <c r="AD22" s="220"/>
      <c r="AE22" s="220"/>
    </row>
    <row r="23" spans="1:31" ht="15" customHeight="1" x14ac:dyDescent="0.25">
      <c r="A23" s="108" t="s">
        <v>28</v>
      </c>
      <c r="B23" s="175">
        <v>0</v>
      </c>
      <c r="C23" s="169">
        <f ca="1">COUNTIF(FichaToda,"HAK+1")-COUNTIF(FichaToda,"HAK-1")</f>
        <v>0</v>
      </c>
      <c r="D23" s="169">
        <f t="shared" ref="D23" si="0">B23*10</f>
        <v>0</v>
      </c>
      <c r="E23" s="169">
        <f ca="1">(B23+C23+C15+D15)</f>
        <v>0</v>
      </c>
      <c r="F23" s="145">
        <f ca="1">(B23+C23+C15+D15+C31+D31)*0.475</f>
        <v>5.2249999999999996</v>
      </c>
      <c r="N23" s="277"/>
      <c r="O23" s="277"/>
      <c r="P23" s="277"/>
      <c r="Q23" s="277"/>
      <c r="R23" s="73" t="s">
        <v>1048</v>
      </c>
      <c r="S23" s="173" t="str">
        <f>IF(S20="ON","REI+1","0")</f>
        <v>0</v>
      </c>
      <c r="T23" s="73">
        <f>Especificações!T30</f>
        <v>0</v>
      </c>
      <c r="U23" s="73">
        <f>Calculadora!B21</f>
        <v>0</v>
      </c>
      <c r="V23" s="220"/>
      <c r="W23" s="220"/>
      <c r="X23" s="220"/>
      <c r="Y23" s="220"/>
      <c r="Z23" s="220"/>
      <c r="AA23" s="220"/>
      <c r="AB23" s="220"/>
      <c r="AC23" s="220"/>
      <c r="AD23" s="220"/>
      <c r="AE23" s="220"/>
    </row>
    <row r="24" spans="1:31" ht="15.75" customHeight="1" x14ac:dyDescent="0.25">
      <c r="A24" s="108" t="s">
        <v>29</v>
      </c>
      <c r="B24" s="175">
        <v>10</v>
      </c>
      <c r="C24" s="169">
        <f ca="1">COUNTIF(FichaToda,"KID+1")-COUNTIF(FichaToda,"KID-1")</f>
        <v>2</v>
      </c>
      <c r="D24" s="169">
        <f>B24*10</f>
        <v>100</v>
      </c>
      <c r="E24" s="169">
        <f ca="1">B24+C24+C14+D14</f>
        <v>20</v>
      </c>
      <c r="F24" s="145">
        <f ca="1">(B24+C24+C14+D14+C31+D31)*0.475</f>
        <v>14.725</v>
      </c>
      <c r="R24" s="73" t="s">
        <v>299</v>
      </c>
      <c r="S24" s="173" t="str">
        <f>IF(S20="ON","REI+1","0")</f>
        <v>0</v>
      </c>
      <c r="T24" s="73">
        <f>Especificações!T31</f>
        <v>0</v>
      </c>
      <c r="U24" s="73">
        <f>Calculadora!B22</f>
        <v>0</v>
      </c>
      <c r="V24" s="220"/>
      <c r="W24" s="220"/>
      <c r="X24" s="220"/>
      <c r="Y24" s="220"/>
      <c r="Z24" s="220"/>
      <c r="AA24" s="220"/>
      <c r="AB24" s="220"/>
      <c r="AC24" s="220"/>
      <c r="AD24" s="220"/>
      <c r="AE24" s="220"/>
    </row>
    <row r="25" spans="1:31" ht="15.75" customHeight="1" x14ac:dyDescent="0.25">
      <c r="N25" s="276" t="s">
        <v>40</v>
      </c>
      <c r="O25" s="276"/>
      <c r="P25" s="276"/>
      <c r="Q25" s="276"/>
      <c r="R25" s="73" t="s">
        <v>300</v>
      </c>
      <c r="S25" s="173" t="str">
        <f>IF(S20="ON","REI+1","0")</f>
        <v>0</v>
      </c>
      <c r="T25" s="73">
        <f>Especificações!T32</f>
        <v>0</v>
      </c>
      <c r="U25" s="73">
        <f>Calculadora!C12</f>
        <v>0</v>
      </c>
      <c r="V25" s="220"/>
      <c r="W25" s="220"/>
      <c r="X25" s="220"/>
      <c r="Y25" s="220"/>
      <c r="Z25" s="220"/>
      <c r="AA25" s="220"/>
      <c r="AB25" s="220"/>
      <c r="AC25" s="220"/>
      <c r="AD25" s="220"/>
      <c r="AE25" s="220"/>
    </row>
    <row r="26" spans="1:31" ht="15" customHeight="1" x14ac:dyDescent="0.25">
      <c r="B26" s="275" t="s">
        <v>33</v>
      </c>
      <c r="C26" s="275"/>
      <c r="D26" s="275"/>
      <c r="E26" s="275"/>
      <c r="F26" s="275"/>
      <c r="R26" s="73" t="s">
        <v>1049</v>
      </c>
      <c r="S26" s="73">
        <f>Personalização!G30</f>
        <v>0</v>
      </c>
      <c r="T26" s="73">
        <f>Especificações!T33</f>
        <v>0</v>
      </c>
      <c r="U26" s="73">
        <f>Calculadora!C13</f>
        <v>0</v>
      </c>
      <c r="V26" s="220"/>
      <c r="W26" s="220"/>
      <c r="X26" s="220"/>
      <c r="Y26" s="220"/>
      <c r="Z26" s="220"/>
      <c r="AA26" s="220"/>
      <c r="AB26" s="220"/>
      <c r="AC26" s="220"/>
      <c r="AD26" s="220"/>
      <c r="AE26" s="220"/>
    </row>
    <row r="27" spans="1:31" ht="15" customHeight="1" x14ac:dyDescent="0.25">
      <c r="N27" s="284"/>
      <c r="O27" s="284"/>
      <c r="P27" s="284"/>
      <c r="Q27" s="284"/>
      <c r="R27" s="73" t="s">
        <v>1050</v>
      </c>
      <c r="S27" s="173" t="str">
        <f>IF(S26="ON","REI+1","0")</f>
        <v>0</v>
      </c>
      <c r="T27" s="73">
        <f>Especificações!T34</f>
        <v>0</v>
      </c>
      <c r="U27" s="73">
        <f>Calculadora!C14</f>
        <v>0</v>
      </c>
      <c r="V27" s="220"/>
      <c r="W27" s="220"/>
      <c r="X27" s="220"/>
      <c r="Y27" s="220"/>
      <c r="Z27" s="220"/>
      <c r="AA27" s="220"/>
      <c r="AB27" s="220"/>
      <c r="AC27" s="220"/>
      <c r="AD27" s="220"/>
      <c r="AE27" s="220"/>
    </row>
    <row r="28" spans="1:31" ht="15" customHeight="1" x14ac:dyDescent="0.25">
      <c r="C28" s="168" t="s">
        <v>13</v>
      </c>
      <c r="D28" s="168" t="s">
        <v>14</v>
      </c>
      <c r="E28" s="168" t="s">
        <v>10</v>
      </c>
      <c r="F28" s="168" t="s">
        <v>11</v>
      </c>
      <c r="N28" s="284"/>
      <c r="O28" s="284"/>
      <c r="P28" s="284"/>
      <c r="Q28" s="284"/>
      <c r="R28" s="73" t="s">
        <v>1051</v>
      </c>
      <c r="S28" s="173" t="str">
        <f>IF(S26="ON","REI+1","0")</f>
        <v>0</v>
      </c>
      <c r="T28" s="73"/>
      <c r="U28" s="73">
        <f>Calculadora!C15</f>
        <v>0</v>
      </c>
      <c r="V28" s="220"/>
      <c r="W28" s="220"/>
      <c r="X28" s="220"/>
      <c r="Y28" s="220"/>
      <c r="Z28" s="220"/>
      <c r="AA28" s="220"/>
      <c r="AB28" s="220"/>
      <c r="AC28" s="220"/>
      <c r="AD28" s="220"/>
      <c r="AE28" s="220"/>
    </row>
    <row r="29" spans="1:31" ht="15" customHeight="1" x14ac:dyDescent="0.25">
      <c r="B29" s="108" t="s">
        <v>35</v>
      </c>
      <c r="C29" s="175">
        <v>0</v>
      </c>
      <c r="D29" s="169">
        <f ca="1">COUNTIF(FichaToda,"PER+1")-COUNTIF(FichaToda,"PER-1")</f>
        <v>0</v>
      </c>
      <c r="E29" s="145">
        <f>C29*7.5</f>
        <v>0</v>
      </c>
      <c r="F29" s="169">
        <f ca="1">(C29+D29)+(C14+D14)</f>
        <v>8</v>
      </c>
      <c r="N29" s="284"/>
      <c r="O29" s="284"/>
      <c r="P29" s="284"/>
      <c r="Q29" s="284"/>
      <c r="R29" s="73" t="s">
        <v>1052</v>
      </c>
      <c r="S29" s="173" t="str">
        <f>IF(S26="ON","REI+1","0")</f>
        <v>0</v>
      </c>
      <c r="T29" s="73"/>
      <c r="U29" s="73">
        <f>Calculadora!C16</f>
        <v>0</v>
      </c>
      <c r="V29" s="220"/>
      <c r="W29" s="220"/>
      <c r="X29" s="220"/>
      <c r="Y29" s="220"/>
      <c r="Z29" s="220"/>
      <c r="AA29" s="220"/>
      <c r="AB29" s="220"/>
      <c r="AC29" s="220"/>
      <c r="AD29" s="220"/>
      <c r="AE29" s="220"/>
    </row>
    <row r="30" spans="1:31" ht="15" customHeight="1" x14ac:dyDescent="0.25">
      <c r="B30" s="108" t="s">
        <v>34</v>
      </c>
      <c r="C30" s="175">
        <v>0</v>
      </c>
      <c r="D30" s="169">
        <f ca="1">COUNTIF(FichaToda,"ABS+1")-COUNTIF(FichaToda,"ABS-1")</f>
        <v>0</v>
      </c>
      <c r="E30" s="145">
        <f>C30*7.5</f>
        <v>0</v>
      </c>
      <c r="F30" s="169">
        <f ca="1">(C30+D30)+(C14+D14)</f>
        <v>8</v>
      </c>
      <c r="N30" s="284"/>
      <c r="O30" s="284"/>
      <c r="P30" s="284"/>
      <c r="Q30" s="284"/>
      <c r="R30" s="73" t="s">
        <v>1053</v>
      </c>
      <c r="S30" s="173" t="str">
        <f>IF(S26="ON","REI+1","0")</f>
        <v>0</v>
      </c>
      <c r="T30" s="73"/>
      <c r="U30" s="73">
        <f>Calculadora!C17</f>
        <v>0</v>
      </c>
      <c r="V30" s="220"/>
      <c r="W30" s="220"/>
      <c r="X30" s="220"/>
      <c r="Y30" s="220"/>
      <c r="Z30" s="220"/>
      <c r="AA30" s="220"/>
      <c r="AB30" s="220"/>
      <c r="AC30" s="220"/>
      <c r="AD30" s="220"/>
      <c r="AE30" s="220"/>
    </row>
    <row r="31" spans="1:31" ht="15" customHeight="1" x14ac:dyDescent="0.25">
      <c r="B31" s="108" t="s">
        <v>36</v>
      </c>
      <c r="C31" s="175">
        <v>10</v>
      </c>
      <c r="D31" s="169">
        <f ca="1">COUNTIF(FichaToda,"REF+1")-COUNTIF(FichaToda,"REF-1")</f>
        <v>1</v>
      </c>
      <c r="E31" s="145">
        <f>C31*7.5</f>
        <v>75</v>
      </c>
      <c r="F31" s="169">
        <f ca="1">(C31+D31)+(C15+D15)</f>
        <v>11</v>
      </c>
      <c r="N31" s="284"/>
      <c r="O31" s="284"/>
      <c r="P31" s="284"/>
      <c r="Q31" s="284"/>
      <c r="R31" s="73" t="s">
        <v>1054</v>
      </c>
      <c r="S31" s="173" t="str">
        <f>IF(S26="ON","REI+1","0")</f>
        <v>0</v>
      </c>
      <c r="T31" s="73"/>
      <c r="U31" s="73">
        <f>Calculadora!C18</f>
        <v>0</v>
      </c>
      <c r="V31" s="220"/>
      <c r="W31" s="220"/>
      <c r="X31" s="220"/>
      <c r="Y31" s="220"/>
      <c r="Z31" s="220"/>
      <c r="AA31" s="220"/>
      <c r="AB31" s="220"/>
      <c r="AC31" s="220"/>
      <c r="AD31" s="220"/>
      <c r="AE31" s="220"/>
    </row>
    <row r="32" spans="1:31" ht="15.75" customHeight="1" x14ac:dyDescent="0.25">
      <c r="B32" s="108" t="s">
        <v>44</v>
      </c>
      <c r="C32" s="175">
        <v>0</v>
      </c>
      <c r="D32" s="169">
        <f ca="1">COUNTIF(FichaToda,"MAN+1")-COUNTIF(FichaToda,"MAN-1")</f>
        <v>0</v>
      </c>
      <c r="E32" s="145">
        <f>C32*7.5</f>
        <v>0</v>
      </c>
      <c r="F32" s="169">
        <f ca="1">(C32+D32)+(C15+D15)</f>
        <v>0</v>
      </c>
      <c r="M32" s="73"/>
      <c r="N32" s="284"/>
      <c r="O32" s="284"/>
      <c r="P32" s="284"/>
      <c r="Q32" s="284"/>
      <c r="R32" s="73" t="s">
        <v>1055</v>
      </c>
      <c r="S32" s="173" t="str">
        <f>IF(S26="ON","REI+1","0")</f>
        <v>0</v>
      </c>
      <c r="T32" s="73"/>
      <c r="U32" s="73">
        <f>Calculadora!C19</f>
        <v>0</v>
      </c>
      <c r="V32" s="220"/>
      <c r="W32" s="220"/>
      <c r="X32" s="220"/>
      <c r="Y32" s="220"/>
      <c r="Z32" s="220"/>
      <c r="AA32" s="220"/>
      <c r="AB32" s="220"/>
      <c r="AC32" s="220"/>
      <c r="AD32" s="220"/>
      <c r="AE32" s="220"/>
    </row>
    <row r="33" spans="1:31" ht="15" customHeight="1" x14ac:dyDescent="0.25">
      <c r="B33" s="108" t="s">
        <v>30</v>
      </c>
      <c r="C33" s="175">
        <v>0</v>
      </c>
      <c r="D33" s="169">
        <f ca="1">COUNTIF(FichaToda,"HOH+1")-COUNTIF(FichaToda,"HOH-1")</f>
        <v>0</v>
      </c>
      <c r="E33" s="145">
        <f>C33*7.5</f>
        <v>0</v>
      </c>
      <c r="F33" s="169">
        <f ca="1">C33+D33+C15+D15</f>
        <v>0</v>
      </c>
      <c r="N33" s="284"/>
      <c r="O33" s="284"/>
      <c r="P33" s="284"/>
      <c r="Q33" s="284"/>
      <c r="R33" s="73" t="s">
        <v>1056</v>
      </c>
      <c r="S33" s="173" t="str">
        <f>IF(S26="ON","REI+1","0")</f>
        <v>0</v>
      </c>
      <c r="T33" s="73"/>
      <c r="U33" s="73">
        <f>Calculadora!C20</f>
        <v>0</v>
      </c>
      <c r="V33" s="220"/>
      <c r="W33" s="220"/>
      <c r="X33" s="220"/>
      <c r="Y33" s="220"/>
      <c r="Z33" s="220"/>
      <c r="AA33" s="220"/>
      <c r="AB33" s="220"/>
      <c r="AC33" s="220"/>
      <c r="AD33" s="220"/>
      <c r="AE33" s="220"/>
    </row>
    <row r="34" spans="1:31" ht="15" customHeight="1" x14ac:dyDescent="0.25">
      <c r="N34" s="284"/>
      <c r="O34" s="284"/>
      <c r="P34" s="284"/>
      <c r="Q34" s="284"/>
      <c r="R34" s="73" t="s">
        <v>1057</v>
      </c>
      <c r="S34" s="173" t="str">
        <f>IF(S26="ON","REI+1","0")</f>
        <v>0</v>
      </c>
      <c r="T34" s="73"/>
      <c r="U34" s="73">
        <f>Calculadora!C21</f>
        <v>0</v>
      </c>
      <c r="V34" s="220"/>
      <c r="W34" s="220"/>
      <c r="X34" s="220"/>
      <c r="Y34" s="220"/>
      <c r="Z34" s="220"/>
      <c r="AA34" s="220"/>
      <c r="AB34" s="220"/>
      <c r="AC34" s="220"/>
      <c r="AD34" s="220"/>
      <c r="AE34" s="220"/>
    </row>
    <row r="35" spans="1:31" ht="15" customHeight="1" x14ac:dyDescent="0.25">
      <c r="J35" s="73"/>
      <c r="M35" s="106"/>
      <c r="N35" s="284"/>
      <c r="O35" s="284"/>
      <c r="P35" s="284"/>
      <c r="Q35" s="284"/>
      <c r="R35" s="73" t="s">
        <v>1058</v>
      </c>
      <c r="S35" s="173" t="str">
        <f>IF(S26="ON","REI+1","0")</f>
        <v>0</v>
      </c>
      <c r="T35" s="109"/>
      <c r="U35" s="73">
        <f>Calculadora!C22</f>
        <v>0</v>
      </c>
      <c r="V35" s="220"/>
      <c r="W35" s="220"/>
      <c r="X35" s="220"/>
      <c r="Y35" s="220"/>
      <c r="Z35" s="220"/>
      <c r="AA35" s="220"/>
      <c r="AB35" s="220"/>
      <c r="AC35" s="220"/>
      <c r="AD35" s="220"/>
      <c r="AE35" s="220"/>
    </row>
    <row r="36" spans="1:31" ht="15" customHeight="1" x14ac:dyDescent="0.25">
      <c r="J36" s="73"/>
      <c r="M36" s="106"/>
      <c r="N36" s="284"/>
      <c r="O36" s="284"/>
      <c r="P36" s="284"/>
      <c r="Q36" s="284"/>
      <c r="R36" s="73" t="s">
        <v>1059</v>
      </c>
      <c r="S36" s="174" t="str">
        <f>IF(S26="ON","REI+1","0")</f>
        <v>0</v>
      </c>
      <c r="T36" s="109"/>
      <c r="U36" s="73"/>
      <c r="V36" s="220"/>
      <c r="W36" s="220"/>
      <c r="X36" s="220"/>
      <c r="Y36" s="220"/>
      <c r="Z36" s="220"/>
      <c r="AA36" s="220"/>
      <c r="AB36" s="220"/>
      <c r="AC36" s="220"/>
      <c r="AD36" s="220"/>
      <c r="AE36" s="220"/>
    </row>
    <row r="37" spans="1:31" ht="15" customHeight="1" x14ac:dyDescent="0.25">
      <c r="J37" s="73"/>
      <c r="N37" s="284"/>
      <c r="O37" s="284"/>
      <c r="P37" s="284"/>
      <c r="Q37" s="284"/>
      <c r="R37" s="221"/>
      <c r="S37" s="220"/>
      <c r="T37" s="220"/>
      <c r="U37" s="220"/>
      <c r="V37" s="220"/>
      <c r="W37" s="220"/>
      <c r="X37" s="220"/>
      <c r="Y37" s="220"/>
      <c r="Z37" s="220"/>
      <c r="AA37" s="220"/>
      <c r="AB37" s="220"/>
      <c r="AC37" s="220"/>
      <c r="AD37" s="220"/>
      <c r="AE37" s="220"/>
    </row>
    <row r="38" spans="1:31" x14ac:dyDescent="0.25">
      <c r="A38" s="73" t="s">
        <v>301</v>
      </c>
      <c r="B38" s="73">
        <f t="shared" ref="B38:B42" si="1">C13</f>
        <v>0</v>
      </c>
      <c r="C38" s="73">
        <f ca="1">D13</f>
        <v>0</v>
      </c>
      <c r="D38" s="73" t="s">
        <v>306</v>
      </c>
      <c r="E38" s="73">
        <f t="shared" ref="E38:E40" si="2">B22</f>
        <v>0</v>
      </c>
      <c r="F38" s="73">
        <f ca="1">C22</f>
        <v>0</v>
      </c>
      <c r="G38" s="73" t="s">
        <v>310</v>
      </c>
      <c r="H38" s="73">
        <f t="shared" ref="H38:H42" si="3">C29</f>
        <v>0</v>
      </c>
      <c r="I38" s="115">
        <f ca="1">D29</f>
        <v>0</v>
      </c>
      <c r="J38" s="73"/>
      <c r="O38" s="106"/>
      <c r="P38" s="106"/>
      <c r="Q38" s="106"/>
      <c r="R38" s="106"/>
      <c r="S38" s="220"/>
      <c r="T38" s="220"/>
      <c r="U38" s="220"/>
      <c r="V38" s="220"/>
      <c r="W38" s="220"/>
      <c r="X38" s="220"/>
      <c r="Y38" s="220"/>
      <c r="Z38" s="220"/>
      <c r="AA38" s="220"/>
      <c r="AB38" s="220"/>
      <c r="AC38" s="220"/>
      <c r="AD38" s="220"/>
      <c r="AE38" s="220"/>
    </row>
    <row r="39" spans="1:31" x14ac:dyDescent="0.25">
      <c r="A39" s="73" t="s">
        <v>302</v>
      </c>
      <c r="B39" s="73">
        <f t="shared" si="1"/>
        <v>5</v>
      </c>
      <c r="C39" s="73">
        <f ca="1">D14</f>
        <v>3</v>
      </c>
      <c r="D39" s="73" t="s">
        <v>307</v>
      </c>
      <c r="E39" s="73">
        <f t="shared" si="2"/>
        <v>0</v>
      </c>
      <c r="F39" s="73">
        <f ca="1">C23</f>
        <v>0</v>
      </c>
      <c r="G39" s="73" t="s">
        <v>311</v>
      </c>
      <c r="H39" s="73">
        <f t="shared" si="3"/>
        <v>0</v>
      </c>
      <c r="I39" s="109">
        <f ca="1">D30</f>
        <v>0</v>
      </c>
      <c r="J39" s="73"/>
      <c r="S39" s="220"/>
      <c r="T39" s="220"/>
      <c r="U39" s="220"/>
      <c r="V39" s="220"/>
      <c r="W39" s="220"/>
      <c r="X39" s="220"/>
      <c r="Y39" s="220"/>
      <c r="Z39" s="220"/>
      <c r="AA39" s="220"/>
      <c r="AB39" s="220"/>
      <c r="AC39" s="220"/>
      <c r="AD39" s="220"/>
      <c r="AE39" s="220"/>
    </row>
    <row r="40" spans="1:31" x14ac:dyDescent="0.25">
      <c r="A40" s="73" t="s">
        <v>303</v>
      </c>
      <c r="B40" s="73">
        <f t="shared" si="1"/>
        <v>0</v>
      </c>
      <c r="C40" s="73">
        <f ca="1">D15</f>
        <v>0</v>
      </c>
      <c r="D40" s="73" t="s">
        <v>309</v>
      </c>
      <c r="E40" s="73">
        <f t="shared" si="2"/>
        <v>10</v>
      </c>
      <c r="F40" s="73">
        <f ca="1">C24</f>
        <v>2</v>
      </c>
      <c r="G40" s="73" t="s">
        <v>312</v>
      </c>
      <c r="H40" s="73">
        <f t="shared" si="3"/>
        <v>10</v>
      </c>
      <c r="I40" s="109">
        <f ca="1">D31</f>
        <v>1</v>
      </c>
      <c r="J40" s="73"/>
    </row>
    <row r="41" spans="1:31" x14ac:dyDescent="0.25">
      <c r="A41" s="73" t="s">
        <v>304</v>
      </c>
      <c r="B41" s="73">
        <f t="shared" si="1"/>
        <v>5</v>
      </c>
      <c r="C41" s="73">
        <f ca="1">D16</f>
        <v>0</v>
      </c>
      <c r="D41" s="73"/>
      <c r="E41" s="73"/>
      <c r="F41" s="73"/>
      <c r="G41" s="73" t="s">
        <v>313</v>
      </c>
      <c r="H41" s="73">
        <f t="shared" si="3"/>
        <v>0</v>
      </c>
      <c r="I41" s="109">
        <f ca="1">D32</f>
        <v>0</v>
      </c>
      <c r="J41" s="73"/>
    </row>
    <row r="42" spans="1:31" x14ac:dyDescent="0.25">
      <c r="A42" s="73" t="s">
        <v>305</v>
      </c>
      <c r="B42" s="73">
        <f t="shared" si="1"/>
        <v>5</v>
      </c>
      <c r="C42" s="73">
        <f ca="1">D17</f>
        <v>0</v>
      </c>
      <c r="D42" s="73"/>
      <c r="E42" s="73"/>
      <c r="F42" s="73"/>
      <c r="G42" s="73" t="s">
        <v>308</v>
      </c>
      <c r="H42" s="73">
        <f t="shared" si="3"/>
        <v>0</v>
      </c>
      <c r="I42" s="73">
        <f ca="1">D33</f>
        <v>0</v>
      </c>
      <c r="J42" s="73"/>
    </row>
    <row r="43" spans="1:31" x14ac:dyDescent="0.25">
      <c r="A43" s="73"/>
      <c r="B43" s="73"/>
      <c r="C43" s="73"/>
      <c r="D43" s="73"/>
      <c r="E43" s="73"/>
      <c r="F43" s="73"/>
      <c r="G43" s="73"/>
      <c r="H43" s="73"/>
      <c r="I43" s="115"/>
      <c r="J43" s="73"/>
    </row>
    <row r="44" spans="1:31" x14ac:dyDescent="0.25">
      <c r="A44" s="73"/>
      <c r="B44" s="73"/>
      <c r="C44" s="73"/>
      <c r="D44" s="73"/>
      <c r="E44" s="73"/>
      <c r="F44" s="73"/>
      <c r="G44" s="73"/>
      <c r="H44" s="73"/>
      <c r="I44" s="115"/>
      <c r="J44" s="73"/>
    </row>
  </sheetData>
  <sheetProtection selectLockedCells="1"/>
  <protectedRanges>
    <protectedRange sqref="V12 N6 N7:O7 C13:C17 C29:C33 N27 K7:K8 B22:B24 B4:C7 E4:F7 N14:R17 N21:Q23" name="Intervalo1"/>
    <protectedRange sqref="B8:C8 P9:Q9" name="Intervalo1_1"/>
  </protectedRanges>
  <dataConsolidate/>
  <customSheetViews>
    <customSheetView guid="{5F7E442B-9104-458B-9892-4194DBB06FCD}">
      <selection activeCell="C12" sqref="C12"/>
      <pageMargins left="0.511811024" right="0.511811024" top="0.78740157499999996" bottom="0.78740157499999996" header="0.31496062000000002" footer="0.31496062000000002"/>
      <pageSetup paperSize="9" orientation="portrait" r:id="rId1"/>
    </customSheetView>
  </customSheetViews>
  <mergeCells count="31">
    <mergeCell ref="N17:R17"/>
    <mergeCell ref="P20:Q20"/>
    <mergeCell ref="N20:O20"/>
    <mergeCell ref="N27:Q37"/>
    <mergeCell ref="N25:Q25"/>
    <mergeCell ref="B19:F19"/>
    <mergeCell ref="P22:Q22"/>
    <mergeCell ref="N23:O23"/>
    <mergeCell ref="P23:Q23"/>
    <mergeCell ref="N19:Q19"/>
    <mergeCell ref="N15:R15"/>
    <mergeCell ref="N16:R16"/>
    <mergeCell ref="N14:R14"/>
    <mergeCell ref="P9:Q9"/>
    <mergeCell ref="B7:C7"/>
    <mergeCell ref="B2:E2"/>
    <mergeCell ref="B26:F26"/>
    <mergeCell ref="E20:F20"/>
    <mergeCell ref="N21:O21"/>
    <mergeCell ref="P21:Q21"/>
    <mergeCell ref="N22:O22"/>
    <mergeCell ref="N12:Q12"/>
    <mergeCell ref="B4:C4"/>
    <mergeCell ref="B5:C5"/>
    <mergeCell ref="B10:E10"/>
    <mergeCell ref="B8:C8"/>
    <mergeCell ref="M8:O8"/>
    <mergeCell ref="E5:F5"/>
    <mergeCell ref="B6:C6"/>
    <mergeCell ref="E6:F6"/>
    <mergeCell ref="E7:F7"/>
  </mergeCells>
  <conditionalFormatting sqref="L6">
    <cfRule type="iconSet" priority="2">
      <iconSet iconSet="3Symbols2">
        <cfvo type="percent" val="0"/>
        <cfvo type="formula" val="$K$6"/>
        <cfvo type="formula" val="$K$6"/>
      </iconSet>
    </cfRule>
  </conditionalFormatting>
  <dataValidations count="11">
    <dataValidation type="list" allowBlank="1" showInputMessage="1" showErrorMessage="1" sqref="C13:C17" xr:uid="{00000000-0002-0000-0200-000000000000}">
      <formula1>zeroàcinco</formula1>
    </dataValidation>
    <dataValidation type="list" allowBlank="1" showInputMessage="1" showErrorMessage="1" sqref="C29:C33 B22:B24" xr:uid="{00000000-0002-0000-0200-000001000000}">
      <formula1>zeroàdez</formula1>
    </dataValidation>
    <dataValidation type="list" allowBlank="1" showInputMessage="1" showErrorMessage="1" sqref="N6" xr:uid="{00000000-0002-0000-0200-000002000000}">
      <formula1>zeroàvinte</formula1>
    </dataValidation>
    <dataValidation type="list" allowBlank="1" showInputMessage="1" showErrorMessage="1" sqref="N7" xr:uid="{00000000-0002-0000-0200-000003000000}">
      <formula1>cores</formula1>
    </dataValidation>
    <dataValidation type="list" allowBlank="1" showInputMessage="1" showErrorMessage="1" sqref="E5:F5" xr:uid="{00000000-0002-0000-0200-000004000000}">
      <formula1>aptidão</formula1>
    </dataValidation>
    <dataValidation type="list" allowBlank="1" showInputMessage="1" showErrorMessage="1" sqref="E6:F6" xr:uid="{00000000-0002-0000-0200-000005000000}">
      <formula1>divisões</formula1>
    </dataValidation>
    <dataValidation type="list" allowBlank="1" showInputMessage="1" showErrorMessage="1" sqref="B5:C5" xr:uid="{00000000-0002-0000-0200-000006000000}">
      <formula1>sexo</formula1>
    </dataValidation>
    <dataValidation type="list" allowBlank="1" showInputMessage="1" showErrorMessage="1" sqref="B6:C6" xr:uid="{00000000-0002-0000-0200-000007000000}">
      <formula1>classes</formula1>
    </dataValidation>
    <dataValidation type="custom" allowBlank="1" showInputMessage="1" showErrorMessage="1" sqref="L18" xr:uid="{00000000-0002-0000-0200-000008000000}">
      <formula1>pontos</formula1>
    </dataValidation>
    <dataValidation type="list" allowBlank="1" showInputMessage="1" showErrorMessage="1" sqref="B4:C4" xr:uid="{00000000-0002-0000-0200-000009000000}">
      <formula1>listanomes</formula1>
    </dataValidation>
    <dataValidation type="list" allowBlank="1" showInputMessage="1" showErrorMessage="1" sqref="P9:Q9" xr:uid="{00000000-0002-0000-0200-00000A000000}">
      <formula1>especialização</formula1>
    </dataValidation>
  </dataValidations>
  <pageMargins left="0.511811024" right="0.511811024" top="0.78740157499999996" bottom="0.78740157499999996" header="0.31496062000000002" footer="0.31496062000000002"/>
  <pageSetup paperSize="9" scale="47" orientation="portrait" r:id="rId2"/>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B000000}">
          <x14:formula1>
            <xm:f>Database!$M$10:$M$11</xm:f>
          </x14:formula1>
          <xm:sqref>F4</xm:sqref>
        </x14:dataValidation>
        <x14:dataValidation type="list" allowBlank="1" showInputMessage="1" showErrorMessage="1" xr:uid="{00000000-0002-0000-0200-00000C000000}">
          <x14:formula1>
            <xm:f>Database!$I$2:$I$6</xm:f>
          </x14:formula1>
          <xm:sqref>O7</xm:sqref>
        </x14:dataValidation>
        <x14:dataValidation type="list" allowBlank="1" showInputMessage="1" showErrorMessage="1" xr:uid="{00000000-0002-0000-0200-00000D000000}">
          <x14:formula1>
            <xm:f>Database!$C$37:$C$42</xm:f>
          </x14:formula1>
          <xm:sqref>E7:F7</xm:sqref>
        </x14:dataValidation>
        <x14:dataValidation type="list" allowBlank="1" showInputMessage="1" showErrorMessage="1" xr:uid="{00000000-0002-0000-0200-00000E000000}">
          <x14:formula1>
            <xm:f>Database!$D$154:$D$162</xm:f>
          </x14:formula1>
          <xm:sqref>B7:C7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tabColor rgb="FFC85100"/>
  </sheetPr>
  <dimension ref="B1:W35"/>
  <sheetViews>
    <sheetView showGridLines="0" zoomScale="95" zoomScaleNormal="95" workbookViewId="0">
      <selection activeCell="G6" sqref="G6"/>
    </sheetView>
  </sheetViews>
  <sheetFormatPr defaultColWidth="9.140625" defaultRowHeight="14.25" x14ac:dyDescent="0.25"/>
  <cols>
    <col min="1" max="1" width="2.42578125" style="55" customWidth="1"/>
    <col min="2" max="2" width="10" style="55" bestFit="1" customWidth="1"/>
    <col min="3" max="7" width="9.140625" style="55"/>
    <col min="8" max="8" width="10.42578125" style="55" customWidth="1"/>
    <col min="9" max="9" width="11.42578125" style="55" customWidth="1"/>
    <col min="10" max="14" width="9.140625" style="55"/>
    <col min="15" max="15" width="9.7109375" style="55" customWidth="1"/>
    <col min="16" max="16" width="12.7109375" style="55" bestFit="1" customWidth="1"/>
    <col min="17" max="19" width="9.140625" style="55"/>
    <col min="20" max="20" width="8.140625" style="55" bestFit="1" customWidth="1"/>
    <col min="21" max="16384" width="9.140625" style="55"/>
  </cols>
  <sheetData>
    <row r="1" spans="2:23" x14ac:dyDescent="0.25">
      <c r="I1" s="236" t="str">
        <f>'Informações Gerais'!P9</f>
        <v>Kidou  Suporte</v>
      </c>
      <c r="J1" s="236" t="s">
        <v>55</v>
      </c>
      <c r="K1" s="236" t="s">
        <v>868</v>
      </c>
      <c r="M1" s="211"/>
      <c r="N1" s="211"/>
      <c r="O1" s="211"/>
      <c r="P1" s="211"/>
    </row>
    <row r="2" spans="2:23" x14ac:dyDescent="0.25">
      <c r="B2" s="116"/>
      <c r="C2" s="116"/>
      <c r="D2" s="116"/>
      <c r="E2" s="116"/>
      <c r="F2" s="117">
        <f>'Informações Gerais'!L7</f>
        <v>11.111111111111111</v>
      </c>
      <c r="G2" s="116"/>
      <c r="H2" s="116"/>
      <c r="I2" s="236"/>
      <c r="J2" s="236">
        <f>VLOOKUP(I1,multiplicadores,5,0)</f>
        <v>0.5</v>
      </c>
      <c r="K2" s="236">
        <f>VLOOKUP(I1,multiplicadores,6,0)</f>
        <v>1</v>
      </c>
      <c r="L2" s="215"/>
      <c r="M2" s="215"/>
      <c r="N2" s="215"/>
      <c r="O2" s="215"/>
      <c r="P2" s="215"/>
      <c r="Q2" s="116"/>
      <c r="R2" s="116"/>
      <c r="S2" s="116"/>
      <c r="T2" s="116"/>
      <c r="U2" s="116"/>
      <c r="V2" s="116"/>
      <c r="W2" s="116"/>
    </row>
    <row r="3" spans="2:23" x14ac:dyDescent="0.25">
      <c r="B3" s="116"/>
      <c r="C3" s="116"/>
      <c r="D3" s="116"/>
      <c r="E3" s="116"/>
      <c r="F3" s="116"/>
      <c r="G3" s="116"/>
      <c r="H3" s="116"/>
      <c r="I3" s="116"/>
      <c r="J3" s="218"/>
      <c r="K3" s="215"/>
      <c r="L3" s="215"/>
      <c r="M3" s="215"/>
      <c r="N3" s="215"/>
      <c r="O3" s="215"/>
      <c r="P3" s="215"/>
      <c r="Q3" s="116"/>
      <c r="R3" s="116"/>
      <c r="S3" s="116"/>
      <c r="T3" s="116"/>
      <c r="U3" s="116"/>
      <c r="V3" s="116"/>
      <c r="W3" s="116"/>
    </row>
    <row r="4" spans="2:23" ht="15" customHeight="1" x14ac:dyDescent="0.3">
      <c r="B4" s="116"/>
      <c r="C4" s="118" t="s">
        <v>54</v>
      </c>
      <c r="D4" s="118"/>
      <c r="E4" s="118"/>
      <c r="F4" s="209"/>
      <c r="H4" s="116"/>
      <c r="I4" s="116"/>
      <c r="J4" s="119" t="s">
        <v>782</v>
      </c>
      <c r="K4" s="118"/>
      <c r="L4" s="118"/>
      <c r="M4" s="118"/>
      <c r="N4" s="118"/>
      <c r="O4" s="116"/>
      <c r="P4" s="135"/>
      <c r="R4" s="118" t="s">
        <v>848</v>
      </c>
      <c r="S4" s="116"/>
      <c r="T4" s="116"/>
      <c r="U4" s="126"/>
      <c r="V4" s="116"/>
      <c r="W4" s="116"/>
    </row>
    <row r="5" spans="2:23" x14ac:dyDescent="0.25">
      <c r="B5" s="116"/>
      <c r="C5" s="120"/>
      <c r="D5" s="121"/>
      <c r="E5" s="121"/>
      <c r="F5" s="116"/>
      <c r="G5" s="121"/>
      <c r="H5" s="116"/>
      <c r="I5" s="116"/>
      <c r="J5" s="116"/>
      <c r="K5" s="116"/>
      <c r="L5" s="116"/>
      <c r="M5" s="116"/>
      <c r="N5" s="116"/>
      <c r="O5" s="116"/>
      <c r="P5" s="116"/>
      <c r="T5" s="152" t="s">
        <v>478</v>
      </c>
      <c r="U5" s="153" t="s">
        <v>868</v>
      </c>
      <c r="V5" s="116"/>
      <c r="W5" s="116"/>
    </row>
    <row r="6" spans="2:23" x14ac:dyDescent="0.25">
      <c r="B6" s="122" t="s">
        <v>15</v>
      </c>
      <c r="C6" s="291"/>
      <c r="D6" s="291"/>
      <c r="E6" s="291"/>
      <c r="F6" s="122" t="s">
        <v>51</v>
      </c>
      <c r="G6" s="166">
        <v>15</v>
      </c>
      <c r="I6" s="122" t="s">
        <v>38</v>
      </c>
      <c r="J6" s="291"/>
      <c r="K6" s="291"/>
      <c r="L6" s="291"/>
      <c r="M6" s="291"/>
      <c r="N6" s="291"/>
      <c r="O6" s="132"/>
      <c r="P6" s="155" t="s">
        <v>64</v>
      </c>
      <c r="Q6" s="285" t="s">
        <v>858</v>
      </c>
      <c r="R6" s="286"/>
      <c r="S6" s="287"/>
      <c r="T6" s="161">
        <f ca="1">VLOOKUP(Q6,hohoutec,4,0)</f>
        <v>0</v>
      </c>
      <c r="U6" s="156">
        <f ca="1">VLOOKUP(Q6,hohoutec,8,0)</f>
        <v>98.789346246973366</v>
      </c>
      <c r="V6" s="116"/>
      <c r="W6" s="116"/>
    </row>
    <row r="7" spans="2:23" x14ac:dyDescent="0.25">
      <c r="B7" s="122" t="s">
        <v>66</v>
      </c>
      <c r="C7" s="291"/>
      <c r="D7" s="291"/>
      <c r="E7" s="291"/>
      <c r="F7" s="122" t="s">
        <v>68</v>
      </c>
      <c r="G7" s="124">
        <f>G6*G6</f>
        <v>225</v>
      </c>
      <c r="H7" s="212"/>
      <c r="I7" s="122" t="s">
        <v>39</v>
      </c>
      <c r="J7" s="291"/>
      <c r="K7" s="291"/>
      <c r="L7" s="291"/>
      <c r="M7" s="291"/>
      <c r="N7" s="291"/>
      <c r="O7" s="132"/>
      <c r="P7" s="155" t="s">
        <v>13</v>
      </c>
      <c r="Q7" s="288" t="str">
        <f>VLOOKUP(Q6,hohoutec,2,0)</f>
        <v>600 PP's</v>
      </c>
      <c r="R7" s="289"/>
      <c r="S7" s="290"/>
      <c r="T7" s="305" t="str">
        <f>VLOOKUP(Q6,hohoutec,7,0)</f>
        <v>Ação</v>
      </c>
      <c r="U7" s="306"/>
      <c r="V7" s="116"/>
      <c r="W7" s="116"/>
    </row>
    <row r="8" spans="2:23" x14ac:dyDescent="0.25">
      <c r="B8" s="122" t="s">
        <v>1026</v>
      </c>
      <c r="C8" s="298" t="s">
        <v>93</v>
      </c>
      <c r="D8" s="299"/>
      <c r="E8" s="300"/>
      <c r="F8" s="122" t="s">
        <v>67</v>
      </c>
      <c r="G8" s="144">
        <f ca="1">'Informações Gerais'!T3*(C12*0.15)*1.2*J2</f>
        <v>344.25</v>
      </c>
      <c r="H8" s="212"/>
      <c r="I8" s="122" t="s">
        <v>73</v>
      </c>
      <c r="J8" s="291"/>
      <c r="K8" s="291"/>
      <c r="L8" s="291"/>
      <c r="M8" s="291"/>
      <c r="N8" s="291"/>
      <c r="Q8" s="307" t="str">
        <f>VLOOKUP(Q6,hohoutec,5,0)</f>
        <v>Aumenta em 10% o dano do usuário na utilização de golpes físicos(zanjutsu e Hakuda), mas ele levará 5% do dano pelo impacto.  Causa um redutor de -5 a ação de defesa do oponente, caso ele passe no teste de reflexo com redutor de -5 haverá redutor na ação de defesa no valor de -2. No uso de golpes mágicos, utiliza-se apenas o redutor, mas o usuário deve passar em um teste de inteligencia -5 antes de realizar a manobra, para propulsionar seu golpe.</v>
      </c>
      <c r="R8" s="307"/>
      <c r="S8" s="307"/>
      <c r="T8" s="307"/>
      <c r="U8" s="307"/>
      <c r="W8" s="116"/>
    </row>
    <row r="9" spans="2:23" ht="14.25" customHeight="1" x14ac:dyDescent="0.25">
      <c r="B9" s="122" t="s">
        <v>477</v>
      </c>
      <c r="C9" s="301">
        <f>ROUNDDOWN(C10,0)</f>
        <v>3</v>
      </c>
      <c r="D9" s="302"/>
      <c r="E9" s="303"/>
      <c r="F9" s="108" t="s">
        <v>781</v>
      </c>
      <c r="G9" s="167" t="s">
        <v>110</v>
      </c>
      <c r="I9" s="116"/>
      <c r="J9" s="116"/>
      <c r="K9" s="116"/>
      <c r="L9" s="116"/>
      <c r="M9" s="116"/>
      <c r="N9" s="116"/>
      <c r="Q9" s="308"/>
      <c r="R9" s="308"/>
      <c r="S9" s="308"/>
      <c r="T9" s="308"/>
      <c r="U9" s="308"/>
      <c r="V9" s="116"/>
      <c r="W9" s="116"/>
    </row>
    <row r="10" spans="2:23" ht="15" customHeight="1" x14ac:dyDescent="0.25">
      <c r="B10" s="117"/>
      <c r="C10" s="117">
        <f>(G6*0.25)</f>
        <v>3.75</v>
      </c>
      <c r="D10" s="116"/>
      <c r="E10" s="116"/>
      <c r="H10" s="116"/>
      <c r="I10" s="116"/>
      <c r="J10" s="116"/>
      <c r="K10" s="116"/>
      <c r="L10" s="116"/>
      <c r="M10" s="116"/>
      <c r="N10" s="212"/>
      <c r="Q10" s="308"/>
      <c r="R10" s="308"/>
      <c r="S10" s="308"/>
      <c r="T10" s="308"/>
      <c r="U10" s="308"/>
      <c r="V10" s="116"/>
      <c r="W10" s="116"/>
    </row>
    <row r="11" spans="2:23" ht="15" customHeight="1" x14ac:dyDescent="0.25">
      <c r="B11" s="116"/>
      <c r="C11" s="118" t="s">
        <v>56</v>
      </c>
      <c r="D11" s="118"/>
      <c r="E11" s="118"/>
      <c r="F11" s="118"/>
      <c r="G11" s="212"/>
      <c r="I11" s="116"/>
      <c r="J11" s="118" t="s">
        <v>72</v>
      </c>
      <c r="K11" s="118"/>
      <c r="L11" s="118"/>
      <c r="M11" s="118"/>
      <c r="N11" s="212"/>
      <c r="P11" s="217" t="s">
        <v>867</v>
      </c>
      <c r="Q11" s="308"/>
      <c r="R11" s="308"/>
      <c r="S11" s="308"/>
      <c r="T11" s="308"/>
      <c r="U11" s="308"/>
      <c r="V11" s="116"/>
      <c r="W11" s="116"/>
    </row>
    <row r="12" spans="2:23" x14ac:dyDescent="0.25">
      <c r="B12" s="116"/>
      <c r="C12" s="117">
        <f>G6</f>
        <v>15</v>
      </c>
      <c r="D12" s="126"/>
      <c r="E12" s="116"/>
      <c r="F12" s="121"/>
      <c r="G12" s="212"/>
      <c r="H12" s="211"/>
      <c r="I12" s="116"/>
      <c r="J12" s="127">
        <f>G6</f>
        <v>15</v>
      </c>
      <c r="K12" s="126"/>
      <c r="L12" s="116"/>
      <c r="M12" s="121"/>
      <c r="N12" s="212"/>
      <c r="O12" s="212"/>
      <c r="P12" s="157"/>
      <c r="Q12" s="308"/>
      <c r="R12" s="308"/>
      <c r="S12" s="308"/>
      <c r="T12" s="308"/>
      <c r="U12" s="308"/>
      <c r="V12" s="116"/>
      <c r="W12" s="116"/>
    </row>
    <row r="13" spans="2:23" x14ac:dyDescent="0.25">
      <c r="B13" s="122" t="s">
        <v>15</v>
      </c>
      <c r="C13" s="291"/>
      <c r="D13" s="291"/>
      <c r="E13" s="291"/>
      <c r="F13" s="122" t="s">
        <v>69</v>
      </c>
      <c r="G13" s="151">
        <f ca="1">IF(G7=0,0,((G14/(G6*15.5))*(F2*2.5)))*K2</f>
        <v>74.032258064516128</v>
      </c>
      <c r="H13" s="211"/>
      <c r="I13" s="122" t="s">
        <v>15</v>
      </c>
      <c r="J13" s="291"/>
      <c r="K13" s="291"/>
      <c r="L13" s="291"/>
      <c r="M13" s="122" t="s">
        <v>69</v>
      </c>
      <c r="N13" s="151">
        <f ca="1">G13*1.8</f>
        <v>133.25806451612902</v>
      </c>
      <c r="O13" s="212"/>
      <c r="P13" s="157"/>
      <c r="Q13" s="308"/>
      <c r="R13" s="308"/>
      <c r="S13" s="308"/>
      <c r="T13" s="308"/>
      <c r="U13" s="308"/>
      <c r="V13" s="116"/>
      <c r="W13" s="116"/>
    </row>
    <row r="14" spans="2:23" x14ac:dyDescent="0.25">
      <c r="B14" s="122" t="s">
        <v>66</v>
      </c>
      <c r="C14" s="291"/>
      <c r="D14" s="291"/>
      <c r="E14" s="291"/>
      <c r="F14" s="128" t="s">
        <v>67</v>
      </c>
      <c r="G14" s="144">
        <f ca="1">G8*1.8</f>
        <v>619.65</v>
      </c>
      <c r="H14" s="219"/>
      <c r="I14" s="122" t="s">
        <v>66</v>
      </c>
      <c r="J14" s="291"/>
      <c r="K14" s="291"/>
      <c r="L14" s="291"/>
      <c r="M14" s="128" t="s">
        <v>67</v>
      </c>
      <c r="N14" s="144">
        <f ca="1">G14*1.8</f>
        <v>1115.3699999999999</v>
      </c>
      <c r="O14" s="212"/>
      <c r="P14" s="157"/>
      <c r="Q14" s="308"/>
      <c r="R14" s="308"/>
      <c r="S14" s="308"/>
      <c r="T14" s="308"/>
      <c r="U14" s="308"/>
      <c r="V14" s="116"/>
      <c r="W14" s="116"/>
    </row>
    <row r="15" spans="2:23" x14ac:dyDescent="0.25">
      <c r="B15" s="122" t="s">
        <v>57</v>
      </c>
      <c r="C15" s="292"/>
      <c r="D15" s="292"/>
      <c r="E15" s="292"/>
      <c r="F15" s="122" t="s">
        <v>70</v>
      </c>
      <c r="G15" s="129">
        <f>IF(C15="",0,VLOOKUP(C15,'Efeitos +'!$A$3:$D$329,3,0))</f>
        <v>0</v>
      </c>
      <c r="H15" s="116"/>
      <c r="I15" s="122" t="s">
        <v>57</v>
      </c>
      <c r="J15" s="292"/>
      <c r="K15" s="292"/>
      <c r="L15" s="292"/>
      <c r="M15" s="122" t="s">
        <v>70</v>
      </c>
      <c r="N15" s="124">
        <f>IF(J15="",0,VLOOKUP(J15,'Efeitos +'!$A$3:$D$329,4,0))</f>
        <v>0</v>
      </c>
      <c r="O15" s="132"/>
      <c r="P15" s="157"/>
      <c r="Q15" s="308"/>
      <c r="R15" s="308"/>
      <c r="S15" s="308"/>
      <c r="T15" s="308"/>
      <c r="U15" s="308"/>
      <c r="V15" s="116"/>
      <c r="W15" s="116"/>
    </row>
    <row r="16" spans="2:23" ht="14.25" customHeight="1" x14ac:dyDescent="0.25">
      <c r="B16" s="122" t="s">
        <v>57</v>
      </c>
      <c r="C16" s="292"/>
      <c r="D16" s="292"/>
      <c r="E16" s="292"/>
      <c r="F16" s="122" t="s">
        <v>70</v>
      </c>
      <c r="G16" s="129">
        <f>IF(C16="",0,VLOOKUP(C16,'Efeitos +'!$A$3:$D$329,3,0))</f>
        <v>0</v>
      </c>
      <c r="H16" s="116"/>
      <c r="I16" s="122" t="s">
        <v>57</v>
      </c>
      <c r="J16" s="292"/>
      <c r="K16" s="292"/>
      <c r="L16" s="292"/>
      <c r="M16" s="122" t="s">
        <v>70</v>
      </c>
      <c r="N16" s="124">
        <f>IF(J16="",0,VLOOKUP(J16,'Efeitos +'!$A$3:$D$329,4,0))</f>
        <v>0</v>
      </c>
      <c r="O16" s="132"/>
      <c r="P16" s="158" t="s">
        <v>65</v>
      </c>
      <c r="Q16" s="311" t="str">
        <f>VLOOKUP(Q6,hohoutec,6,0)</f>
        <v>É uma técnica de grande habilidade, na qual o usuário concentra os spíritrons com a intensão de propulsionar a si mesmo, seu kidou ou à outrem parecendo um foguete. Consegue se mover muito velozmente no ar, mal sendo acompanhado  pelos olhos.</v>
      </c>
      <c r="R16" s="311"/>
      <c r="S16" s="311"/>
      <c r="T16" s="311"/>
      <c r="U16" s="311"/>
      <c r="V16" s="116"/>
      <c r="W16" s="116"/>
    </row>
    <row r="17" spans="2:23" ht="15" customHeight="1" x14ac:dyDescent="0.25">
      <c r="B17" s="122" t="s">
        <v>58</v>
      </c>
      <c r="C17" s="293"/>
      <c r="D17" s="293"/>
      <c r="E17" s="293"/>
      <c r="F17" s="122" t="s">
        <v>71</v>
      </c>
      <c r="G17" s="129">
        <f>IF(C17="",0,VLOOKUP(C17,'Efeitos -'!$A$3:$D$264,3,0))</f>
        <v>0</v>
      </c>
      <c r="H17" s="116"/>
      <c r="I17" s="122" t="s">
        <v>58</v>
      </c>
      <c r="J17" s="293"/>
      <c r="K17" s="293"/>
      <c r="L17" s="293"/>
      <c r="M17" s="122" t="s">
        <v>71</v>
      </c>
      <c r="N17" s="124">
        <f>IF(J17="",0,VLOOKUP(J17,'Efeitos -'!$A$3:$D$262,4,0))</f>
        <v>0</v>
      </c>
      <c r="O17" s="132"/>
      <c r="Q17" s="311"/>
      <c r="R17" s="311"/>
      <c r="S17" s="311"/>
      <c r="T17" s="311"/>
      <c r="U17" s="311"/>
      <c r="V17" s="116"/>
      <c r="W17" s="116"/>
    </row>
    <row r="18" spans="2:23" ht="14.25" customHeight="1" x14ac:dyDescent="0.25">
      <c r="B18" s="122" t="s">
        <v>58</v>
      </c>
      <c r="C18" s="293"/>
      <c r="D18" s="293"/>
      <c r="E18" s="293"/>
      <c r="F18" s="122" t="s">
        <v>71</v>
      </c>
      <c r="G18" s="129">
        <f>IF(C18="",0,VLOOKUP(C18,'Efeitos -'!$A$3:$D$262,3,0))</f>
        <v>0</v>
      </c>
      <c r="H18" s="116"/>
      <c r="I18" s="122" t="s">
        <v>58</v>
      </c>
      <c r="J18" s="293"/>
      <c r="K18" s="293"/>
      <c r="L18" s="293"/>
      <c r="M18" s="122" t="s">
        <v>71</v>
      </c>
      <c r="N18" s="124">
        <f>IF(J18="",0,VLOOKUP(J18,'Efeitos -'!$A$3:$D$262,4,0))</f>
        <v>0</v>
      </c>
      <c r="O18" s="116"/>
      <c r="Q18" s="311"/>
      <c r="R18" s="311"/>
      <c r="S18" s="311"/>
      <c r="T18" s="311"/>
      <c r="U18" s="311"/>
      <c r="V18" s="116"/>
      <c r="W18" s="116"/>
    </row>
    <row r="19" spans="2:23" x14ac:dyDescent="0.25">
      <c r="B19" s="116"/>
      <c r="C19" s="116"/>
      <c r="D19" s="116"/>
      <c r="E19" s="116"/>
      <c r="F19" s="116"/>
      <c r="G19" s="116"/>
      <c r="H19" s="116"/>
      <c r="I19" s="116"/>
      <c r="J19" s="116"/>
      <c r="K19" s="116"/>
      <c r="L19" s="116"/>
      <c r="M19" s="116"/>
      <c r="N19" s="116"/>
      <c r="O19" s="116"/>
      <c r="P19" s="159"/>
      <c r="Q19" s="311"/>
      <c r="R19" s="311"/>
      <c r="S19" s="311"/>
      <c r="T19" s="311"/>
      <c r="U19" s="311"/>
      <c r="V19" s="116"/>
      <c r="W19" s="116"/>
    </row>
    <row r="20" spans="2:23" x14ac:dyDescent="0.25">
      <c r="B20" s="116"/>
      <c r="C20" s="116"/>
      <c r="D20" s="116"/>
      <c r="E20" s="116"/>
      <c r="F20" s="116"/>
      <c r="G20" s="116"/>
      <c r="H20" s="116"/>
      <c r="I20" s="116"/>
      <c r="J20" s="116"/>
      <c r="K20" s="116"/>
      <c r="L20" s="116"/>
      <c r="M20" s="116"/>
      <c r="N20" s="116"/>
      <c r="O20" s="116"/>
      <c r="P20" s="160"/>
      <c r="Q20" s="311"/>
      <c r="R20" s="311"/>
      <c r="S20" s="311"/>
      <c r="T20" s="311"/>
      <c r="U20" s="311"/>
      <c r="V20" s="116"/>
      <c r="W20" s="116"/>
    </row>
    <row r="21" spans="2:23" ht="15" customHeight="1" x14ac:dyDescent="0.25">
      <c r="B21" s="116"/>
      <c r="O21" s="116"/>
      <c r="P21" s="160"/>
      <c r="Q21" s="311"/>
      <c r="R21" s="311"/>
      <c r="S21" s="311"/>
      <c r="T21" s="311"/>
      <c r="U21" s="311"/>
      <c r="V21" s="116"/>
      <c r="W21" s="116"/>
    </row>
    <row r="22" spans="2:23" x14ac:dyDescent="0.25">
      <c r="B22" s="116"/>
      <c r="C22" s="118" t="s">
        <v>59</v>
      </c>
      <c r="D22" s="118"/>
      <c r="E22" s="118"/>
      <c r="F22" s="118"/>
      <c r="G22" s="118"/>
      <c r="H22" s="116"/>
      <c r="I22" s="116"/>
      <c r="J22" s="294" t="s">
        <v>59</v>
      </c>
      <c r="K22" s="294"/>
      <c r="L22" s="294"/>
      <c r="M22" s="294"/>
      <c r="N22" s="294"/>
      <c r="O22" s="116"/>
      <c r="Q22" s="311"/>
      <c r="R22" s="311"/>
      <c r="S22" s="311"/>
      <c r="T22" s="311"/>
      <c r="U22" s="311"/>
      <c r="V22" s="116"/>
      <c r="W22" s="116"/>
    </row>
    <row r="23" spans="2:23" x14ac:dyDescent="0.25">
      <c r="B23" s="116"/>
      <c r="C23" s="116"/>
      <c r="D23" s="116"/>
      <c r="E23" s="116"/>
      <c r="F23" s="116"/>
      <c r="G23" s="116"/>
      <c r="H23" s="116"/>
      <c r="I23" s="116"/>
      <c r="J23" s="116"/>
      <c r="K23" s="116"/>
      <c r="L23" s="116"/>
      <c r="M23" s="116"/>
      <c r="N23" s="116"/>
      <c r="O23" s="116"/>
      <c r="V23" s="116"/>
      <c r="W23" s="116"/>
    </row>
    <row r="24" spans="2:23" x14ac:dyDescent="0.25">
      <c r="B24" s="116"/>
      <c r="C24" s="296" t="s">
        <v>64</v>
      </c>
      <c r="D24" s="296"/>
      <c r="E24" s="296"/>
      <c r="F24" s="123" t="s">
        <v>49</v>
      </c>
      <c r="G24" s="123" t="s">
        <v>55</v>
      </c>
      <c r="H24" s="116"/>
      <c r="I24" s="116"/>
      <c r="J24" s="296" t="s">
        <v>64</v>
      </c>
      <c r="K24" s="296"/>
      <c r="L24" s="296"/>
      <c r="M24" s="123" t="s">
        <v>49</v>
      </c>
      <c r="N24" s="123" t="s">
        <v>55</v>
      </c>
      <c r="O24" s="116"/>
      <c r="P24" s="309" t="s">
        <v>52</v>
      </c>
      <c r="Q24" s="309"/>
      <c r="R24" s="309"/>
      <c r="S24" s="309"/>
      <c r="T24" s="309"/>
      <c r="U24" s="116"/>
      <c r="V24" s="116"/>
      <c r="W24" s="116"/>
    </row>
    <row r="25" spans="2:23" x14ac:dyDescent="0.25">
      <c r="B25" s="122" t="s">
        <v>60</v>
      </c>
      <c r="C25" s="291"/>
      <c r="D25" s="291"/>
      <c r="E25" s="291"/>
      <c r="F25" s="110">
        <f t="shared" ref="F25:F27" ca="1" si="0">G25/10.1</f>
        <v>67.486633663366334</v>
      </c>
      <c r="G25" s="144">
        <f ca="1">G14*1.1</f>
        <v>681.61500000000001</v>
      </c>
      <c r="H25" s="117">
        <f>G6</f>
        <v>15</v>
      </c>
      <c r="I25" s="122" t="s">
        <v>60</v>
      </c>
      <c r="J25" s="291"/>
      <c r="K25" s="291"/>
      <c r="L25" s="291"/>
      <c r="M25" s="110">
        <f ca="1">N25/10.1</f>
        <v>121.47594059405941</v>
      </c>
      <c r="N25" s="144">
        <f ca="1">N14*1.1</f>
        <v>1226.9069999999999</v>
      </c>
      <c r="O25" s="117">
        <f>G6</f>
        <v>15</v>
      </c>
      <c r="P25" s="310" t="s">
        <v>53</v>
      </c>
      <c r="Q25" s="310"/>
      <c r="R25" s="310"/>
      <c r="S25" s="310"/>
      <c r="T25" s="130" t="s">
        <v>14</v>
      </c>
      <c r="U25" s="116"/>
      <c r="V25" s="116"/>
      <c r="W25" s="116"/>
    </row>
    <row r="26" spans="2:23" x14ac:dyDescent="0.25">
      <c r="B26" s="122" t="s">
        <v>61</v>
      </c>
      <c r="C26" s="291"/>
      <c r="D26" s="291"/>
      <c r="E26" s="291"/>
      <c r="F26" s="110">
        <f t="shared" ca="1" si="0"/>
        <v>73.621782178217813</v>
      </c>
      <c r="G26" s="144">
        <f ca="1">G14*1.2</f>
        <v>743.57999999999993</v>
      </c>
      <c r="H26" s="117">
        <f>G6</f>
        <v>15</v>
      </c>
      <c r="I26" s="122" t="s">
        <v>61</v>
      </c>
      <c r="J26" s="291"/>
      <c r="K26" s="291"/>
      <c r="L26" s="291"/>
      <c r="M26" s="110">
        <f t="shared" ref="M26:M28" ca="1" si="1">N26/10.1</f>
        <v>132.51920792079207</v>
      </c>
      <c r="N26" s="144">
        <f ca="1">N14*1.2</f>
        <v>1338.4439999999997</v>
      </c>
      <c r="O26" s="117">
        <f>G6</f>
        <v>15</v>
      </c>
      <c r="P26" s="304" t="s">
        <v>817</v>
      </c>
      <c r="Q26" s="304"/>
      <c r="R26" s="304"/>
      <c r="S26" s="304"/>
      <c r="T26" s="167" t="s">
        <v>141</v>
      </c>
      <c r="U26" s="116"/>
      <c r="V26" s="116"/>
      <c r="W26" s="116"/>
    </row>
    <row r="27" spans="2:23" x14ac:dyDescent="0.25">
      <c r="B27" s="122" t="s">
        <v>62</v>
      </c>
      <c r="C27" s="291"/>
      <c r="D27" s="291"/>
      <c r="E27" s="291"/>
      <c r="F27" s="110">
        <f t="shared" ca="1" si="0"/>
        <v>79.756930693069307</v>
      </c>
      <c r="G27" s="144">
        <f ca="1">G14*1.3</f>
        <v>805.54499999999996</v>
      </c>
      <c r="H27" s="117">
        <f>G6</f>
        <v>15</v>
      </c>
      <c r="I27" s="122" t="s">
        <v>62</v>
      </c>
      <c r="J27" s="291"/>
      <c r="K27" s="291"/>
      <c r="L27" s="291"/>
      <c r="M27" s="110">
        <f t="shared" ca="1" si="1"/>
        <v>143.56247524752476</v>
      </c>
      <c r="N27" s="144">
        <f ca="1">N14*1.3</f>
        <v>1449.981</v>
      </c>
      <c r="O27" s="117">
        <f>G6</f>
        <v>15</v>
      </c>
      <c r="P27" s="304"/>
      <c r="Q27" s="304"/>
      <c r="R27" s="304"/>
      <c r="S27" s="304"/>
      <c r="T27" s="167"/>
      <c r="U27" s="116"/>
      <c r="V27" s="116"/>
      <c r="W27" s="116"/>
    </row>
    <row r="28" spans="2:23" x14ac:dyDescent="0.25">
      <c r="B28" s="122" t="s">
        <v>63</v>
      </c>
      <c r="C28" s="291"/>
      <c r="D28" s="291"/>
      <c r="E28" s="291"/>
      <c r="F28" s="110">
        <f ca="1">G28/10.1</f>
        <v>85.892079207920787</v>
      </c>
      <c r="G28" s="144">
        <f ca="1">G14*1.4</f>
        <v>867.50999999999988</v>
      </c>
      <c r="H28" s="117">
        <f>G6</f>
        <v>15</v>
      </c>
      <c r="I28" s="122" t="s">
        <v>63</v>
      </c>
      <c r="J28" s="291"/>
      <c r="K28" s="291"/>
      <c r="L28" s="291"/>
      <c r="M28" s="110">
        <f t="shared" ca="1" si="1"/>
        <v>154.60574257425742</v>
      </c>
      <c r="N28" s="144">
        <f ca="1">N14*1.4</f>
        <v>1561.5179999999998</v>
      </c>
      <c r="O28" s="117">
        <f>G6</f>
        <v>15</v>
      </c>
      <c r="P28" s="304"/>
      <c r="Q28" s="304"/>
      <c r="R28" s="304"/>
      <c r="S28" s="304"/>
      <c r="T28" s="167"/>
      <c r="U28" s="116"/>
      <c r="V28" s="116"/>
      <c r="W28" s="116"/>
    </row>
    <row r="29" spans="2:23" x14ac:dyDescent="0.25">
      <c r="B29" s="116"/>
      <c r="C29" s="116"/>
      <c r="D29" s="116"/>
      <c r="E29" s="116"/>
      <c r="F29" s="116"/>
      <c r="G29" s="131"/>
      <c r="H29" s="116"/>
      <c r="I29" s="132"/>
      <c r="J29" s="116"/>
      <c r="K29" s="116"/>
      <c r="L29" s="116"/>
      <c r="M29" s="116"/>
      <c r="N29" s="116"/>
      <c r="O29" s="116"/>
      <c r="P29" s="304"/>
      <c r="Q29" s="304"/>
      <c r="R29" s="304"/>
      <c r="S29" s="304"/>
      <c r="T29" s="167"/>
      <c r="U29" s="116"/>
      <c r="V29" s="116"/>
      <c r="W29" s="116"/>
    </row>
    <row r="30" spans="2:23" x14ac:dyDescent="0.25">
      <c r="B30" s="116"/>
      <c r="C30" s="295" t="s">
        <v>65</v>
      </c>
      <c r="D30" s="295"/>
      <c r="E30" s="295"/>
      <c r="F30" s="295"/>
      <c r="G30" s="295"/>
      <c r="H30" s="116"/>
      <c r="I30" s="132"/>
      <c r="J30" s="297" t="s">
        <v>65</v>
      </c>
      <c r="K30" s="297"/>
      <c r="L30" s="297"/>
      <c r="M30" s="297"/>
      <c r="N30" s="297"/>
      <c r="O30" s="116"/>
      <c r="P30" s="304"/>
      <c r="Q30" s="304"/>
      <c r="R30" s="304"/>
      <c r="S30" s="304"/>
      <c r="T30" s="167"/>
      <c r="U30" s="116"/>
      <c r="V30" s="116"/>
      <c r="W30" s="116"/>
    </row>
    <row r="31" spans="2:23" x14ac:dyDescent="0.25">
      <c r="B31" s="122" t="s">
        <v>60</v>
      </c>
      <c r="C31" s="291"/>
      <c r="D31" s="291"/>
      <c r="E31" s="291"/>
      <c r="F31" s="291"/>
      <c r="G31" s="291"/>
      <c r="H31" s="116"/>
      <c r="I31" s="122" t="s">
        <v>60</v>
      </c>
      <c r="J31" s="291"/>
      <c r="K31" s="291"/>
      <c r="L31" s="291"/>
      <c r="M31" s="291"/>
      <c r="N31" s="291"/>
      <c r="O31" s="116"/>
      <c r="P31" s="304"/>
      <c r="Q31" s="304"/>
      <c r="R31" s="304"/>
      <c r="S31" s="304"/>
      <c r="T31" s="167"/>
      <c r="U31" s="116"/>
      <c r="V31" s="116"/>
      <c r="W31" s="116"/>
    </row>
    <row r="32" spans="2:23" x14ac:dyDescent="0.25">
      <c r="B32" s="122" t="s">
        <v>61</v>
      </c>
      <c r="C32" s="291"/>
      <c r="D32" s="291"/>
      <c r="E32" s="291"/>
      <c r="F32" s="291"/>
      <c r="G32" s="291"/>
      <c r="H32" s="116"/>
      <c r="I32" s="122" t="s">
        <v>61</v>
      </c>
      <c r="J32" s="291"/>
      <c r="K32" s="291"/>
      <c r="L32" s="291"/>
      <c r="M32" s="291"/>
      <c r="N32" s="291"/>
      <c r="O32" s="116"/>
      <c r="P32" s="304"/>
      <c r="Q32" s="304"/>
      <c r="R32" s="304"/>
      <c r="S32" s="304"/>
      <c r="T32" s="167"/>
      <c r="U32" s="116"/>
      <c r="V32" s="116"/>
      <c r="W32" s="116"/>
    </row>
    <row r="33" spans="2:23" x14ac:dyDescent="0.25">
      <c r="B33" s="122" t="s">
        <v>62</v>
      </c>
      <c r="C33" s="291"/>
      <c r="D33" s="291"/>
      <c r="E33" s="291"/>
      <c r="F33" s="291"/>
      <c r="G33" s="291"/>
      <c r="H33" s="116"/>
      <c r="I33" s="122" t="s">
        <v>62</v>
      </c>
      <c r="J33" s="291"/>
      <c r="K33" s="291"/>
      <c r="L33" s="291"/>
      <c r="M33" s="291"/>
      <c r="N33" s="291"/>
      <c r="O33" s="116"/>
      <c r="P33" s="304"/>
      <c r="Q33" s="304"/>
      <c r="R33" s="304"/>
      <c r="S33" s="304"/>
      <c r="T33" s="167"/>
      <c r="U33" s="116"/>
      <c r="V33" s="116"/>
      <c r="W33" s="116"/>
    </row>
    <row r="34" spans="2:23" x14ac:dyDescent="0.25">
      <c r="B34" s="122" t="s">
        <v>63</v>
      </c>
      <c r="C34" s="291"/>
      <c r="D34" s="291"/>
      <c r="E34" s="291"/>
      <c r="F34" s="291"/>
      <c r="G34" s="291"/>
      <c r="H34" s="116"/>
      <c r="I34" s="122" t="s">
        <v>63</v>
      </c>
      <c r="J34" s="291"/>
      <c r="K34" s="291"/>
      <c r="L34" s="291"/>
      <c r="M34" s="291"/>
      <c r="N34" s="291"/>
      <c r="O34" s="116"/>
      <c r="P34" s="304"/>
      <c r="Q34" s="304"/>
      <c r="R34" s="304"/>
      <c r="S34" s="304"/>
      <c r="T34" s="167"/>
      <c r="U34" s="116"/>
      <c r="V34" s="116"/>
      <c r="W34" s="116"/>
    </row>
    <row r="35" spans="2:23" x14ac:dyDescent="0.25">
      <c r="B35" s="116"/>
      <c r="C35" s="133"/>
      <c r="D35" s="133"/>
      <c r="E35" s="133"/>
      <c r="F35" s="133"/>
      <c r="G35" s="133"/>
      <c r="H35" s="116"/>
      <c r="I35" s="116"/>
      <c r="J35" s="116"/>
      <c r="K35" s="116"/>
      <c r="L35" s="116"/>
      <c r="M35" s="116"/>
      <c r="N35" s="116"/>
      <c r="O35" s="116"/>
      <c r="U35" s="116"/>
      <c r="V35" s="116"/>
      <c r="W35" s="116"/>
    </row>
  </sheetData>
  <sheetProtection selectLockedCells="1" autoFilter="0"/>
  <protectedRanges>
    <protectedRange sqref="C6:E7 G6 C8 C13:C14 C15:E18 C25:E28 J6:N8 J25:L28 J31:N34 C31:G34 G9 P26:T34 J13:L18" name="Intervalo1"/>
    <protectedRange sqref="Q16 U8 Q7:Q8" name="Intervalo1_1"/>
  </protectedRanges>
  <customSheetViews>
    <customSheetView guid="{5F7E442B-9104-458B-9892-4194DBB06FCD}" topLeftCell="B1">
      <selection activeCell="G7" sqref="G7"/>
      <pageMargins left="0.511811024" right="0.511811024" top="0.78740157499999996" bottom="0.78740157499999996" header="0.31496062000000002" footer="0.31496062000000002"/>
      <pageSetup paperSize="9" orientation="portrait" horizontalDpi="300" verticalDpi="300" r:id="rId1"/>
    </customSheetView>
  </customSheetViews>
  <mergeCells count="56">
    <mergeCell ref="P34:S34"/>
    <mergeCell ref="P33:S33"/>
    <mergeCell ref="T7:U7"/>
    <mergeCell ref="Q8:U15"/>
    <mergeCell ref="P24:T24"/>
    <mergeCell ref="P31:S31"/>
    <mergeCell ref="P32:S32"/>
    <mergeCell ref="P25:S25"/>
    <mergeCell ref="P26:S26"/>
    <mergeCell ref="P27:S27"/>
    <mergeCell ref="P28:S28"/>
    <mergeCell ref="P29:S29"/>
    <mergeCell ref="P30:S30"/>
    <mergeCell ref="Q16:U22"/>
    <mergeCell ref="C13:E13"/>
    <mergeCell ref="C24:E24"/>
    <mergeCell ref="C17:E17"/>
    <mergeCell ref="C14:E14"/>
    <mergeCell ref="C6:E6"/>
    <mergeCell ref="C7:E7"/>
    <mergeCell ref="C8:E8"/>
    <mergeCell ref="C9:E9"/>
    <mergeCell ref="C31:G31"/>
    <mergeCell ref="C32:G32"/>
    <mergeCell ref="C16:E16"/>
    <mergeCell ref="C15:E15"/>
    <mergeCell ref="C18:E18"/>
    <mergeCell ref="C34:G34"/>
    <mergeCell ref="C30:G30"/>
    <mergeCell ref="J24:L24"/>
    <mergeCell ref="J25:L25"/>
    <mergeCell ref="J26:L26"/>
    <mergeCell ref="J34:N34"/>
    <mergeCell ref="J27:L27"/>
    <mergeCell ref="J28:L28"/>
    <mergeCell ref="J30:N30"/>
    <mergeCell ref="J31:N31"/>
    <mergeCell ref="C33:G33"/>
    <mergeCell ref="C28:E28"/>
    <mergeCell ref="C25:E25"/>
    <mergeCell ref="C26:E26"/>
    <mergeCell ref="C27:E27"/>
    <mergeCell ref="J32:N32"/>
    <mergeCell ref="J15:L15"/>
    <mergeCell ref="J16:L16"/>
    <mergeCell ref="J17:L17"/>
    <mergeCell ref="J18:L18"/>
    <mergeCell ref="J33:N33"/>
    <mergeCell ref="J22:N22"/>
    <mergeCell ref="Q6:S6"/>
    <mergeCell ref="Q7:S7"/>
    <mergeCell ref="J14:L14"/>
    <mergeCell ref="J7:N7"/>
    <mergeCell ref="J8:N8"/>
    <mergeCell ref="J6:N6"/>
    <mergeCell ref="J13:L13"/>
  </mergeCells>
  <conditionalFormatting sqref="H25">
    <cfRule type="iconSet" priority="13">
      <iconSet iconSet="3Symbols2">
        <cfvo type="percent" val="0"/>
        <cfvo type="num" val="5"/>
        <cfvo type="num" val="5"/>
      </iconSet>
    </cfRule>
  </conditionalFormatting>
  <conditionalFormatting sqref="H26">
    <cfRule type="iconSet" priority="11">
      <iconSet iconSet="3Symbols2">
        <cfvo type="percent" val="0"/>
        <cfvo type="num" val="7"/>
        <cfvo type="num" val="7"/>
      </iconSet>
    </cfRule>
  </conditionalFormatting>
  <conditionalFormatting sqref="H27">
    <cfRule type="iconSet" priority="10">
      <iconSet iconSet="3Symbols2">
        <cfvo type="percent" val="0"/>
        <cfvo type="num" val="8"/>
        <cfvo type="num" val="8"/>
      </iconSet>
    </cfRule>
  </conditionalFormatting>
  <conditionalFormatting sqref="H28">
    <cfRule type="iconSet" priority="8">
      <iconSet iconSet="3Symbols2">
        <cfvo type="percent" val="0"/>
        <cfvo type="num" val="9"/>
        <cfvo type="num" val="9"/>
      </iconSet>
    </cfRule>
  </conditionalFormatting>
  <conditionalFormatting sqref="O25">
    <cfRule type="iconSet" priority="7">
      <iconSet iconSet="3Symbols2">
        <cfvo type="percent" val="0"/>
        <cfvo type="num" val="10"/>
        <cfvo type="num" val="10"/>
      </iconSet>
    </cfRule>
  </conditionalFormatting>
  <conditionalFormatting sqref="O26">
    <cfRule type="iconSet" priority="6">
      <iconSet iconSet="3Symbols2">
        <cfvo type="percent" val="0"/>
        <cfvo type="num" val="14"/>
        <cfvo type="num" val="14"/>
      </iconSet>
    </cfRule>
  </conditionalFormatting>
  <conditionalFormatting sqref="O27">
    <cfRule type="iconSet" priority="5">
      <iconSet iconSet="3Symbols2">
        <cfvo type="percent" val="0"/>
        <cfvo type="num" val="18"/>
        <cfvo type="num" val="18"/>
      </iconSet>
    </cfRule>
  </conditionalFormatting>
  <conditionalFormatting sqref="O28">
    <cfRule type="iconSet" priority="4">
      <iconSet iconSet="3Symbols2">
        <cfvo type="percent" val="0"/>
        <cfvo type="num" val="20"/>
        <cfvo type="num" val="20"/>
      </iconSet>
    </cfRule>
  </conditionalFormatting>
  <dataValidations count="6">
    <dataValidation type="list" allowBlank="1" showInputMessage="1" showErrorMessage="1" sqref="G6" xr:uid="{00000000-0002-0000-0300-000000000000}">
      <formula1>zeroàvinte</formula1>
    </dataValidation>
    <dataValidation type="list" allowBlank="1" showInputMessage="1" showErrorMessage="1" sqref="C8:E8" xr:uid="{00000000-0002-0000-0300-000001000000}">
      <formula1>essências</formula1>
    </dataValidation>
    <dataValidation type="list" allowBlank="1" showInputMessage="1" showErrorMessage="1" sqref="T26:T34" xr:uid="{00000000-0002-0000-0300-000002000000}">
      <formula1>bônus</formula1>
    </dataValidation>
    <dataValidation type="list" allowBlank="1" showInputMessage="1" showErrorMessage="1" sqref="C15:E16 J15:L16" xr:uid="{00000000-0002-0000-0300-000003000000}">
      <formula1>Efeitospositivos</formula1>
    </dataValidation>
    <dataValidation type="list" allowBlank="1" showInputMessage="1" showErrorMessage="1" sqref="C17:E18 J17:L18" xr:uid="{00000000-0002-0000-0300-000004000000}">
      <formula1>Efeitosnegativos</formula1>
    </dataValidation>
    <dataValidation type="list" allowBlank="1" showInputMessage="1" showErrorMessage="1" sqref="Q6:S6" xr:uid="{00000000-0002-0000-0300-000005000000}">
      <formula1>hohou</formula1>
    </dataValidation>
  </dataValidations>
  <pageMargins left="0.511811024" right="0.511811024" top="0.78740157499999996" bottom="0.78740157499999996" header="0.31496062000000002" footer="0.31496062000000002"/>
  <pageSetup paperSize="9" orientation="portrait" horizontalDpi="300" verticalDpi="300"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6000000}">
          <x14:formula1>
            <xm:f>Database!$I$2:$I$6</xm:f>
          </x14:formula1>
          <xm:sqref>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tabColor rgb="FF561256"/>
  </sheetPr>
  <dimension ref="B1:W46"/>
  <sheetViews>
    <sheetView showGridLines="0" topLeftCell="A4" zoomScaleNormal="100" workbookViewId="0">
      <selection activeCell="K10" sqref="K10:N10"/>
    </sheetView>
  </sheetViews>
  <sheetFormatPr defaultColWidth="9.140625" defaultRowHeight="14.25" x14ac:dyDescent="0.25"/>
  <cols>
    <col min="1" max="1" width="3.140625" style="55" customWidth="1"/>
    <col min="2" max="2" width="2.42578125" style="55" customWidth="1"/>
    <col min="3" max="4" width="9.140625" style="55"/>
    <col min="5" max="5" width="15.42578125" style="55" customWidth="1"/>
    <col min="6" max="6" width="9.42578125" style="55" customWidth="1"/>
    <col min="7" max="21" width="9.140625" style="55"/>
    <col min="22" max="22" width="9.7109375" style="55" bestFit="1" customWidth="1"/>
    <col min="23" max="16384" width="9.140625" style="55"/>
  </cols>
  <sheetData>
    <row r="1" spans="2:23" x14ac:dyDescent="0.25">
      <c r="J1" s="219"/>
      <c r="K1" s="211"/>
      <c r="L1" s="211"/>
      <c r="M1" s="211"/>
      <c r="O1" s="211"/>
      <c r="P1" s="236" t="str">
        <f>'Informações Gerais'!P9</f>
        <v>Kidou  Suporte</v>
      </c>
      <c r="Q1" s="236" t="s">
        <v>868</v>
      </c>
      <c r="R1" s="236" t="s">
        <v>55</v>
      </c>
      <c r="S1" s="117">
        <f ca="1">'Informações Gerais'!T9</f>
        <v>26.124444444444443</v>
      </c>
    </row>
    <row r="2" spans="2:23" x14ac:dyDescent="0.25">
      <c r="B2" s="116"/>
      <c r="C2" s="134">
        <f ca="1">'Informações Gerais'!Q7</f>
        <v>204</v>
      </c>
      <c r="D2" s="116"/>
      <c r="E2" s="116"/>
      <c r="F2" s="116"/>
      <c r="G2" s="116"/>
      <c r="H2" s="116"/>
      <c r="J2" s="219"/>
      <c r="K2" s="211"/>
      <c r="L2" s="219"/>
      <c r="M2" s="211"/>
      <c r="O2" s="211"/>
      <c r="P2" s="237"/>
      <c r="Q2" s="236">
        <f>VLOOKUP(P1,multiplicadores,7,0)</f>
        <v>0.7</v>
      </c>
      <c r="R2" s="236">
        <f>VLOOKUP(P1,multiplicadores,8,0)</f>
        <v>1.1000000000000001</v>
      </c>
      <c r="T2" s="116"/>
      <c r="V2" s="116"/>
      <c r="W2" s="116"/>
    </row>
    <row r="3" spans="2:23" ht="15" customHeight="1" x14ac:dyDescent="0.25">
      <c r="B3" s="116"/>
      <c r="C3" s="116"/>
      <c r="D3" s="116"/>
      <c r="E3" s="116"/>
      <c r="F3" s="116"/>
      <c r="G3" s="116"/>
      <c r="H3" s="116"/>
      <c r="I3" s="238"/>
      <c r="J3" s="238"/>
      <c r="K3" s="238"/>
      <c r="L3" s="238"/>
      <c r="M3" s="238"/>
      <c r="N3" s="238"/>
      <c r="O3" s="238"/>
      <c r="P3" s="238"/>
      <c r="Q3" s="238"/>
      <c r="R3" s="238"/>
      <c r="S3" s="238"/>
      <c r="T3" s="238"/>
      <c r="U3" s="238"/>
      <c r="V3" s="116"/>
      <c r="W3" s="116"/>
    </row>
    <row r="4" spans="2:23" ht="15" customHeight="1" x14ac:dyDescent="0.25">
      <c r="B4" s="116"/>
      <c r="C4" s="116"/>
      <c r="D4" s="320" t="s">
        <v>76</v>
      </c>
      <c r="E4" s="320"/>
      <c r="F4" s="135"/>
      <c r="G4" s="135"/>
      <c r="H4" s="116"/>
      <c r="J4" s="239"/>
      <c r="K4" s="239"/>
      <c r="L4" s="239"/>
      <c r="M4" s="239"/>
      <c r="N4" s="276" t="s">
        <v>74</v>
      </c>
      <c r="O4" s="276"/>
      <c r="P4" s="239"/>
      <c r="Q4" s="239"/>
      <c r="R4" s="239"/>
      <c r="S4" s="239"/>
      <c r="T4" s="239"/>
      <c r="U4" s="239"/>
      <c r="V4" s="116"/>
      <c r="W4" s="116"/>
    </row>
    <row r="5" spans="2:23" x14ac:dyDescent="0.25">
      <c r="B5" s="116"/>
      <c r="C5" s="117">
        <f>IF(D9="",0,IF(D9="Dano Físico",'Informações Gerais'!$I$6,IF(Personalização!D9="Nível de Kidou",Personalização!C10,IF(Personalização!D9="D/R Reiatsu",'Informações Gerais'!$Q$7,IF(Personalização!D9="Dano Selado",Especificações!$G$8,0)))))</f>
        <v>0</v>
      </c>
      <c r="D5" s="117">
        <f>C5+(C5*G9)</f>
        <v>0</v>
      </c>
      <c r="E5" s="116"/>
      <c r="F5" s="116"/>
      <c r="G5" s="121" t="s">
        <v>14</v>
      </c>
      <c r="H5" s="116"/>
      <c r="V5" s="116"/>
      <c r="W5" s="116"/>
    </row>
    <row r="6" spans="2:23" x14ac:dyDescent="0.25">
      <c r="B6" s="116"/>
      <c r="C6" s="120" t="s">
        <v>15</v>
      </c>
      <c r="D6" s="318"/>
      <c r="E6" s="318"/>
      <c r="F6" s="318"/>
      <c r="G6" s="167"/>
      <c r="H6" s="116"/>
      <c r="I6" s="121" t="s">
        <v>75</v>
      </c>
      <c r="J6" s="121" t="s">
        <v>13</v>
      </c>
      <c r="K6" s="312" t="s">
        <v>64</v>
      </c>
      <c r="L6" s="312"/>
      <c r="M6" s="312"/>
      <c r="N6" s="312"/>
      <c r="O6" s="312" t="s">
        <v>65</v>
      </c>
      <c r="P6" s="312"/>
      <c r="Q6" s="312"/>
      <c r="R6" s="312"/>
      <c r="S6" s="121" t="s">
        <v>49</v>
      </c>
      <c r="T6" s="121" t="s">
        <v>526</v>
      </c>
      <c r="U6" s="121" t="s">
        <v>478</v>
      </c>
      <c r="V6" s="116"/>
      <c r="W6" s="116"/>
    </row>
    <row r="7" spans="2:23" x14ac:dyDescent="0.25">
      <c r="B7" s="116"/>
      <c r="C7" s="120" t="s">
        <v>77</v>
      </c>
      <c r="D7" s="318"/>
      <c r="E7" s="318"/>
      <c r="F7" s="318"/>
      <c r="G7" s="151">
        <f>IF(D9="",0,IF(D9="Nível de Kidou",D11,IF(D9="Dano Selado",C11,IF(D9="D/R Reiatsu",'Informações Gerais'!$P$7,IF(D9="Dano Físico",C11)))))</f>
        <v>0</v>
      </c>
      <c r="H7" s="116"/>
      <c r="I7" s="180" t="s">
        <v>1020</v>
      </c>
      <c r="J7" s="125">
        <f t="shared" ref="J7:J33" si="0">IF(K7="","",IF(I7="Hadou",VLOOKUP(K7,hadoulist,2,0),IF(I7="Bakudou",VLOOKUP(K7,bakudoulist,2,0),IF(I7="Hollow",VLOOKUP(K7,hollowlist,2,0),IF(I7="Especial",VLOOKUP(K7,especiaislist,2,0))))))</f>
        <v>4</v>
      </c>
      <c r="K7" s="313" t="s">
        <v>192</v>
      </c>
      <c r="L7" s="314"/>
      <c r="M7" s="314"/>
      <c r="N7" s="315"/>
      <c r="O7" s="316" t="str">
        <f t="shared" ref="O7:O33" si="1">IF(K7="","",IF(I7="Hadou",VLOOKUP(K7,hadoulist,3,0),IF(I7="Bakudou",VLOOKUP(K7,bakudoulist,3,0),IF(I7="Hollow",VLOOKUP(K7,hollowlist,3,0),IF(I7="Especial",VLOOKUP(K7,especiaislist,3,0))))))</f>
        <v>Golpe Perfurante</v>
      </c>
      <c r="P7" s="317"/>
      <c r="Q7" s="317"/>
      <c r="R7" s="317"/>
      <c r="S7" s="110">
        <f ca="1">T7/9.5*$Q$2</f>
        <v>14.398693801169589</v>
      </c>
      <c r="T7" s="144">
        <f ca="1">IF(J7="'",0,IF(J7="",0,($S$1*J7*1.7)))*$R$2</f>
        <v>195.41084444444445</v>
      </c>
      <c r="U7" s="136">
        <f>IF(J7="",0,(J7/10)+'Informações Gerais'!$N$6)</f>
        <v>15.4</v>
      </c>
      <c r="V7" s="212"/>
      <c r="W7" s="212"/>
    </row>
    <row r="8" spans="2:23" x14ac:dyDescent="0.25">
      <c r="B8" s="116"/>
      <c r="C8" s="120" t="s">
        <v>57</v>
      </c>
      <c r="D8" s="319"/>
      <c r="E8" s="319"/>
      <c r="F8" s="137">
        <f>IF(D8="",0,VLOOKUP(D8,'Efeitos +'!$A$3:$D$329,4,0))</f>
        <v>0</v>
      </c>
      <c r="G8" s="144">
        <f>D5</f>
        <v>0</v>
      </c>
      <c r="H8" s="116"/>
      <c r="I8" s="180" t="s">
        <v>1020</v>
      </c>
      <c r="J8" s="125">
        <f t="shared" si="0"/>
        <v>58</v>
      </c>
      <c r="K8" s="313" t="s">
        <v>200</v>
      </c>
      <c r="L8" s="314"/>
      <c r="M8" s="314"/>
      <c r="N8" s="315"/>
      <c r="O8" s="316" t="str">
        <f t="shared" si="1"/>
        <v>Golpe Atordoante</v>
      </c>
      <c r="P8" s="317"/>
      <c r="Q8" s="317"/>
      <c r="R8" s="317"/>
      <c r="S8" s="110">
        <f t="shared" ref="S8:S33" ca="1" si="2">T8/9.5*$Q$2</f>
        <v>208.78106011695903</v>
      </c>
      <c r="T8" s="144">
        <f t="shared" ref="T8:T33" ca="1" si="3">IF(J8="'",0,IF(J8="",0,($S$1*J8*1.7)))*$R$2</f>
        <v>2833.4572444444443</v>
      </c>
      <c r="U8" s="136">
        <f>IF(J8="",0,(J8/10)+'Informações Gerais'!$N$6)</f>
        <v>20.8</v>
      </c>
      <c r="V8" s="212"/>
      <c r="W8" s="212"/>
    </row>
    <row r="9" spans="2:23" x14ac:dyDescent="0.25">
      <c r="B9" s="116"/>
      <c r="C9" s="120" t="s">
        <v>78</v>
      </c>
      <c r="D9" s="325"/>
      <c r="E9" s="325"/>
      <c r="F9" s="193">
        <v>0</v>
      </c>
      <c r="G9" s="181">
        <v>0</v>
      </c>
      <c r="H9" s="116"/>
      <c r="I9" s="180" t="s">
        <v>1020</v>
      </c>
      <c r="J9" s="125">
        <f t="shared" si="0"/>
        <v>99</v>
      </c>
      <c r="K9" s="313" t="s">
        <v>1003</v>
      </c>
      <c r="L9" s="314"/>
      <c r="M9" s="314"/>
      <c r="N9" s="314"/>
      <c r="O9" s="316" t="str">
        <f t="shared" si="1"/>
        <v>Descarga em Área</v>
      </c>
      <c r="P9" s="317"/>
      <c r="Q9" s="317"/>
      <c r="R9" s="317"/>
      <c r="S9" s="110">
        <f t="shared" ca="1" si="2"/>
        <v>356.36767157894741</v>
      </c>
      <c r="T9" s="144">
        <f t="shared" ca="1" si="3"/>
        <v>4836.4184000000005</v>
      </c>
      <c r="U9" s="136">
        <f>IF(J9="",0,(J9/10)+'Informações Gerais'!$N$6)</f>
        <v>24.9</v>
      </c>
      <c r="V9" s="212"/>
      <c r="W9" s="212"/>
    </row>
    <row r="10" spans="2:23" x14ac:dyDescent="0.25">
      <c r="B10" s="116"/>
      <c r="C10" s="117">
        <f ca="1">IF(F9="'",0,IF(F9="",0,($S$1*F9)))</f>
        <v>0</v>
      </c>
      <c r="D10" s="121"/>
      <c r="E10" s="121"/>
      <c r="F10" s="121"/>
      <c r="G10" s="116"/>
      <c r="H10" s="116"/>
      <c r="I10" s="180" t="s">
        <v>1022</v>
      </c>
      <c r="J10" s="125">
        <f t="shared" si="0"/>
        <v>150</v>
      </c>
      <c r="K10" s="313" t="s">
        <v>1006</v>
      </c>
      <c r="L10" s="314"/>
      <c r="M10" s="314"/>
      <c r="N10" s="315"/>
      <c r="O10" s="316" t="str">
        <f t="shared" si="1"/>
        <v xml:space="preserve"> Golpe Atordoante</v>
      </c>
      <c r="P10" s="317"/>
      <c r="Q10" s="317"/>
      <c r="R10" s="317"/>
      <c r="S10" s="110">
        <f t="shared" ca="1" si="2"/>
        <v>539.95101754385962</v>
      </c>
      <c r="T10" s="144">
        <f t="shared" ca="1" si="3"/>
        <v>7327.9066666666668</v>
      </c>
      <c r="U10" s="136">
        <f>IF(J10="",0,(J10/10)+'Informações Gerais'!$N$6)</f>
        <v>30</v>
      </c>
      <c r="V10" s="212"/>
      <c r="W10" s="212"/>
    </row>
    <row r="11" spans="2:23" x14ac:dyDescent="0.25">
      <c r="B11" s="116"/>
      <c r="C11" s="117">
        <f>G8/8</f>
        <v>0</v>
      </c>
      <c r="D11" s="138">
        <f>G8/6</f>
        <v>0</v>
      </c>
      <c r="E11" s="121"/>
      <c r="F11" s="121"/>
      <c r="G11" s="116"/>
      <c r="H11" s="116"/>
      <c r="I11" s="180" t="s">
        <v>1020</v>
      </c>
      <c r="J11" s="125">
        <f t="shared" si="0"/>
        <v>58</v>
      </c>
      <c r="K11" s="313" t="s">
        <v>200</v>
      </c>
      <c r="L11" s="314"/>
      <c r="M11" s="314"/>
      <c r="N11" s="314"/>
      <c r="O11" s="316" t="str">
        <f t="shared" si="1"/>
        <v>Golpe Atordoante</v>
      </c>
      <c r="P11" s="317"/>
      <c r="Q11" s="317"/>
      <c r="R11" s="317"/>
      <c r="S11" s="110">
        <f t="shared" ca="1" si="2"/>
        <v>208.78106011695903</v>
      </c>
      <c r="T11" s="144">
        <f t="shared" ca="1" si="3"/>
        <v>2833.4572444444443</v>
      </c>
      <c r="U11" s="136">
        <f>IF(J11="",0,(J11/10)+'Informações Gerais'!$N$6)</f>
        <v>20.8</v>
      </c>
      <c r="V11" s="212"/>
      <c r="W11" s="212"/>
    </row>
    <row r="12" spans="2:23" ht="15" customHeight="1" x14ac:dyDescent="0.25">
      <c r="B12" s="116"/>
      <c r="C12" s="116"/>
      <c r="D12" s="324" t="s">
        <v>483</v>
      </c>
      <c r="E12" s="324"/>
      <c r="F12" s="135"/>
      <c r="G12" s="135"/>
      <c r="H12" s="135"/>
      <c r="I12" s="180" t="s">
        <v>1020</v>
      </c>
      <c r="J12" s="125">
        <f t="shared" si="0"/>
        <v>63</v>
      </c>
      <c r="K12" s="313" t="s">
        <v>202</v>
      </c>
      <c r="L12" s="314"/>
      <c r="M12" s="314"/>
      <c r="N12" s="314"/>
      <c r="O12" s="316" t="str">
        <f t="shared" si="1"/>
        <v>Descarga de Energia</v>
      </c>
      <c r="P12" s="317"/>
      <c r="Q12" s="317"/>
      <c r="R12" s="317"/>
      <c r="S12" s="110">
        <f t="shared" ca="1" si="2"/>
        <v>226.77942736842104</v>
      </c>
      <c r="T12" s="144">
        <f t="shared" ca="1" si="3"/>
        <v>3077.7208000000001</v>
      </c>
      <c r="U12" s="136">
        <f>IF(J12="",0,(J12/10)+'Informações Gerais'!$N$6)</f>
        <v>21.3</v>
      </c>
      <c r="V12" s="212"/>
      <c r="W12" s="212"/>
    </row>
    <row r="13" spans="2:23" x14ac:dyDescent="0.25">
      <c r="B13" s="116"/>
      <c r="C13" s="117">
        <f>IF(D17="",0,IF(D17="Dano Físico",'Informações Gerais'!$I$6,IF(Personalização!D17="Nível de Kidou",Personalização!C18,IF(Personalização!D17="D/R Reiatsu",'Informações Gerais'!$Q$7,IF(Personalização!D17="Dano Selado",Especificações!$G$8,0)))))</f>
        <v>0</v>
      </c>
      <c r="D13" s="194">
        <f>C13+(C13*G17)</f>
        <v>0</v>
      </c>
      <c r="E13" s="195"/>
      <c r="F13" s="195"/>
      <c r="G13" s="121" t="s">
        <v>14</v>
      </c>
      <c r="H13" s="138"/>
      <c r="I13" s="180" t="s">
        <v>1020</v>
      </c>
      <c r="J13" s="125">
        <f t="shared" si="0"/>
        <v>99</v>
      </c>
      <c r="K13" s="313" t="s">
        <v>1003</v>
      </c>
      <c r="L13" s="314"/>
      <c r="M13" s="314"/>
      <c r="N13" s="314"/>
      <c r="O13" s="316" t="str">
        <f t="shared" si="1"/>
        <v>Descarga em Área</v>
      </c>
      <c r="P13" s="317"/>
      <c r="Q13" s="317"/>
      <c r="R13" s="317"/>
      <c r="S13" s="110">
        <f t="shared" ca="1" si="2"/>
        <v>356.36767157894741</v>
      </c>
      <c r="T13" s="144">
        <f t="shared" ca="1" si="3"/>
        <v>4836.4184000000005</v>
      </c>
      <c r="U13" s="136">
        <f>IF(J13="",0,(J13/10)+'Informações Gerais'!$N$6)</f>
        <v>24.9</v>
      </c>
      <c r="V13" s="212"/>
      <c r="W13" s="212"/>
    </row>
    <row r="14" spans="2:23" x14ac:dyDescent="0.25">
      <c r="B14" s="116"/>
      <c r="C14" s="120" t="s">
        <v>15</v>
      </c>
      <c r="D14" s="318"/>
      <c r="E14" s="318"/>
      <c r="F14" s="318"/>
      <c r="G14" s="167"/>
      <c r="H14" s="139"/>
      <c r="I14" s="180" t="s">
        <v>1023</v>
      </c>
      <c r="J14" s="125">
        <f t="shared" si="0"/>
        <v>8</v>
      </c>
      <c r="K14" s="313" t="s">
        <v>212</v>
      </c>
      <c r="L14" s="314"/>
      <c r="M14" s="314"/>
      <c r="N14" s="314"/>
      <c r="O14" s="316" t="str">
        <f t="shared" si="1"/>
        <v>Repulsão de Golpes</v>
      </c>
      <c r="P14" s="317"/>
      <c r="Q14" s="317"/>
      <c r="R14" s="317"/>
      <c r="S14" s="110">
        <f t="shared" ca="1" si="2"/>
        <v>28.797387602339178</v>
      </c>
      <c r="T14" s="144">
        <f t="shared" ca="1" si="3"/>
        <v>390.8216888888889</v>
      </c>
      <c r="U14" s="136">
        <f>IF(J14="",0,(J14/10)+'Informações Gerais'!$N$6)</f>
        <v>15.8</v>
      </c>
      <c r="V14" s="212"/>
      <c r="W14" s="212"/>
    </row>
    <row r="15" spans="2:23" x14ac:dyDescent="0.25">
      <c r="B15" s="116"/>
      <c r="C15" s="120" t="s">
        <v>77</v>
      </c>
      <c r="D15" s="318"/>
      <c r="E15" s="318"/>
      <c r="F15" s="318"/>
      <c r="G15" s="151">
        <f>IF(D17="",0,IF(D17="Nível de Kidou",D19,IF(D17="Dano Selado",C19,IF(D17="D/R Reiatsu",'Informações Gerais'!$P$7,IF(D17="Dano Físico",C19)))))</f>
        <v>0</v>
      </c>
      <c r="H15" s="138"/>
      <c r="I15" s="180" t="s">
        <v>1023</v>
      </c>
      <c r="J15" s="125">
        <f t="shared" si="0"/>
        <v>26</v>
      </c>
      <c r="K15" s="313" t="s">
        <v>224</v>
      </c>
      <c r="L15" s="314"/>
      <c r="M15" s="314"/>
      <c r="N15" s="314"/>
      <c r="O15" s="316" t="str">
        <f t="shared" si="1"/>
        <v>Ocultação Individual</v>
      </c>
      <c r="P15" s="317"/>
      <c r="Q15" s="317"/>
      <c r="R15" s="317"/>
      <c r="S15" s="110">
        <f t="shared" ca="1" si="2"/>
        <v>93.591509707602327</v>
      </c>
      <c r="T15" s="144">
        <f t="shared" ca="1" si="3"/>
        <v>1270.1704888888887</v>
      </c>
      <c r="U15" s="136">
        <f>IF(J15="",0,(J15/10)+'Informações Gerais'!$N$6)</f>
        <v>17.600000000000001</v>
      </c>
      <c r="V15" s="212"/>
      <c r="W15" s="212"/>
    </row>
    <row r="16" spans="2:23" x14ac:dyDescent="0.25">
      <c r="B16" s="116"/>
      <c r="C16" s="120" t="s">
        <v>57</v>
      </c>
      <c r="D16" s="319"/>
      <c r="E16" s="319"/>
      <c r="F16" s="137">
        <f>IF(D16="",0,VLOOKUP(D16,'Efeitos +'!$A$3:$D$329,3,0))</f>
        <v>0</v>
      </c>
      <c r="G16" s="144">
        <f>D13</f>
        <v>0</v>
      </c>
      <c r="H16" s="139"/>
      <c r="I16" s="180" t="s">
        <v>1023</v>
      </c>
      <c r="J16" s="125">
        <f t="shared" si="0"/>
        <v>30</v>
      </c>
      <c r="K16" s="313" t="s">
        <v>226</v>
      </c>
      <c r="L16" s="314"/>
      <c r="M16" s="314"/>
      <c r="N16" s="314"/>
      <c r="O16" s="316" t="str">
        <f t="shared" si="1"/>
        <v>Contenção Seletiva</v>
      </c>
      <c r="P16" s="317"/>
      <c r="Q16" s="317"/>
      <c r="R16" s="317"/>
      <c r="S16" s="110">
        <f t="shared" ca="1" si="2"/>
        <v>107.9902035087719</v>
      </c>
      <c r="T16" s="144">
        <f t="shared" ca="1" si="3"/>
        <v>1465.5813333333331</v>
      </c>
      <c r="U16" s="136">
        <f>IF(J16="",0,(J16/10)+'Informações Gerais'!$N$6)</f>
        <v>18</v>
      </c>
      <c r="V16" s="212"/>
      <c r="W16" s="212"/>
    </row>
    <row r="17" spans="2:23" x14ac:dyDescent="0.25">
      <c r="B17" s="116"/>
      <c r="C17" s="120" t="s">
        <v>78</v>
      </c>
      <c r="D17" s="325"/>
      <c r="E17" s="325"/>
      <c r="F17" s="193">
        <v>0</v>
      </c>
      <c r="G17" s="181">
        <v>0</v>
      </c>
      <c r="H17" s="138"/>
      <c r="I17" s="180" t="s">
        <v>1023</v>
      </c>
      <c r="J17" s="125">
        <f t="shared" si="0"/>
        <v>39</v>
      </c>
      <c r="K17" s="313" t="s">
        <v>229</v>
      </c>
      <c r="L17" s="314"/>
      <c r="M17" s="314"/>
      <c r="N17" s="314"/>
      <c r="O17" s="316" t="str">
        <f t="shared" si="1"/>
        <v>Bloqueio Mágico</v>
      </c>
      <c r="P17" s="317"/>
      <c r="Q17" s="317"/>
      <c r="R17" s="317"/>
      <c r="S17" s="110">
        <f t="shared" ca="1" si="2"/>
        <v>140.3872645614035</v>
      </c>
      <c r="T17" s="144">
        <f t="shared" ca="1" si="3"/>
        <v>1905.2557333333334</v>
      </c>
      <c r="U17" s="136">
        <f>IF(J17="",0,(J17/10)+'Informações Gerais'!$N$6)</f>
        <v>18.899999999999999</v>
      </c>
      <c r="V17" s="212"/>
      <c r="W17" s="212"/>
    </row>
    <row r="18" spans="2:23" x14ac:dyDescent="0.25">
      <c r="B18" s="116"/>
      <c r="C18" s="117">
        <f ca="1">IF(F17="'",0,IF(F17="",0,($S$1*F17)))</f>
        <v>0</v>
      </c>
      <c r="D18" s="121"/>
      <c r="E18" s="121"/>
      <c r="F18" s="121"/>
      <c r="G18" s="116"/>
      <c r="H18" s="139"/>
      <c r="I18" s="180" t="s">
        <v>1023</v>
      </c>
      <c r="J18" s="125">
        <f t="shared" si="0"/>
        <v>62</v>
      </c>
      <c r="K18" s="313" t="s">
        <v>234</v>
      </c>
      <c r="L18" s="314"/>
      <c r="M18" s="314"/>
      <c r="N18" s="314"/>
      <c r="O18" s="316" t="str">
        <f t="shared" si="1"/>
        <v>Contenção Parcial + Golpe Perfurante</v>
      </c>
      <c r="P18" s="317"/>
      <c r="Q18" s="317"/>
      <c r="R18" s="317"/>
      <c r="S18" s="110">
        <f t="shared" ca="1" si="2"/>
        <v>223.17975391812865</v>
      </c>
      <c r="T18" s="144">
        <f t="shared" ca="1" si="3"/>
        <v>3028.8680888888894</v>
      </c>
      <c r="U18" s="136">
        <f>IF(J18="",0,(J18/10)+'Informações Gerais'!$N$6)</f>
        <v>21.2</v>
      </c>
      <c r="V18" s="212"/>
      <c r="W18" s="212"/>
    </row>
    <row r="19" spans="2:23" x14ac:dyDescent="0.25">
      <c r="B19" s="116"/>
      <c r="C19" s="117">
        <f>G16/8</f>
        <v>0</v>
      </c>
      <c r="D19" s="138">
        <f>G16/6</f>
        <v>0</v>
      </c>
      <c r="E19" s="121"/>
      <c r="F19" s="121"/>
      <c r="G19" s="116"/>
      <c r="H19" s="116"/>
      <c r="I19" s="180" t="s">
        <v>1023</v>
      </c>
      <c r="J19" s="125">
        <f t="shared" si="0"/>
        <v>99.1</v>
      </c>
      <c r="K19" s="313" t="s">
        <v>247</v>
      </c>
      <c r="L19" s="314"/>
      <c r="M19" s="314"/>
      <c r="N19" s="314"/>
      <c r="O19" s="316" t="str">
        <f t="shared" si="1"/>
        <v>Contenção Total</v>
      </c>
      <c r="P19" s="317"/>
      <c r="Q19" s="317"/>
      <c r="R19" s="317"/>
      <c r="S19" s="110">
        <f t="shared" ca="1" si="2"/>
        <v>356.7276389239766</v>
      </c>
      <c r="T19" s="144">
        <f t="shared" ca="1" si="3"/>
        <v>4841.3036711111108</v>
      </c>
      <c r="U19" s="136">
        <f>IF(J19="",0,(J19/10)+'Informações Gerais'!$N$6)</f>
        <v>24.91</v>
      </c>
      <c r="V19" s="212"/>
      <c r="W19" s="212"/>
    </row>
    <row r="20" spans="2:23" ht="15" customHeight="1" x14ac:dyDescent="0.25">
      <c r="B20" s="116"/>
      <c r="C20" s="116"/>
      <c r="D20" s="320" t="s">
        <v>80</v>
      </c>
      <c r="E20" s="320"/>
      <c r="G20" s="116"/>
      <c r="H20" s="116"/>
      <c r="I20" s="180" t="s">
        <v>1022</v>
      </c>
      <c r="J20" s="125">
        <f t="shared" si="0"/>
        <v>10</v>
      </c>
      <c r="K20" s="313" t="s">
        <v>263</v>
      </c>
      <c r="L20" s="314"/>
      <c r="M20" s="314"/>
      <c r="N20" s="314"/>
      <c r="O20" s="316" t="str">
        <f t="shared" si="1"/>
        <v>Reconstituição Espiritual</v>
      </c>
      <c r="P20" s="317"/>
      <c r="Q20" s="317"/>
      <c r="R20" s="317"/>
      <c r="S20" s="110">
        <f t="shared" ca="1" si="2"/>
        <v>35.996734502923971</v>
      </c>
      <c r="T20" s="144">
        <f t="shared" ca="1" si="3"/>
        <v>488.52711111111108</v>
      </c>
      <c r="U20" s="136">
        <f>IF(J20="",0,(J20/10)+'Informações Gerais'!$N$6)</f>
        <v>16</v>
      </c>
      <c r="V20" s="212"/>
      <c r="W20" s="212"/>
    </row>
    <row r="21" spans="2:23" x14ac:dyDescent="0.25">
      <c r="B21" s="116"/>
      <c r="C21" s="116"/>
      <c r="G21" s="121" t="s">
        <v>81</v>
      </c>
      <c r="H21" s="116"/>
      <c r="I21" s="180" t="s">
        <v>1022</v>
      </c>
      <c r="J21" s="125">
        <f t="shared" si="0"/>
        <v>25</v>
      </c>
      <c r="K21" s="313" t="s">
        <v>265</v>
      </c>
      <c r="L21" s="314"/>
      <c r="M21" s="314"/>
      <c r="N21" s="314"/>
      <c r="O21" s="316" t="str">
        <f t="shared" si="1"/>
        <v>Cura</v>
      </c>
      <c r="P21" s="317"/>
      <c r="Q21" s="317"/>
      <c r="R21" s="317"/>
      <c r="S21" s="110">
        <f t="shared" ca="1" si="2"/>
        <v>89.991836257309942</v>
      </c>
      <c r="T21" s="144">
        <f t="shared" ca="1" si="3"/>
        <v>1221.3177777777778</v>
      </c>
      <c r="U21" s="136">
        <f>IF(J21="",0,(J21/10)+'Informações Gerais'!$N$6)</f>
        <v>17.5</v>
      </c>
      <c r="V21" s="212"/>
      <c r="W21" s="212"/>
    </row>
    <row r="22" spans="2:23" x14ac:dyDescent="0.25">
      <c r="B22" s="116"/>
      <c r="C22" s="120" t="s">
        <v>15</v>
      </c>
      <c r="D22" s="318"/>
      <c r="E22" s="318"/>
      <c r="F22" s="318"/>
      <c r="G22" s="180" t="s">
        <v>102</v>
      </c>
      <c r="H22" s="116"/>
      <c r="I22" s="180" t="s">
        <v>1022</v>
      </c>
      <c r="J22" s="125">
        <f t="shared" si="0"/>
        <v>50</v>
      </c>
      <c r="K22" s="313" t="s">
        <v>501</v>
      </c>
      <c r="L22" s="314"/>
      <c r="M22" s="314"/>
      <c r="N22" s="314"/>
      <c r="O22" s="316" t="str">
        <f t="shared" si="1"/>
        <v>Nulificação de Magia</v>
      </c>
      <c r="P22" s="317"/>
      <c r="Q22" s="317"/>
      <c r="R22" s="317"/>
      <c r="S22" s="110">
        <f t="shared" ca="1" si="2"/>
        <v>179.98367251461988</v>
      </c>
      <c r="T22" s="144">
        <f t="shared" ca="1" si="3"/>
        <v>2442.6355555555556</v>
      </c>
      <c r="U22" s="136">
        <f>IF(J22="",0,(J22/10)+'Informações Gerais'!$N$6)</f>
        <v>20</v>
      </c>
      <c r="V22" s="212"/>
      <c r="W22" s="212"/>
    </row>
    <row r="23" spans="2:23" x14ac:dyDescent="0.25">
      <c r="B23" s="116"/>
      <c r="C23" s="120" t="s">
        <v>66</v>
      </c>
      <c r="D23" s="323"/>
      <c r="E23" s="323"/>
      <c r="F23" s="323"/>
      <c r="G23" s="151">
        <f ca="1">G24/12</f>
        <v>255</v>
      </c>
      <c r="I23" s="180" t="s">
        <v>1022</v>
      </c>
      <c r="J23" s="125">
        <f t="shared" si="0"/>
        <v>50</v>
      </c>
      <c r="K23" s="313" t="s">
        <v>506</v>
      </c>
      <c r="L23" s="314"/>
      <c r="M23" s="314"/>
      <c r="N23" s="314"/>
      <c r="O23" s="316" t="str">
        <f t="shared" si="1"/>
        <v>Transporte</v>
      </c>
      <c r="P23" s="317"/>
      <c r="Q23" s="317"/>
      <c r="R23" s="317"/>
      <c r="S23" s="110">
        <f t="shared" ca="1" si="2"/>
        <v>179.98367251461988</v>
      </c>
      <c r="T23" s="144">
        <f t="shared" ca="1" si="3"/>
        <v>2442.6355555555556</v>
      </c>
      <c r="U23" s="136">
        <f>IF(J23="",0,(J23/10)+'Informações Gerais'!$N$6)</f>
        <v>20</v>
      </c>
      <c r="V23" s="212"/>
      <c r="W23" s="212"/>
    </row>
    <row r="24" spans="2:23" x14ac:dyDescent="0.25">
      <c r="B24" s="116"/>
      <c r="C24" s="120" t="s">
        <v>79</v>
      </c>
      <c r="D24" s="318"/>
      <c r="E24" s="318"/>
      <c r="F24" s="196">
        <f ca="1">G24/10.5</f>
        <v>291.42857142857144</v>
      </c>
      <c r="G24" s="144">
        <f ca="1">C2*15</f>
        <v>3060</v>
      </c>
      <c r="H24" s="116"/>
      <c r="I24" s="180" t="s">
        <v>1022</v>
      </c>
      <c r="J24" s="125">
        <f t="shared" si="0"/>
        <v>70</v>
      </c>
      <c r="K24" s="313" t="s">
        <v>281</v>
      </c>
      <c r="L24" s="314"/>
      <c r="M24" s="314"/>
      <c r="N24" s="314"/>
      <c r="O24" s="316" t="str">
        <f t="shared" si="1"/>
        <v>Barreira Mágica + Transporte</v>
      </c>
      <c r="P24" s="317"/>
      <c r="Q24" s="317"/>
      <c r="R24" s="317"/>
      <c r="S24" s="110">
        <f t="shared" ca="1" si="2"/>
        <v>251.97714152046785</v>
      </c>
      <c r="T24" s="144">
        <f t="shared" ca="1" si="3"/>
        <v>3419.6897777777781</v>
      </c>
      <c r="U24" s="136">
        <f>IF(J24="",0,(J24/10)+'Informações Gerais'!$N$6)</f>
        <v>22</v>
      </c>
      <c r="V24" s="212"/>
      <c r="W24" s="212"/>
    </row>
    <row r="25" spans="2:23" x14ac:dyDescent="0.25">
      <c r="B25" s="116"/>
      <c r="C25" s="120" t="s">
        <v>57</v>
      </c>
      <c r="D25" s="319"/>
      <c r="E25" s="319"/>
      <c r="F25" s="137">
        <f>IF(D25="",0,VLOOKUP(D25,'Efeitos +'!$A$3:$D$329,4,0))+F26</f>
        <v>0</v>
      </c>
      <c r="G25" s="167"/>
      <c r="H25" s="116"/>
      <c r="I25" s="180" t="s">
        <v>1022</v>
      </c>
      <c r="J25" s="125">
        <f t="shared" si="0"/>
        <v>70</v>
      </c>
      <c r="K25" s="313" t="s">
        <v>508</v>
      </c>
      <c r="L25" s="314"/>
      <c r="M25" s="314"/>
      <c r="N25" s="314"/>
      <c r="O25" s="316" t="str">
        <f t="shared" si="1"/>
        <v>Golpe Perfurante</v>
      </c>
      <c r="P25" s="317"/>
      <c r="Q25" s="317"/>
      <c r="R25" s="317"/>
      <c r="S25" s="110">
        <f t="shared" ca="1" si="2"/>
        <v>251.97714152046785</v>
      </c>
      <c r="T25" s="144">
        <f t="shared" ca="1" si="3"/>
        <v>3419.6897777777781</v>
      </c>
      <c r="U25" s="136">
        <f>IF(J25="",0,(J25/10)+'Informações Gerais'!$N$6)</f>
        <v>22</v>
      </c>
      <c r="V25" s="212"/>
      <c r="W25" s="212"/>
    </row>
    <row r="26" spans="2:23" x14ac:dyDescent="0.25">
      <c r="B26" s="116"/>
      <c r="C26" s="116"/>
      <c r="F26" s="138">
        <f>IF(D25="",0,300)</f>
        <v>0</v>
      </c>
      <c r="G26" s="116"/>
      <c r="H26" s="116"/>
      <c r="I26" s="180" t="s">
        <v>1022</v>
      </c>
      <c r="J26" s="125">
        <f t="shared" si="0"/>
        <v>150</v>
      </c>
      <c r="K26" s="313" t="s">
        <v>1006</v>
      </c>
      <c r="L26" s="314"/>
      <c r="M26" s="314"/>
      <c r="N26" s="314"/>
      <c r="O26" s="316" t="str">
        <f t="shared" si="1"/>
        <v xml:space="preserve"> Golpe Atordoante</v>
      </c>
      <c r="P26" s="317"/>
      <c r="Q26" s="317"/>
      <c r="R26" s="317"/>
      <c r="S26" s="110">
        <f t="shared" ca="1" si="2"/>
        <v>539.95101754385962</v>
      </c>
      <c r="T26" s="144">
        <f t="shared" ca="1" si="3"/>
        <v>7327.9066666666668</v>
      </c>
      <c r="U26" s="136">
        <f>IF(J26="",0,(J26/10)+'Informações Gerais'!$N$6)</f>
        <v>30</v>
      </c>
      <c r="V26" s="212"/>
      <c r="W26" s="212"/>
    </row>
    <row r="27" spans="2:23" x14ac:dyDescent="0.25">
      <c r="B27" s="116"/>
      <c r="C27" s="116"/>
      <c r="D27" s="195"/>
      <c r="E27" s="195"/>
      <c r="F27" s="195"/>
      <c r="G27" s="116"/>
      <c r="H27" s="116"/>
      <c r="I27" s="180" t="s">
        <v>1022</v>
      </c>
      <c r="J27" s="125">
        <f t="shared" si="0"/>
        <v>300</v>
      </c>
      <c r="K27" s="313" t="s">
        <v>499</v>
      </c>
      <c r="L27" s="314"/>
      <c r="M27" s="314"/>
      <c r="N27" s="314"/>
      <c r="O27" s="316" t="str">
        <f t="shared" si="1"/>
        <v>Transporte Dimensional</v>
      </c>
      <c r="P27" s="317"/>
      <c r="Q27" s="317"/>
      <c r="R27" s="317"/>
      <c r="S27" s="110">
        <f t="shared" ca="1" si="2"/>
        <v>1079.9020350877192</v>
      </c>
      <c r="T27" s="144">
        <f t="shared" ca="1" si="3"/>
        <v>14655.813333333334</v>
      </c>
      <c r="U27" s="136">
        <f>IF(J27="",0,(J27/10)+'Informações Gerais'!$N$6)</f>
        <v>45</v>
      </c>
      <c r="V27" s="212"/>
      <c r="W27" s="212"/>
    </row>
    <row r="28" spans="2:23" ht="15" customHeight="1" x14ac:dyDescent="0.25">
      <c r="B28" s="116"/>
      <c r="C28" s="116"/>
      <c r="D28" s="320" t="s">
        <v>476</v>
      </c>
      <c r="E28" s="320"/>
      <c r="F28" s="135"/>
      <c r="G28" s="135"/>
      <c r="H28" s="116"/>
      <c r="I28" s="180" t="s">
        <v>766</v>
      </c>
      <c r="J28" s="125">
        <f t="shared" si="0"/>
        <v>30</v>
      </c>
      <c r="K28" s="313" t="s">
        <v>250</v>
      </c>
      <c r="L28" s="314"/>
      <c r="M28" s="314"/>
      <c r="N28" s="314"/>
      <c r="O28" s="316" t="str">
        <f t="shared" si="1"/>
        <v>Golpe Explosivo</v>
      </c>
      <c r="P28" s="317"/>
      <c r="Q28" s="317"/>
      <c r="R28" s="317"/>
      <c r="S28" s="110">
        <f t="shared" ca="1" si="2"/>
        <v>107.9902035087719</v>
      </c>
      <c r="T28" s="144">
        <f t="shared" ca="1" si="3"/>
        <v>1465.5813333333331</v>
      </c>
      <c r="U28" s="136">
        <f>IF(J28="",0,(J28/10)+'Informações Gerais'!$N$6)</f>
        <v>18</v>
      </c>
      <c r="V28" s="212"/>
      <c r="W28" s="212"/>
    </row>
    <row r="29" spans="2:23" x14ac:dyDescent="0.25">
      <c r="B29" s="116"/>
      <c r="C29" s="116"/>
      <c r="D29" s="195"/>
      <c r="E29" s="195"/>
      <c r="F29" s="195"/>
      <c r="G29" s="121" t="s">
        <v>81</v>
      </c>
      <c r="H29" s="116"/>
      <c r="I29" s="180" t="s">
        <v>766</v>
      </c>
      <c r="J29" s="125">
        <f t="shared" si="0"/>
        <v>50</v>
      </c>
      <c r="K29" s="313" t="s">
        <v>511</v>
      </c>
      <c r="L29" s="314"/>
      <c r="M29" s="314"/>
      <c r="N29" s="314"/>
      <c r="O29" s="316" t="str">
        <f t="shared" si="1"/>
        <v>Aumento de Velocidade</v>
      </c>
      <c r="P29" s="317"/>
      <c r="Q29" s="317"/>
      <c r="R29" s="317"/>
      <c r="S29" s="110">
        <f t="shared" ca="1" si="2"/>
        <v>179.98367251461988</v>
      </c>
      <c r="T29" s="144">
        <f t="shared" ca="1" si="3"/>
        <v>2442.6355555555556</v>
      </c>
      <c r="U29" s="136">
        <f>IF(J29="",0,(J29/10)+'Informações Gerais'!$N$6)</f>
        <v>20</v>
      </c>
      <c r="V29" s="212"/>
      <c r="W29" s="212"/>
    </row>
    <row r="30" spans="2:23" x14ac:dyDescent="0.25">
      <c r="B30" s="116"/>
      <c r="C30" s="120" t="s">
        <v>15</v>
      </c>
      <c r="D30" s="318"/>
      <c r="E30" s="318"/>
      <c r="F30" s="318"/>
      <c r="G30" s="180"/>
      <c r="H30" s="116"/>
      <c r="I30" s="180" t="s">
        <v>766</v>
      </c>
      <c r="J30" s="125">
        <f t="shared" si="0"/>
        <v>80</v>
      </c>
      <c r="K30" s="313" t="s">
        <v>259</v>
      </c>
      <c r="L30" s="314"/>
      <c r="M30" s="314"/>
      <c r="N30" s="314"/>
      <c r="O30" s="316" t="str">
        <f t="shared" si="1"/>
        <v>Combinação de Energia</v>
      </c>
      <c r="P30" s="317"/>
      <c r="Q30" s="317"/>
      <c r="R30" s="317"/>
      <c r="S30" s="110">
        <f t="shared" ca="1" si="2"/>
        <v>287.97387602339177</v>
      </c>
      <c r="T30" s="144">
        <f t="shared" ca="1" si="3"/>
        <v>3908.2168888888887</v>
      </c>
      <c r="U30" s="136">
        <f>IF(J30="",0,(J30/10)+'Informações Gerais'!$N$6)</f>
        <v>23</v>
      </c>
      <c r="V30" s="212"/>
      <c r="W30" s="212"/>
    </row>
    <row r="31" spans="2:23" x14ac:dyDescent="0.25">
      <c r="B31" s="116"/>
      <c r="C31" s="120" t="s">
        <v>66</v>
      </c>
      <c r="D31" s="318"/>
      <c r="E31" s="318"/>
      <c r="F31" s="318"/>
      <c r="G31" s="151">
        <f ca="1">G32/15</f>
        <v>272</v>
      </c>
      <c r="H31" s="116"/>
      <c r="I31" s="180" t="s">
        <v>766</v>
      </c>
      <c r="J31" s="125">
        <f t="shared" si="0"/>
        <v>80</v>
      </c>
      <c r="K31" s="313" t="s">
        <v>256</v>
      </c>
      <c r="L31" s="314"/>
      <c r="M31" s="314"/>
      <c r="N31" s="314"/>
      <c r="O31" s="316" t="str">
        <f t="shared" si="1"/>
        <v>Descarga de Energia</v>
      </c>
      <c r="P31" s="317"/>
      <c r="Q31" s="317"/>
      <c r="R31" s="317"/>
      <c r="S31" s="110">
        <f t="shared" ca="1" si="2"/>
        <v>287.97387602339177</v>
      </c>
      <c r="T31" s="144">
        <f t="shared" ca="1" si="3"/>
        <v>3908.2168888888887</v>
      </c>
      <c r="U31" s="136">
        <f>IF(J31="",0,(J31/10)+'Informações Gerais'!$N$6)</f>
        <v>23</v>
      </c>
      <c r="V31" s="212"/>
      <c r="W31" s="212"/>
    </row>
    <row r="32" spans="2:23" x14ac:dyDescent="0.25">
      <c r="B32" s="116"/>
      <c r="C32" s="120" t="s">
        <v>79</v>
      </c>
      <c r="D32" s="318"/>
      <c r="E32" s="318"/>
      <c r="F32" s="196">
        <f ca="1">G32/10</f>
        <v>408</v>
      </c>
      <c r="G32" s="144">
        <f ca="1">C2*20</f>
        <v>4080</v>
      </c>
      <c r="H32" s="116"/>
      <c r="I32" s="180" t="s">
        <v>766</v>
      </c>
      <c r="J32" s="125">
        <f t="shared" si="0"/>
        <v>100</v>
      </c>
      <c r="K32" s="313" t="s">
        <v>260</v>
      </c>
      <c r="L32" s="314"/>
      <c r="M32" s="314"/>
      <c r="N32" s="314"/>
      <c r="O32" s="316" t="str">
        <f t="shared" si="1"/>
        <v>Descarga de Energia</v>
      </c>
      <c r="P32" s="317"/>
      <c r="Q32" s="317"/>
      <c r="R32" s="317"/>
      <c r="S32" s="110">
        <f t="shared" ca="1" si="2"/>
        <v>359.96734502923977</v>
      </c>
      <c r="T32" s="144">
        <f t="shared" ca="1" si="3"/>
        <v>4885.2711111111112</v>
      </c>
      <c r="U32" s="136">
        <f>IF(J32="",0,(J32/10)+'Informações Gerais'!$N$6)</f>
        <v>25</v>
      </c>
      <c r="V32" s="212"/>
      <c r="W32" s="212"/>
    </row>
    <row r="33" spans="2:23" x14ac:dyDescent="0.25">
      <c r="B33" s="116"/>
      <c r="C33" s="120" t="s">
        <v>57</v>
      </c>
      <c r="D33" s="319"/>
      <c r="E33" s="319"/>
      <c r="F33" s="137">
        <f>IF(D33="",0,VLOOKUP(D33,'Efeitos +'!$A$3:$D$329,4,0))+F34</f>
        <v>0</v>
      </c>
      <c r="G33" s="167"/>
      <c r="H33" s="116"/>
      <c r="I33" s="180" t="s">
        <v>766</v>
      </c>
      <c r="J33" s="125">
        <f t="shared" si="0"/>
        <v>100</v>
      </c>
      <c r="K33" s="321" t="s">
        <v>261</v>
      </c>
      <c r="L33" s="322"/>
      <c r="M33" s="322"/>
      <c r="N33" s="322"/>
      <c r="O33" s="316" t="str">
        <f t="shared" si="1"/>
        <v>Neutralização de Dano</v>
      </c>
      <c r="P33" s="317"/>
      <c r="Q33" s="317"/>
      <c r="R33" s="317"/>
      <c r="S33" s="110">
        <f t="shared" ca="1" si="2"/>
        <v>359.96734502923977</v>
      </c>
      <c r="T33" s="144">
        <f t="shared" ca="1" si="3"/>
        <v>4885.2711111111112</v>
      </c>
      <c r="U33" s="136">
        <f>IF(J33="",0,(J33/10)+'Informações Gerais'!$N$6)</f>
        <v>25</v>
      </c>
      <c r="V33" s="212"/>
      <c r="W33" s="212"/>
    </row>
    <row r="34" spans="2:23" x14ac:dyDescent="0.25">
      <c r="F34" s="240">
        <f>IF(D33="",0,300)</f>
        <v>0</v>
      </c>
    </row>
    <row r="35" spans="2:23" ht="14.25" customHeight="1" x14ac:dyDescent="0.25"/>
    <row r="38" spans="2:23" ht="14.25" customHeight="1" x14ac:dyDescent="0.25"/>
    <row r="44" spans="2:23" x14ac:dyDescent="0.25">
      <c r="D44" s="154"/>
    </row>
    <row r="45" spans="2:23" x14ac:dyDescent="0.25">
      <c r="D45" s="154"/>
    </row>
    <row r="46" spans="2:23" x14ac:dyDescent="0.25">
      <c r="D46" s="154"/>
    </row>
  </sheetData>
  <sheetProtection selectLockedCells="1" autoFilter="0"/>
  <protectedRanges>
    <protectedRange sqref="D8:E9 G6 D14:F15 D16:E17 G14 G25 G33 D30:G30 F17 D6:F7 F9 I7:I33 K7:N33 F22:G22 D22:E25 D32:F33 D31:E31" name="Intervalo1"/>
  </protectedRanges>
  <customSheetViews>
    <customSheetView guid="{5F7E442B-9104-458B-9892-4194DBB06FCD}">
      <selection sqref="A1:V44"/>
      <pageMargins left="0.511811024" right="0.511811024" top="0.78740157499999996" bottom="0.78740157499999996" header="0.31496062000000002" footer="0.31496062000000002"/>
      <pageSetup paperSize="9" orientation="portrait" horizontalDpi="300" verticalDpi="300" r:id="rId1"/>
    </customSheetView>
  </customSheetViews>
  <mergeCells count="77">
    <mergeCell ref="D23:F23"/>
    <mergeCell ref="D4:E4"/>
    <mergeCell ref="D12:E12"/>
    <mergeCell ref="D20:E20"/>
    <mergeCell ref="N4:O4"/>
    <mergeCell ref="D14:F14"/>
    <mergeCell ref="D15:F15"/>
    <mergeCell ref="D22:F22"/>
    <mergeCell ref="D16:E16"/>
    <mergeCell ref="D17:E17"/>
    <mergeCell ref="D6:F6"/>
    <mergeCell ref="D7:F7"/>
    <mergeCell ref="D9:E9"/>
    <mergeCell ref="D8:E8"/>
    <mergeCell ref="K9:N9"/>
    <mergeCell ref="O9:R9"/>
    <mergeCell ref="K25:N25"/>
    <mergeCell ref="O25:R25"/>
    <mergeCell ref="K26:N26"/>
    <mergeCell ref="O26:R26"/>
    <mergeCell ref="K10:N10"/>
    <mergeCell ref="O10:R10"/>
    <mergeCell ref="K13:N13"/>
    <mergeCell ref="O13:R13"/>
    <mergeCell ref="K14:N14"/>
    <mergeCell ref="O14:R14"/>
    <mergeCell ref="K19:N19"/>
    <mergeCell ref="O19:R19"/>
    <mergeCell ref="K20:N20"/>
    <mergeCell ref="O20:R20"/>
    <mergeCell ref="K21:N21"/>
    <mergeCell ref="O21:R21"/>
    <mergeCell ref="K29:N29"/>
    <mergeCell ref="O29:R29"/>
    <mergeCell ref="K11:N11"/>
    <mergeCell ref="O11:R11"/>
    <mergeCell ref="K12:N12"/>
    <mergeCell ref="O12:R12"/>
    <mergeCell ref="K15:N15"/>
    <mergeCell ref="O15:R15"/>
    <mergeCell ref="K16:N16"/>
    <mergeCell ref="O16:R16"/>
    <mergeCell ref="K17:N17"/>
    <mergeCell ref="O17:R17"/>
    <mergeCell ref="K18:N18"/>
    <mergeCell ref="O18:R18"/>
    <mergeCell ref="K24:N24"/>
    <mergeCell ref="O24:R24"/>
    <mergeCell ref="K33:N33"/>
    <mergeCell ref="O33:R33"/>
    <mergeCell ref="K22:N22"/>
    <mergeCell ref="O22:R22"/>
    <mergeCell ref="K23:N23"/>
    <mergeCell ref="O23:R23"/>
    <mergeCell ref="K30:N30"/>
    <mergeCell ref="O30:R30"/>
    <mergeCell ref="K31:N31"/>
    <mergeCell ref="O31:R31"/>
    <mergeCell ref="K32:N32"/>
    <mergeCell ref="O32:R32"/>
    <mergeCell ref="K27:N27"/>
    <mergeCell ref="O27:R27"/>
    <mergeCell ref="K28:N28"/>
    <mergeCell ref="O28:R28"/>
    <mergeCell ref="D24:E24"/>
    <mergeCell ref="D25:E25"/>
    <mergeCell ref="D30:F30"/>
    <mergeCell ref="D31:F31"/>
    <mergeCell ref="D33:E33"/>
    <mergeCell ref="D32:E32"/>
    <mergeCell ref="D28:E28"/>
    <mergeCell ref="K6:N6"/>
    <mergeCell ref="O6:R6"/>
    <mergeCell ref="K7:N7"/>
    <mergeCell ref="O7:R7"/>
    <mergeCell ref="K8:N8"/>
    <mergeCell ref="O8:R8"/>
  </mergeCells>
  <dataValidations count="8">
    <dataValidation type="list" allowBlank="1" showInputMessage="1" showErrorMessage="1" sqref="L7:N9 K7:K33 L11:N33" xr:uid="{00000000-0002-0000-0400-000000000000}">
      <formula1>IF(I7="","",IF(I7="Hadou",Hadou,IF(I7="Bakudou",Bakudou,IF(I7="Especial",Especiais,IF(I7="Hollow",Hollow,)))))</formula1>
    </dataValidation>
    <dataValidation type="list" allowBlank="1" showInputMessage="1" showErrorMessage="1" sqref="G25 G33" xr:uid="{00000000-0002-0000-0400-000001000000}">
      <formula1>bônusatributo</formula1>
    </dataValidation>
    <dataValidation type="list" allowBlank="1" showInputMessage="1" showErrorMessage="1" sqref="G14 G6" xr:uid="{00000000-0002-0000-0400-000002000000}">
      <formula1>bônusmeio</formula1>
    </dataValidation>
    <dataValidation type="list" allowBlank="1" showInputMessage="1" showErrorMessage="1" sqref="G22 G30" xr:uid="{00000000-0002-0000-0400-000003000000}">
      <formula1>status1</formula1>
    </dataValidation>
    <dataValidation type="list" allowBlank="1" showInputMessage="1" showErrorMessage="1" sqref="D33:E33 D16:E16 D25:E25 D8:E8" xr:uid="{00000000-0002-0000-0400-000004000000}">
      <formula1>Efeitospositivos</formula1>
    </dataValidation>
    <dataValidation type="list" allowBlank="1" showInputMessage="1" showErrorMessage="1" sqref="I7:I33" xr:uid="{00000000-0002-0000-0400-000005000000}">
      <formula1>"Hadou,Bakudou,Especial,Hollow,"</formula1>
    </dataValidation>
    <dataValidation type="list" allowBlank="1" showInputMessage="1" showErrorMessage="1" sqref="D17:E17 D9:E9" xr:uid="{00000000-0002-0000-0400-000006000000}">
      <formula1>CalculadoraHabilidade</formula1>
    </dataValidation>
    <dataValidation type="list" allowBlank="1" showInputMessage="1" showErrorMessage="1" sqref="I2" xr:uid="{00000000-0002-0000-0400-000007000000}">
      <formula1>"Zanjutsu, Hakuda, Kidou,"</formula1>
    </dataValidation>
  </dataValidations>
  <pageMargins left="0.511811024" right="0.511811024" top="0.78740157499999996" bottom="0.78740157499999996" header="0.31496062000000002" footer="0.31496062000000002"/>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tabColor theme="1"/>
  </sheetPr>
  <dimension ref="A2:V63"/>
  <sheetViews>
    <sheetView showGridLines="0" zoomScaleNormal="100" workbookViewId="0">
      <selection activeCell="B42" sqref="B42"/>
    </sheetView>
  </sheetViews>
  <sheetFormatPr defaultColWidth="9.140625" defaultRowHeight="14.25" x14ac:dyDescent="0.25"/>
  <cols>
    <col min="1" max="1" width="9.140625" style="52" customWidth="1"/>
    <col min="2" max="5" width="9.140625" style="52"/>
    <col min="6" max="6" width="11" style="52" bestFit="1" customWidth="1"/>
    <col min="7" max="14" width="9.140625" style="52"/>
    <col min="15" max="15" width="11.42578125" style="52" bestFit="1" customWidth="1"/>
    <col min="16" max="16384" width="9.140625" style="52"/>
  </cols>
  <sheetData>
    <row r="2" spans="1:21" ht="15" customHeight="1" x14ac:dyDescent="0.25">
      <c r="A2" s="327" t="s">
        <v>455</v>
      </c>
      <c r="B2" s="327"/>
      <c r="C2" s="327"/>
      <c r="D2" s="327"/>
      <c r="F2" s="327" t="s">
        <v>453</v>
      </c>
      <c r="G2" s="327"/>
      <c r="H2" s="327"/>
      <c r="J2" s="327" t="s">
        <v>454</v>
      </c>
      <c r="K2" s="327"/>
      <c r="L2" s="327"/>
      <c r="N2" s="326" t="s">
        <v>463</v>
      </c>
      <c r="O2" s="326"/>
      <c r="P2" s="326"/>
      <c r="R2" s="326" t="s">
        <v>466</v>
      </c>
      <c r="S2" s="326"/>
      <c r="T2" s="326"/>
    </row>
    <row r="3" spans="1:21" x14ac:dyDescent="0.25">
      <c r="F3" s="53"/>
      <c r="G3" s="53"/>
      <c r="H3" s="53"/>
      <c r="J3" s="53"/>
      <c r="K3" s="53"/>
      <c r="L3" s="53"/>
    </row>
    <row r="4" spans="1:21" x14ac:dyDescent="0.25">
      <c r="B4" s="332" t="str">
        <f>IF(Especificações!C8="","",Especificações!C8)</f>
        <v>Multielemental</v>
      </c>
      <c r="C4" s="333"/>
      <c r="F4" s="53"/>
      <c r="G4" s="33">
        <f ca="1">'Informações Gerais'!I4</f>
        <v>18288.611111111109</v>
      </c>
      <c r="H4" s="53"/>
      <c r="J4" s="53"/>
      <c r="K4" s="64">
        <f ca="1">'Informações Gerais'!I5</f>
        <v>5128.8395061728388</v>
      </c>
      <c r="L4" s="53"/>
      <c r="N4" s="105" t="s">
        <v>317</v>
      </c>
      <c r="O4" s="102">
        <f ca="1">K4/3</f>
        <v>1709.6131687242796</v>
      </c>
      <c r="P4" s="32" t="str">
        <f ca="1">IF(K4-K22&gt;=O4,"OK","!")</f>
        <v>!</v>
      </c>
      <c r="R4" s="184">
        <v>0</v>
      </c>
      <c r="S4" s="69" t="s">
        <v>456</v>
      </c>
      <c r="T4" s="70" t="s">
        <v>457</v>
      </c>
    </row>
    <row r="5" spans="1:21" x14ac:dyDescent="0.25">
      <c r="F5" s="53"/>
      <c r="G5" s="53"/>
      <c r="H5" s="53"/>
      <c r="J5" s="53"/>
      <c r="K5" s="53"/>
      <c r="L5" s="53"/>
      <c r="N5" s="105" t="s">
        <v>318</v>
      </c>
      <c r="O5" s="102">
        <f ca="1">O4*2</f>
        <v>3419.2263374485592</v>
      </c>
      <c r="P5" s="32" t="str">
        <f ca="1">IF(K4-K22&gt;=O5,"OK","!")</f>
        <v>!</v>
      </c>
      <c r="R5" s="185">
        <v>0</v>
      </c>
      <c r="S5" s="68">
        <f>$R$4+($R$4*R5)</f>
        <v>0</v>
      </c>
      <c r="T5" s="68">
        <f>$R$4-($R$4*R5)</f>
        <v>0</v>
      </c>
    </row>
    <row r="6" spans="1:21" x14ac:dyDescent="0.25">
      <c r="A6" s="327" t="s">
        <v>568</v>
      </c>
      <c r="B6" s="327"/>
      <c r="C6" s="327"/>
      <c r="D6" s="327"/>
      <c r="F6" s="52" t="s">
        <v>460</v>
      </c>
      <c r="H6" s="52" t="s">
        <v>459</v>
      </c>
      <c r="J6" s="52" t="s">
        <v>527</v>
      </c>
      <c r="L6" s="52" t="s">
        <v>458</v>
      </c>
      <c r="N6" s="105" t="s">
        <v>319</v>
      </c>
      <c r="O6" s="102">
        <f ca="1">O4*3</f>
        <v>5128.8395061728388</v>
      </c>
      <c r="P6" s="32" t="str">
        <f ca="1">IF(K4-K22&gt;=O6,"OK","!")</f>
        <v>!</v>
      </c>
      <c r="R6" s="185">
        <v>0</v>
      </c>
      <c r="S6" s="68">
        <f>$R$4+($R$4*R6)</f>
        <v>0</v>
      </c>
      <c r="T6" s="68">
        <f>$R$4-($R$4*R6)</f>
        <v>0</v>
      </c>
    </row>
    <row r="7" spans="1:21" x14ac:dyDescent="0.25">
      <c r="F7" s="182"/>
      <c r="G7" s="229">
        <f ca="1">COUNTIF($H$7:$H$18,"&gt;="&amp;O18)</f>
        <v>0</v>
      </c>
      <c r="H7" s="182"/>
      <c r="J7" s="182"/>
      <c r="K7" s="35">
        <f ca="1">COUNTIF($L$7:$L$18,"&gt;="&amp;O10)</f>
        <v>0</v>
      </c>
      <c r="L7" s="182"/>
      <c r="N7" s="36"/>
      <c r="O7" s="36"/>
      <c r="P7" s="36"/>
    </row>
    <row r="8" spans="1:21" x14ac:dyDescent="0.25">
      <c r="B8" s="332" t="str">
        <f>IF(B4="","",VLOOKUP(B4,Bonificações!$L$4:$N$23,2,0))</f>
        <v>Destreza</v>
      </c>
      <c r="C8" s="333"/>
      <c r="F8" s="182"/>
      <c r="G8" s="229">
        <f ca="1">COUNTIF($H$7:$H$18,"&gt;="&amp;O19)</f>
        <v>0</v>
      </c>
      <c r="H8" s="182"/>
      <c r="J8" s="182"/>
      <c r="K8" s="35">
        <f t="shared" ref="K8:K11" ca="1" si="0">COUNTIF($L$7:$L$18,"&gt;="&amp;O11)</f>
        <v>0</v>
      </c>
      <c r="L8" s="182"/>
      <c r="N8" s="330" t="s">
        <v>464</v>
      </c>
      <c r="O8" s="330"/>
      <c r="P8" s="330"/>
      <c r="R8" s="326" t="s">
        <v>467</v>
      </c>
      <c r="S8" s="326"/>
      <c r="T8" s="326"/>
    </row>
    <row r="9" spans="1:21" x14ac:dyDescent="0.25">
      <c r="F9" s="182"/>
      <c r="G9" s="229">
        <f t="shared" ref="G9:G11" ca="1" si="1">COUNTIF($H$7:$H$18,"&gt;="&amp;O20)</f>
        <v>0</v>
      </c>
      <c r="H9" s="182"/>
      <c r="J9" s="182"/>
      <c r="K9" s="35">
        <f t="shared" ca="1" si="0"/>
        <v>0</v>
      </c>
      <c r="L9" s="182"/>
    </row>
    <row r="10" spans="1:21" ht="15" customHeight="1" x14ac:dyDescent="0.25">
      <c r="A10" s="327" t="s">
        <v>566</v>
      </c>
      <c r="B10" s="327"/>
      <c r="C10" s="327"/>
      <c r="D10" s="327"/>
      <c r="F10" s="182"/>
      <c r="G10" s="229">
        <f t="shared" ca="1" si="1"/>
        <v>0</v>
      </c>
      <c r="H10" s="182"/>
      <c r="J10" s="182"/>
      <c r="K10" s="35">
        <f t="shared" ca="1" si="0"/>
        <v>0</v>
      </c>
      <c r="L10" s="182"/>
      <c r="N10" s="105" t="s">
        <v>317</v>
      </c>
      <c r="O10" s="102">
        <f ca="1">K4*0.2</f>
        <v>1025.7679012345677</v>
      </c>
      <c r="P10" s="34" t="str">
        <f ca="1">IF(K7=0,"!","OK")</f>
        <v>!</v>
      </c>
      <c r="R10" s="105" t="s">
        <v>317</v>
      </c>
      <c r="S10" s="67">
        <f ca="1">$G$4*0.2</f>
        <v>3657.7222222222222</v>
      </c>
      <c r="T10" s="32" t="str">
        <f ca="1">IF($G$22&lt;=S10,"OK","!")</f>
        <v>!</v>
      </c>
      <c r="U10" s="35">
        <f ca="1">IF(T10="OK",-1,0)</f>
        <v>0</v>
      </c>
    </row>
    <row r="11" spans="1:21" x14ac:dyDescent="0.25">
      <c r="B11" s="52" t="s">
        <v>451</v>
      </c>
      <c r="C11" s="52" t="s">
        <v>452</v>
      </c>
      <c r="F11" s="182"/>
      <c r="G11" s="229">
        <f t="shared" ca="1" si="1"/>
        <v>0</v>
      </c>
      <c r="H11" s="182"/>
      <c r="J11" s="182"/>
      <c r="K11" s="35">
        <f t="shared" ca="1" si="0"/>
        <v>0</v>
      </c>
      <c r="L11" s="182"/>
      <c r="N11" s="105" t="s">
        <v>318</v>
      </c>
      <c r="O11" s="102">
        <f ca="1">O10*1.9</f>
        <v>1948.9590123456785</v>
      </c>
      <c r="P11" s="34" t="str">
        <f t="shared" ref="P11:P14" ca="1" si="2">IF(K8=0,"!","OK")</f>
        <v>!</v>
      </c>
      <c r="R11" s="105" t="s">
        <v>318</v>
      </c>
      <c r="S11" s="67">
        <f ca="1">$G$4*0.15</f>
        <v>2743.2916666666665</v>
      </c>
      <c r="T11" s="32" t="str">
        <f t="shared" ref="T11:T14" ca="1" si="3">IF($G$22&lt;=S11,"OK","!")</f>
        <v>!</v>
      </c>
      <c r="U11" s="35">
        <f t="shared" ref="U11:U14" ca="1" si="4">IF(T11="OK",-1,0)</f>
        <v>0</v>
      </c>
    </row>
    <row r="12" spans="1:21" x14ac:dyDescent="0.25">
      <c r="B12" s="163"/>
      <c r="C12" s="164"/>
      <c r="F12" s="182"/>
      <c r="G12" s="228"/>
      <c r="H12" s="182"/>
      <c r="J12" s="182"/>
      <c r="L12" s="182"/>
      <c r="N12" s="105" t="s">
        <v>319</v>
      </c>
      <c r="O12" s="102">
        <f ca="1">O10*2.8</f>
        <v>2872.1501234567895</v>
      </c>
      <c r="P12" s="34" t="str">
        <f t="shared" ca="1" si="2"/>
        <v>!</v>
      </c>
      <c r="R12" s="105" t="s">
        <v>319</v>
      </c>
      <c r="S12" s="67">
        <f ca="1">$G$4*0.1</f>
        <v>1828.8611111111111</v>
      </c>
      <c r="T12" s="32" t="str">
        <f t="shared" ca="1" si="3"/>
        <v>!</v>
      </c>
      <c r="U12" s="35">
        <f t="shared" ca="1" si="4"/>
        <v>0</v>
      </c>
    </row>
    <row r="13" spans="1:21" x14ac:dyDescent="0.25">
      <c r="B13" s="163"/>
      <c r="C13" s="164"/>
      <c r="F13" s="182"/>
      <c r="G13" s="228"/>
      <c r="H13" s="182"/>
      <c r="J13" s="182"/>
      <c r="L13" s="182"/>
      <c r="N13" s="105" t="s">
        <v>320</v>
      </c>
      <c r="O13" s="102">
        <f ca="1">O10*3.7</f>
        <v>3795.3412345679008</v>
      </c>
      <c r="P13" s="34" t="str">
        <f t="shared" ca="1" si="2"/>
        <v>!</v>
      </c>
      <c r="R13" s="105" t="s">
        <v>320</v>
      </c>
      <c r="S13" s="67">
        <f ca="1">$G$4*0.05</f>
        <v>914.43055555555554</v>
      </c>
      <c r="T13" s="32" t="str">
        <f t="shared" ca="1" si="3"/>
        <v>!</v>
      </c>
      <c r="U13" s="35">
        <f t="shared" ca="1" si="4"/>
        <v>0</v>
      </c>
    </row>
    <row r="14" spans="1:21" x14ac:dyDescent="0.25">
      <c r="B14" s="163"/>
      <c r="C14" s="164"/>
      <c r="F14" s="182"/>
      <c r="G14" s="228"/>
      <c r="H14" s="182"/>
      <c r="J14" s="182"/>
      <c r="L14" s="182"/>
      <c r="N14" s="105" t="s">
        <v>465</v>
      </c>
      <c r="O14" s="102">
        <f ca="1">O10*4.6</f>
        <v>4718.5323456790111</v>
      </c>
      <c r="P14" s="34" t="str">
        <f t="shared" ca="1" si="2"/>
        <v>!</v>
      </c>
      <c r="R14" s="105" t="s">
        <v>465</v>
      </c>
      <c r="S14" s="67">
        <f ca="1">$G$4*0</f>
        <v>0</v>
      </c>
      <c r="T14" s="32" t="str">
        <f t="shared" ca="1" si="3"/>
        <v>!</v>
      </c>
      <c r="U14" s="35">
        <f t="shared" ca="1" si="4"/>
        <v>0</v>
      </c>
    </row>
    <row r="15" spans="1:21" x14ac:dyDescent="0.25">
      <c r="B15" s="163"/>
      <c r="C15" s="164"/>
      <c r="F15" s="182"/>
      <c r="G15" s="228"/>
      <c r="H15" s="182"/>
      <c r="J15" s="182"/>
      <c r="L15" s="182"/>
    </row>
    <row r="16" spans="1:21" x14ac:dyDescent="0.25">
      <c r="B16" s="163"/>
      <c r="C16" s="164"/>
      <c r="F16" s="182"/>
      <c r="G16" s="228"/>
      <c r="H16" s="182"/>
      <c r="J16" s="182"/>
      <c r="L16" s="182"/>
      <c r="N16" s="326" t="s">
        <v>567</v>
      </c>
      <c r="O16" s="326"/>
      <c r="P16" s="326"/>
      <c r="R16" s="326" t="s">
        <v>468</v>
      </c>
      <c r="S16" s="326"/>
      <c r="T16" s="326"/>
    </row>
    <row r="17" spans="1:22" x14ac:dyDescent="0.25">
      <c r="B17" s="163"/>
      <c r="C17" s="164"/>
      <c r="F17" s="182"/>
      <c r="G17" s="228"/>
      <c r="H17" s="182"/>
      <c r="J17" s="182"/>
      <c r="L17" s="182"/>
    </row>
    <row r="18" spans="1:22" x14ac:dyDescent="0.25">
      <c r="B18" s="163"/>
      <c r="C18" s="164"/>
      <c r="F18" s="182"/>
      <c r="G18" s="228"/>
      <c r="H18" s="182"/>
      <c r="J18" s="182"/>
      <c r="L18" s="182"/>
      <c r="N18" s="105" t="s">
        <v>317</v>
      </c>
      <c r="O18" s="102">
        <f ca="1">G4/3</f>
        <v>6096.2037037037035</v>
      </c>
      <c r="P18" s="34" t="str">
        <f ca="1">IF(G7=0,"!","OK")</f>
        <v>!</v>
      </c>
      <c r="R18" s="105" t="s">
        <v>317</v>
      </c>
      <c r="S18" s="67">
        <f ca="1">$G$4*0</f>
        <v>0</v>
      </c>
      <c r="T18" s="32" t="str">
        <f ca="1">IF($G$22&lt;=S18,"OK","!")</f>
        <v>!</v>
      </c>
      <c r="U18" s="35">
        <f ca="1">IF(T18="OK",-1,0)</f>
        <v>0</v>
      </c>
    </row>
    <row r="19" spans="1:22" x14ac:dyDescent="0.25">
      <c r="B19" s="163"/>
      <c r="C19" s="164"/>
      <c r="N19" s="105" t="s">
        <v>318</v>
      </c>
      <c r="O19" s="102">
        <f ca="1">$O$18*2</f>
        <v>12192.407407407407</v>
      </c>
      <c r="P19" s="34" t="str">
        <f t="shared" ref="P19:P22" ca="1" si="5">IF(G8=0,"!","OK")</f>
        <v>!</v>
      </c>
      <c r="R19" s="105" t="s">
        <v>318</v>
      </c>
      <c r="S19" s="67">
        <f ca="1">$G$4*(-0.5)</f>
        <v>-9144.3055555555547</v>
      </c>
      <c r="T19" s="32" t="str">
        <f t="shared" ref="T19:T22" ca="1" si="6">IF($G$22&lt;=S19,"OK","!")</f>
        <v>!</v>
      </c>
      <c r="U19" s="35">
        <f t="shared" ref="U19:U22" ca="1" si="7">IF(T19="OK",-1,0)</f>
        <v>0</v>
      </c>
    </row>
    <row r="20" spans="1:22" x14ac:dyDescent="0.25">
      <c r="B20" s="163"/>
      <c r="C20" s="164"/>
      <c r="F20" s="327" t="s">
        <v>461</v>
      </c>
      <c r="G20" s="327"/>
      <c r="H20" s="327"/>
      <c r="J20" s="327" t="s">
        <v>462</v>
      </c>
      <c r="K20" s="327"/>
      <c r="L20" s="327"/>
      <c r="N20" s="105" t="s">
        <v>319</v>
      </c>
      <c r="O20" s="102">
        <f ca="1">$O$18*3</f>
        <v>18288.611111111109</v>
      </c>
      <c r="P20" s="34" t="str">
        <f t="shared" ca="1" si="5"/>
        <v>!</v>
      </c>
      <c r="R20" s="105" t="s">
        <v>319</v>
      </c>
      <c r="S20" s="67">
        <f ca="1">$G$4*(-1)</f>
        <v>-18288.611111111109</v>
      </c>
      <c r="T20" s="32" t="str">
        <f t="shared" ca="1" si="6"/>
        <v>!</v>
      </c>
      <c r="U20" s="35">
        <f t="shared" ca="1" si="7"/>
        <v>0</v>
      </c>
    </row>
    <row r="21" spans="1:22" x14ac:dyDescent="0.25">
      <c r="B21" s="163"/>
      <c r="C21" s="164"/>
      <c r="N21" s="105" t="s">
        <v>320</v>
      </c>
      <c r="O21" s="102">
        <f ca="1">$O$18*4</f>
        <v>24384.814814814814</v>
      </c>
      <c r="P21" s="34" t="str">
        <f t="shared" ca="1" si="5"/>
        <v>!</v>
      </c>
      <c r="R21" s="105" t="s">
        <v>320</v>
      </c>
      <c r="S21" s="67">
        <f ca="1">$G$4*(-1.5)</f>
        <v>-27432.916666666664</v>
      </c>
      <c r="T21" s="32" t="str">
        <f t="shared" ca="1" si="6"/>
        <v>!</v>
      </c>
      <c r="U21" s="35">
        <f t="shared" ca="1" si="7"/>
        <v>0</v>
      </c>
    </row>
    <row r="22" spans="1:22" x14ac:dyDescent="0.25">
      <c r="B22" s="163"/>
      <c r="C22" s="164"/>
      <c r="G22" s="33">
        <f ca="1">SUM(G4,F7:F18)-SUM(H7:H18)</f>
        <v>18288.611111111109</v>
      </c>
      <c r="K22" s="64">
        <f ca="1">SUM(K4,J7:J18)-SUM(L7:L18)</f>
        <v>5128.8395061728388</v>
      </c>
      <c r="N22" s="105" t="s">
        <v>465</v>
      </c>
      <c r="O22" s="102">
        <f ca="1">$O$18*5</f>
        <v>30481.018518518518</v>
      </c>
      <c r="P22" s="34" t="str">
        <f t="shared" ca="1" si="5"/>
        <v>!</v>
      </c>
      <c r="R22" s="105" t="s">
        <v>465</v>
      </c>
      <c r="S22" s="67">
        <f ca="1">$G$4*(-2)</f>
        <v>-36577.222222222219</v>
      </c>
      <c r="T22" s="32" t="str">
        <f t="shared" ca="1" si="6"/>
        <v>!</v>
      </c>
      <c r="U22" s="35">
        <f t="shared" ca="1" si="7"/>
        <v>0</v>
      </c>
    </row>
    <row r="23" spans="1:22" x14ac:dyDescent="0.25">
      <c r="N23" s="101"/>
    </row>
    <row r="24" spans="1:22" x14ac:dyDescent="0.25">
      <c r="O24" s="52" t="s">
        <v>587</v>
      </c>
    </row>
    <row r="25" spans="1:22" x14ac:dyDescent="0.25">
      <c r="N25" s="37" t="s">
        <v>591</v>
      </c>
      <c r="O25" s="183"/>
    </row>
    <row r="26" spans="1:22" x14ac:dyDescent="0.25">
      <c r="N26" s="37" t="s">
        <v>588</v>
      </c>
      <c r="O26" s="67">
        <f ca="1">ROUNDDOWN(P26,0)</f>
        <v>0</v>
      </c>
      <c r="P26" s="38">
        <f ca="1">IF($G$4=0,0,IF($O$25&gt;=($G$4/3),($O$25/($G$4/3)),0))</f>
        <v>0</v>
      </c>
      <c r="Q26" s="35"/>
    </row>
    <row r="27" spans="1:22" x14ac:dyDescent="0.25">
      <c r="N27" s="37" t="s">
        <v>589</v>
      </c>
      <c r="O27" s="67">
        <f ca="1">ROUNDDOWN(-Q27,0)</f>
        <v>0</v>
      </c>
      <c r="P27" s="38">
        <f ca="1">IF($G$4=0,0,IF($G$22&gt;=0,0,($G$22/($G$4*0.05))))</f>
        <v>0</v>
      </c>
      <c r="Q27" s="35">
        <f ca="1">SUM(U10:U14,P27)</f>
        <v>0</v>
      </c>
    </row>
    <row r="28" spans="1:22" x14ac:dyDescent="0.25">
      <c r="N28" s="37" t="s">
        <v>590</v>
      </c>
      <c r="O28" s="67">
        <f ca="1">ROUNDDOWN(-Q28,0)</f>
        <v>0</v>
      </c>
      <c r="P28" s="38">
        <f ca="1">IF($G$4=0,0,IF($G$22&gt;=0,0,($G$22/($G$4/2))))</f>
        <v>0</v>
      </c>
      <c r="Q28" s="35">
        <f ca="1">SUM(U18,P28)</f>
        <v>0</v>
      </c>
    </row>
    <row r="30" spans="1:22" ht="15" customHeight="1" x14ac:dyDescent="0.25">
      <c r="A30" s="331" t="s">
        <v>469</v>
      </c>
      <c r="B30" s="331"/>
      <c r="C30" s="331"/>
      <c r="D30" s="331"/>
      <c r="E30" s="331"/>
      <c r="F30" s="331"/>
      <c r="G30" s="331"/>
      <c r="H30" s="331"/>
      <c r="I30" s="331"/>
      <c r="J30" s="331"/>
      <c r="K30" s="331"/>
      <c r="L30" s="331"/>
      <c r="M30" s="331"/>
      <c r="N30" s="331"/>
      <c r="O30" s="331"/>
      <c r="P30" s="331"/>
      <c r="Q30" s="331"/>
      <c r="R30" s="331"/>
      <c r="S30" s="331"/>
      <c r="T30" s="331"/>
      <c r="U30" s="331"/>
    </row>
    <row r="31" spans="1:22" x14ac:dyDescent="0.25">
      <c r="A31" s="79"/>
      <c r="B31" s="79"/>
      <c r="C31" s="79"/>
      <c r="D31" s="79"/>
      <c r="E31" s="79"/>
      <c r="F31" s="79"/>
      <c r="G31" s="79"/>
      <c r="H31" s="79"/>
      <c r="I31" s="79"/>
      <c r="J31" s="79"/>
      <c r="K31" s="79"/>
      <c r="L31" s="79"/>
      <c r="M31" s="79"/>
      <c r="N31" s="79"/>
      <c r="O31" s="79"/>
      <c r="P31" s="79"/>
      <c r="Q31" s="79"/>
      <c r="R31" s="79"/>
      <c r="S31" s="79"/>
      <c r="T31" s="79"/>
      <c r="U31" s="79"/>
      <c r="V31" s="73"/>
    </row>
    <row r="32" spans="1:22" x14ac:dyDescent="0.25">
      <c r="A32" s="327" t="s">
        <v>455</v>
      </c>
      <c r="B32" s="327"/>
      <c r="C32" s="327"/>
      <c r="D32" s="327"/>
      <c r="E32" s="79"/>
      <c r="F32" s="81"/>
      <c r="G32" s="81"/>
      <c r="H32" s="81"/>
      <c r="I32" s="81"/>
      <c r="J32" s="81"/>
      <c r="K32" s="81"/>
      <c r="L32" s="81"/>
      <c r="M32" s="81"/>
      <c r="N32" s="81"/>
      <c r="O32" s="81"/>
      <c r="P32" s="81"/>
      <c r="Q32" s="81"/>
      <c r="R32" s="81"/>
      <c r="S32" s="81"/>
      <c r="T32" s="81"/>
      <c r="U32" s="79"/>
      <c r="V32" s="73"/>
    </row>
    <row r="33" spans="1:22" x14ac:dyDescent="0.25">
      <c r="A33" s="79"/>
      <c r="B33" s="79"/>
      <c r="C33" s="79"/>
      <c r="D33" s="79"/>
      <c r="E33" s="79"/>
      <c r="F33" s="327" t="s">
        <v>453</v>
      </c>
      <c r="G33" s="327"/>
      <c r="H33" s="327"/>
      <c r="I33" s="81"/>
      <c r="J33" s="327" t="s">
        <v>454</v>
      </c>
      <c r="K33" s="327"/>
      <c r="L33" s="327"/>
      <c r="M33" s="81"/>
      <c r="N33" s="326" t="s">
        <v>463</v>
      </c>
      <c r="O33" s="326"/>
      <c r="P33" s="326"/>
      <c r="Q33" s="81"/>
      <c r="R33" s="326" t="s">
        <v>466</v>
      </c>
      <c r="S33" s="326"/>
      <c r="T33" s="326"/>
      <c r="U33" s="79"/>
      <c r="V33" s="73"/>
    </row>
    <row r="34" spans="1:22" x14ac:dyDescent="0.25">
      <c r="A34" s="79"/>
      <c r="B34" s="328" t="str">
        <f>B4</f>
        <v>Multielemental</v>
      </c>
      <c r="C34" s="329"/>
      <c r="D34" s="79"/>
      <c r="E34" s="79"/>
      <c r="F34" s="80"/>
      <c r="G34" s="80"/>
      <c r="H34" s="80"/>
      <c r="I34" s="81"/>
      <c r="J34" s="80"/>
      <c r="K34" s="80"/>
      <c r="L34" s="80"/>
      <c r="M34" s="81"/>
      <c r="N34" s="81"/>
      <c r="O34" s="81"/>
      <c r="P34" s="81"/>
      <c r="Q34" s="81"/>
      <c r="R34" s="81"/>
      <c r="S34" s="81"/>
      <c r="T34" s="81"/>
      <c r="U34" s="79"/>
      <c r="V34" s="73"/>
    </row>
    <row r="35" spans="1:22" x14ac:dyDescent="0.25">
      <c r="A35" s="79"/>
      <c r="B35" s="79"/>
      <c r="C35" s="79"/>
      <c r="D35" s="79"/>
      <c r="E35" s="79"/>
      <c r="F35" s="80"/>
      <c r="G35" s="227">
        <v>100</v>
      </c>
      <c r="H35" s="80"/>
      <c r="I35" s="81"/>
      <c r="J35" s="80"/>
      <c r="K35" s="226">
        <v>100</v>
      </c>
      <c r="L35" s="80"/>
      <c r="M35" s="81"/>
      <c r="N35" s="230" t="s">
        <v>317</v>
      </c>
      <c r="O35" s="231">
        <f>K35/3</f>
        <v>33.333333333333336</v>
      </c>
      <c r="P35" s="32" t="str">
        <f>IF(K35-K53&gt;=O35,"OK","!")</f>
        <v>!</v>
      </c>
      <c r="Q35" s="81"/>
      <c r="R35" s="232">
        <v>0</v>
      </c>
      <c r="S35" s="82" t="s">
        <v>456</v>
      </c>
      <c r="T35" s="83" t="s">
        <v>457</v>
      </c>
      <c r="U35" s="79"/>
      <c r="V35" s="73"/>
    </row>
    <row r="36" spans="1:22" x14ac:dyDescent="0.25">
      <c r="A36" s="327" t="s">
        <v>568</v>
      </c>
      <c r="B36" s="327"/>
      <c r="C36" s="327"/>
      <c r="D36" s="327"/>
      <c r="E36" s="79"/>
      <c r="F36" s="80"/>
      <c r="G36" s="80"/>
      <c r="H36" s="80"/>
      <c r="I36" s="81"/>
      <c r="J36" s="80"/>
      <c r="K36" s="80"/>
      <c r="L36" s="80"/>
      <c r="M36" s="81"/>
      <c r="N36" s="230" t="s">
        <v>318</v>
      </c>
      <c r="O36" s="231">
        <f>O35*2</f>
        <v>66.666666666666671</v>
      </c>
      <c r="P36" s="32" t="str">
        <f>IF(K35-K53&gt;=O36,"OK","!")</f>
        <v>!</v>
      </c>
      <c r="Q36" s="81"/>
      <c r="R36" s="165">
        <v>0</v>
      </c>
      <c r="S36" s="68">
        <f>$R$35+($R$35*R36)</f>
        <v>0</v>
      </c>
      <c r="T36" s="68">
        <f>$R$35-($R$35*R36)</f>
        <v>0</v>
      </c>
      <c r="U36" s="79"/>
      <c r="V36" s="73"/>
    </row>
    <row r="37" spans="1:22" x14ac:dyDescent="0.25">
      <c r="A37" s="79"/>
      <c r="B37" s="79"/>
      <c r="C37" s="79"/>
      <c r="D37" s="79"/>
      <c r="E37" s="79"/>
      <c r="F37" s="81" t="s">
        <v>460</v>
      </c>
      <c r="G37" s="81"/>
      <c r="H37" s="81" t="s">
        <v>459</v>
      </c>
      <c r="I37" s="81"/>
      <c r="J37" s="81" t="s">
        <v>527</v>
      </c>
      <c r="K37" s="81"/>
      <c r="L37" s="81" t="s">
        <v>458</v>
      </c>
      <c r="M37" s="81"/>
      <c r="N37" s="230" t="s">
        <v>319</v>
      </c>
      <c r="O37" s="231">
        <f>O35*3</f>
        <v>100</v>
      </c>
      <c r="P37" s="32" t="str">
        <f>IF(K35-K53&gt;=O37,"OK","!")</f>
        <v>!</v>
      </c>
      <c r="Q37" s="81"/>
      <c r="R37" s="165">
        <v>0</v>
      </c>
      <c r="S37" s="68">
        <f>$R$35+($R$35*R37)</f>
        <v>0</v>
      </c>
      <c r="T37" s="68">
        <f>$R$35-($R$35*R37)</f>
        <v>0</v>
      </c>
      <c r="U37" s="79"/>
      <c r="V37" s="73"/>
    </row>
    <row r="38" spans="1:22" x14ac:dyDescent="0.25">
      <c r="A38" s="79"/>
      <c r="B38" s="328" t="str">
        <f>IF(B34="","",VLOOKUP(B34,Bonificações!$L$4:$N$23,2,0))</f>
        <v>Destreza</v>
      </c>
      <c r="C38" s="329"/>
      <c r="D38" s="79"/>
      <c r="E38" s="79"/>
      <c r="F38" s="182"/>
      <c r="G38" s="35">
        <f>COUNTIF($H$38:$H$49,"&gt;="&amp;O49)</f>
        <v>0</v>
      </c>
      <c r="H38" s="182"/>
      <c r="I38" s="81"/>
      <c r="J38" s="182"/>
      <c r="K38" s="35">
        <f>COUNTIF($L$38:$L$49,"&gt;="&amp;O41)</f>
        <v>0</v>
      </c>
      <c r="L38" s="182"/>
      <c r="M38" s="81"/>
      <c r="N38" s="36"/>
      <c r="O38" s="36"/>
      <c r="P38" s="36"/>
      <c r="Q38" s="81"/>
      <c r="R38" s="81"/>
      <c r="S38" s="81"/>
      <c r="T38" s="81"/>
      <c r="U38" s="79"/>
      <c r="V38" s="73"/>
    </row>
    <row r="39" spans="1:22" x14ac:dyDescent="0.25">
      <c r="A39" s="79"/>
      <c r="B39" s="79"/>
      <c r="C39" s="79"/>
      <c r="D39" s="79"/>
      <c r="E39" s="79"/>
      <c r="F39" s="182"/>
      <c r="G39" s="35">
        <f t="shared" ref="G39:G42" si="8">COUNTIF($H$38:$H$49,"&gt;="&amp;O50)</f>
        <v>0</v>
      </c>
      <c r="H39" s="182"/>
      <c r="I39" s="81"/>
      <c r="J39" s="182"/>
      <c r="K39" s="35">
        <f t="shared" ref="K39:K42" si="9">COUNTIF($L$38:$L$49,"&gt;="&amp;O42)</f>
        <v>0</v>
      </c>
      <c r="L39" s="182"/>
      <c r="M39" s="81"/>
      <c r="N39" s="330" t="s">
        <v>464</v>
      </c>
      <c r="O39" s="330"/>
      <c r="P39" s="330"/>
      <c r="Q39" s="81"/>
      <c r="R39" s="326" t="s">
        <v>467</v>
      </c>
      <c r="S39" s="326"/>
      <c r="T39" s="326"/>
      <c r="U39" s="79"/>
      <c r="V39" s="73"/>
    </row>
    <row r="40" spans="1:22" x14ac:dyDescent="0.25">
      <c r="A40" s="327" t="s">
        <v>566</v>
      </c>
      <c r="B40" s="327"/>
      <c r="C40" s="327"/>
      <c r="D40" s="327"/>
      <c r="E40" s="79"/>
      <c r="F40" s="182"/>
      <c r="G40" s="35">
        <f t="shared" si="8"/>
        <v>0</v>
      </c>
      <c r="H40" s="182"/>
      <c r="I40" s="81"/>
      <c r="J40" s="182"/>
      <c r="K40" s="35">
        <f t="shared" si="9"/>
        <v>0</v>
      </c>
      <c r="L40" s="182"/>
      <c r="M40" s="81"/>
      <c r="N40" s="81"/>
      <c r="O40" s="81"/>
      <c r="P40" s="81"/>
      <c r="Q40" s="81"/>
      <c r="R40" s="81"/>
      <c r="S40" s="81"/>
      <c r="T40" s="81"/>
      <c r="U40" s="35">
        <f>IF(T40="OK",-1,0)</f>
        <v>0</v>
      </c>
      <c r="V40" s="73"/>
    </row>
    <row r="41" spans="1:22" x14ac:dyDescent="0.25">
      <c r="A41" s="79"/>
      <c r="B41" s="79" t="s">
        <v>451</v>
      </c>
      <c r="C41" s="79" t="s">
        <v>452</v>
      </c>
      <c r="D41" s="79"/>
      <c r="E41" s="79"/>
      <c r="F41" s="182"/>
      <c r="G41" s="35">
        <f t="shared" si="8"/>
        <v>0</v>
      </c>
      <c r="H41" s="182"/>
      <c r="I41" s="81"/>
      <c r="J41" s="182"/>
      <c r="K41" s="35">
        <f t="shared" si="9"/>
        <v>0</v>
      </c>
      <c r="L41" s="182"/>
      <c r="M41" s="81"/>
      <c r="N41" s="230" t="s">
        <v>317</v>
      </c>
      <c r="O41" s="231">
        <f>K35*0.2</f>
        <v>20</v>
      </c>
      <c r="P41" s="34" t="str">
        <f>IF(K38=0,"!","OK")</f>
        <v>!</v>
      </c>
      <c r="Q41" s="81"/>
      <c r="R41" s="230" t="s">
        <v>317</v>
      </c>
      <c r="S41" s="67">
        <f>$G$35*0.2</f>
        <v>20</v>
      </c>
      <c r="T41" s="32" t="str">
        <f>IF($G$53&lt;=S41,"OK","!")</f>
        <v>!</v>
      </c>
      <c r="U41" s="35">
        <f t="shared" ref="U41:U44" si="10">IF(T41="OK",-1,0)</f>
        <v>0</v>
      </c>
      <c r="V41" s="73"/>
    </row>
    <row r="42" spans="1:22" x14ac:dyDescent="0.25">
      <c r="A42" s="79"/>
      <c r="B42" s="233"/>
      <c r="C42" s="234"/>
      <c r="D42" s="79"/>
      <c r="E42" s="79"/>
      <c r="F42" s="182"/>
      <c r="G42" s="35">
        <f t="shared" si="8"/>
        <v>0</v>
      </c>
      <c r="H42" s="182"/>
      <c r="I42" s="81"/>
      <c r="J42" s="182"/>
      <c r="K42" s="35">
        <f t="shared" si="9"/>
        <v>0</v>
      </c>
      <c r="L42" s="182"/>
      <c r="M42" s="81"/>
      <c r="N42" s="230" t="s">
        <v>318</v>
      </c>
      <c r="O42" s="231">
        <f>O41*2</f>
        <v>40</v>
      </c>
      <c r="P42" s="34" t="str">
        <f t="shared" ref="P42:P45" si="11">IF(K39=0,"!","OK")</f>
        <v>!</v>
      </c>
      <c r="Q42" s="81"/>
      <c r="R42" s="230" t="s">
        <v>318</v>
      </c>
      <c r="S42" s="67">
        <f>$G$35*0.15</f>
        <v>15</v>
      </c>
      <c r="T42" s="32" t="str">
        <f t="shared" ref="T42:T44" si="12">IF($G$53&lt;=S42,"OK","!")</f>
        <v>!</v>
      </c>
      <c r="U42" s="35">
        <f t="shared" si="10"/>
        <v>0</v>
      </c>
      <c r="V42" s="73"/>
    </row>
    <row r="43" spans="1:22" x14ac:dyDescent="0.25">
      <c r="A43" s="79"/>
      <c r="B43" s="233"/>
      <c r="C43" s="234"/>
      <c r="D43" s="79"/>
      <c r="E43" s="79"/>
      <c r="F43" s="182"/>
      <c r="G43" s="81"/>
      <c r="H43" s="182"/>
      <c r="I43" s="81"/>
      <c r="J43" s="182"/>
      <c r="K43" s="81"/>
      <c r="L43" s="182"/>
      <c r="M43" s="81"/>
      <c r="N43" s="230" t="s">
        <v>319</v>
      </c>
      <c r="O43" s="231">
        <f>O41*3</f>
        <v>60</v>
      </c>
      <c r="P43" s="34" t="str">
        <f t="shared" si="11"/>
        <v>!</v>
      </c>
      <c r="Q43" s="81"/>
      <c r="R43" s="230" t="s">
        <v>319</v>
      </c>
      <c r="S43" s="67">
        <f>$G$35*0.1</f>
        <v>10</v>
      </c>
      <c r="T43" s="32" t="str">
        <f t="shared" si="12"/>
        <v>!</v>
      </c>
      <c r="U43" s="35">
        <f t="shared" si="10"/>
        <v>0</v>
      </c>
      <c r="V43" s="73"/>
    </row>
    <row r="44" spans="1:22" x14ac:dyDescent="0.25">
      <c r="A44" s="79"/>
      <c r="B44" s="233"/>
      <c r="C44" s="234"/>
      <c r="D44" s="79"/>
      <c r="E44" s="79"/>
      <c r="F44" s="182"/>
      <c r="G44" s="81"/>
      <c r="H44" s="182"/>
      <c r="I44" s="81"/>
      <c r="J44" s="182"/>
      <c r="K44" s="81"/>
      <c r="L44" s="182"/>
      <c r="M44" s="81"/>
      <c r="N44" s="230" t="s">
        <v>320</v>
      </c>
      <c r="O44" s="231">
        <f>O41*4</f>
        <v>80</v>
      </c>
      <c r="P44" s="34" t="str">
        <f t="shared" si="11"/>
        <v>!</v>
      </c>
      <c r="Q44" s="81"/>
      <c r="R44" s="230" t="s">
        <v>320</v>
      </c>
      <c r="S44" s="67">
        <f>$G$35*0.05</f>
        <v>5</v>
      </c>
      <c r="T44" s="32" t="str">
        <f t="shared" si="12"/>
        <v>!</v>
      </c>
      <c r="U44" s="35">
        <f t="shared" si="10"/>
        <v>0</v>
      </c>
      <c r="V44" s="73"/>
    </row>
    <row r="45" spans="1:22" x14ac:dyDescent="0.25">
      <c r="A45" s="79"/>
      <c r="B45" s="233"/>
      <c r="C45" s="234"/>
      <c r="D45" s="79"/>
      <c r="E45" s="79"/>
      <c r="F45" s="182"/>
      <c r="G45" s="81"/>
      <c r="H45" s="182"/>
      <c r="I45" s="81"/>
      <c r="J45" s="182"/>
      <c r="K45" s="81"/>
      <c r="L45" s="182"/>
      <c r="M45" s="81"/>
      <c r="N45" s="230" t="s">
        <v>465</v>
      </c>
      <c r="O45" s="231">
        <f>O41*5</f>
        <v>100</v>
      </c>
      <c r="P45" s="34" t="str">
        <f t="shared" si="11"/>
        <v>!</v>
      </c>
      <c r="Q45" s="81"/>
      <c r="R45" s="230" t="s">
        <v>465</v>
      </c>
      <c r="S45" s="67">
        <f>$G$35*0</f>
        <v>0</v>
      </c>
      <c r="T45" s="32" t="str">
        <f>IF($G$53&lt;=S45,"OK","!")</f>
        <v>!</v>
      </c>
      <c r="U45" s="79"/>
      <c r="V45" s="73"/>
    </row>
    <row r="46" spans="1:22" x14ac:dyDescent="0.25">
      <c r="A46" s="79"/>
      <c r="B46" s="233"/>
      <c r="C46" s="234"/>
      <c r="D46" s="79"/>
      <c r="E46" s="79"/>
      <c r="F46" s="182"/>
      <c r="G46" s="81"/>
      <c r="H46" s="182"/>
      <c r="I46" s="81"/>
      <c r="J46" s="182"/>
      <c r="K46" s="81"/>
      <c r="L46" s="182"/>
      <c r="M46" s="81"/>
      <c r="N46" s="81"/>
      <c r="O46" s="81"/>
      <c r="P46" s="81"/>
      <c r="Q46" s="81"/>
      <c r="R46" s="81"/>
      <c r="S46" s="81"/>
      <c r="T46" s="81"/>
      <c r="U46" s="79"/>
      <c r="V46" s="73"/>
    </row>
    <row r="47" spans="1:22" x14ac:dyDescent="0.25">
      <c r="A47" s="79"/>
      <c r="B47" s="233"/>
      <c r="C47" s="234"/>
      <c r="D47" s="79"/>
      <c r="E47" s="79"/>
      <c r="F47" s="182"/>
      <c r="G47" s="81"/>
      <c r="H47" s="182"/>
      <c r="I47" s="81"/>
      <c r="J47" s="182"/>
      <c r="K47" s="81"/>
      <c r="L47" s="182"/>
      <c r="M47" s="81"/>
      <c r="N47" s="326" t="s">
        <v>567</v>
      </c>
      <c r="O47" s="326"/>
      <c r="P47" s="326"/>
      <c r="Q47" s="81"/>
      <c r="R47" s="326" t="s">
        <v>468</v>
      </c>
      <c r="S47" s="326"/>
      <c r="T47" s="326"/>
      <c r="U47" s="79"/>
      <c r="V47" s="73"/>
    </row>
    <row r="48" spans="1:22" x14ac:dyDescent="0.25">
      <c r="A48" s="79"/>
      <c r="B48" s="233"/>
      <c r="C48" s="234"/>
      <c r="D48" s="79"/>
      <c r="E48" s="79"/>
      <c r="F48" s="182"/>
      <c r="G48" s="81"/>
      <c r="H48" s="182"/>
      <c r="I48" s="81"/>
      <c r="J48" s="182"/>
      <c r="K48" s="81"/>
      <c r="L48" s="182"/>
      <c r="M48" s="81"/>
      <c r="N48" s="81"/>
      <c r="O48" s="81"/>
      <c r="P48" s="81"/>
      <c r="Q48" s="81"/>
      <c r="R48" s="81"/>
      <c r="S48" s="81"/>
      <c r="T48" s="81"/>
      <c r="U48" s="35">
        <f>IF(T48="OK",-1,0)</f>
        <v>0</v>
      </c>
      <c r="V48" s="73"/>
    </row>
    <row r="49" spans="1:22" x14ac:dyDescent="0.25">
      <c r="A49" s="79"/>
      <c r="B49" s="233"/>
      <c r="C49" s="234"/>
      <c r="D49" s="79"/>
      <c r="E49" s="79"/>
      <c r="F49" s="182"/>
      <c r="G49" s="81"/>
      <c r="H49" s="182"/>
      <c r="I49" s="81"/>
      <c r="J49" s="182"/>
      <c r="K49" s="81"/>
      <c r="L49" s="182"/>
      <c r="M49" s="81"/>
      <c r="N49" s="230" t="s">
        <v>317</v>
      </c>
      <c r="O49" s="231">
        <f>G35/3</f>
        <v>33.333333333333336</v>
      </c>
      <c r="P49" s="34" t="str">
        <f>IF(G38=0,"!","OK")</f>
        <v>!</v>
      </c>
      <c r="Q49" s="81"/>
      <c r="R49" s="230" t="s">
        <v>317</v>
      </c>
      <c r="S49" s="67">
        <f>$G$35*0</f>
        <v>0</v>
      </c>
      <c r="T49" s="32" t="str">
        <f>IF($G$53&lt;=S49,"OK","!")</f>
        <v>!</v>
      </c>
      <c r="U49" s="35">
        <f t="shared" ref="U49:U52" si="13">IF(T49="OK",-1,0)</f>
        <v>0</v>
      </c>
      <c r="V49" s="73"/>
    </row>
    <row r="50" spans="1:22" x14ac:dyDescent="0.25">
      <c r="A50" s="79"/>
      <c r="B50" s="233"/>
      <c r="C50" s="234"/>
      <c r="D50" s="79"/>
      <c r="E50" s="79"/>
      <c r="F50" s="81"/>
      <c r="G50" s="81"/>
      <c r="H50" s="81"/>
      <c r="I50" s="81"/>
      <c r="J50" s="81"/>
      <c r="K50" s="81"/>
      <c r="L50" s="81"/>
      <c r="M50" s="81"/>
      <c r="N50" s="230" t="s">
        <v>318</v>
      </c>
      <c r="O50" s="231">
        <f>$O$49*2</f>
        <v>66.666666666666671</v>
      </c>
      <c r="P50" s="34" t="str">
        <f t="shared" ref="P50:P53" si="14">IF(G39=0,"!","OK")</f>
        <v>!</v>
      </c>
      <c r="Q50" s="81"/>
      <c r="R50" s="230" t="s">
        <v>318</v>
      </c>
      <c r="S50" s="67">
        <f>$G$35*(-0.5)</f>
        <v>-50</v>
      </c>
      <c r="T50" s="32" t="str">
        <f>IF($G$53&lt;=S50,"OK","!")</f>
        <v>!</v>
      </c>
      <c r="U50" s="35">
        <f t="shared" si="13"/>
        <v>0</v>
      </c>
      <c r="V50" s="73"/>
    </row>
    <row r="51" spans="1:22" x14ac:dyDescent="0.25">
      <c r="A51" s="79"/>
      <c r="B51" s="233"/>
      <c r="C51" s="234"/>
      <c r="D51" s="79"/>
      <c r="E51" s="79"/>
      <c r="F51" s="327" t="s">
        <v>461</v>
      </c>
      <c r="G51" s="327"/>
      <c r="H51" s="327"/>
      <c r="I51" s="81"/>
      <c r="J51" s="327" t="s">
        <v>462</v>
      </c>
      <c r="K51" s="327"/>
      <c r="L51" s="327"/>
      <c r="M51" s="81"/>
      <c r="N51" s="230" t="s">
        <v>319</v>
      </c>
      <c r="O51" s="231">
        <f>$O$49*3</f>
        <v>100</v>
      </c>
      <c r="P51" s="34" t="str">
        <f t="shared" si="14"/>
        <v>!</v>
      </c>
      <c r="Q51" s="81"/>
      <c r="R51" s="230" t="s">
        <v>319</v>
      </c>
      <c r="S51" s="67">
        <f>$G$35*(-1)</f>
        <v>-100</v>
      </c>
      <c r="T51" s="32" t="str">
        <f>IF($G$53&lt;=S51,"OK","!")</f>
        <v>!</v>
      </c>
      <c r="U51" s="35">
        <f t="shared" si="13"/>
        <v>0</v>
      </c>
      <c r="V51" s="73"/>
    </row>
    <row r="52" spans="1:22" x14ac:dyDescent="0.25">
      <c r="A52" s="79"/>
      <c r="B52" s="233"/>
      <c r="C52" s="234"/>
      <c r="D52" s="79"/>
      <c r="E52" s="79"/>
      <c r="F52" s="81"/>
      <c r="G52" s="81"/>
      <c r="H52" s="81"/>
      <c r="I52" s="81"/>
      <c r="J52" s="81"/>
      <c r="K52" s="81"/>
      <c r="L52" s="81"/>
      <c r="M52" s="81"/>
      <c r="N52" s="230" t="s">
        <v>320</v>
      </c>
      <c r="O52" s="231">
        <f>$O$49*4</f>
        <v>133.33333333333334</v>
      </c>
      <c r="P52" s="34" t="str">
        <f t="shared" si="14"/>
        <v>!</v>
      </c>
      <c r="Q52" s="81"/>
      <c r="R52" s="230" t="s">
        <v>320</v>
      </c>
      <c r="S52" s="67">
        <f>$G$35*(-1.5)</f>
        <v>-150</v>
      </c>
      <c r="T52" s="32" t="str">
        <f>IF($G$53&lt;=S52,"OK","!")</f>
        <v>!</v>
      </c>
      <c r="U52" s="35">
        <f t="shared" si="13"/>
        <v>0</v>
      </c>
      <c r="V52" s="73"/>
    </row>
    <row r="53" spans="1:22" x14ac:dyDescent="0.25">
      <c r="A53" s="79"/>
      <c r="B53" s="79"/>
      <c r="C53" s="79"/>
      <c r="D53" s="79"/>
      <c r="E53" s="79"/>
      <c r="F53" s="81"/>
      <c r="G53" s="33">
        <f>SUM(G35,F38:F49)-SUM(H38:H49)</f>
        <v>100</v>
      </c>
      <c r="H53" s="81"/>
      <c r="I53" s="81"/>
      <c r="J53" s="81"/>
      <c r="K53" s="84">
        <f>SUM(K35,J38:J49)-SUM(L38:L49)</f>
        <v>100</v>
      </c>
      <c r="L53" s="81"/>
      <c r="M53" s="81"/>
      <c r="N53" s="230" t="s">
        <v>465</v>
      </c>
      <c r="O53" s="231">
        <f>$O$49*5</f>
        <v>166.66666666666669</v>
      </c>
      <c r="P53" s="34" t="str">
        <f t="shared" si="14"/>
        <v>!</v>
      </c>
      <c r="Q53" s="81"/>
      <c r="R53" s="85"/>
      <c r="S53" s="86"/>
      <c r="T53" s="85"/>
      <c r="U53" s="79"/>
      <c r="V53" s="73"/>
    </row>
    <row r="54" spans="1:22" x14ac:dyDescent="0.25">
      <c r="A54" s="79"/>
      <c r="B54" s="79"/>
      <c r="C54" s="79"/>
      <c r="D54" s="79"/>
      <c r="E54" s="79"/>
      <c r="F54" s="81"/>
      <c r="G54" s="81"/>
      <c r="H54" s="81"/>
      <c r="I54" s="81"/>
      <c r="J54" s="81"/>
      <c r="K54" s="81"/>
      <c r="L54" s="81"/>
      <c r="M54" s="81"/>
      <c r="N54" s="81"/>
      <c r="O54" s="81"/>
      <c r="P54" s="81"/>
      <c r="Q54" s="81"/>
      <c r="R54" s="81"/>
      <c r="S54" s="81"/>
      <c r="T54" s="81"/>
      <c r="U54" s="79"/>
      <c r="V54" s="73"/>
    </row>
    <row r="55" spans="1:22" x14ac:dyDescent="0.25">
      <c r="A55" s="79"/>
      <c r="B55" s="79"/>
      <c r="C55" s="79"/>
      <c r="D55" s="79"/>
      <c r="E55" s="79"/>
      <c r="F55" s="81"/>
      <c r="G55" s="81"/>
      <c r="H55" s="81"/>
      <c r="I55" s="81"/>
      <c r="J55" s="81"/>
      <c r="K55" s="81"/>
      <c r="L55" s="81"/>
      <c r="M55" s="81"/>
      <c r="N55" s="81"/>
      <c r="O55" s="81" t="s">
        <v>587</v>
      </c>
      <c r="P55" s="81"/>
      <c r="Q55" s="81"/>
      <c r="R55" s="81"/>
      <c r="S55" s="81"/>
      <c r="T55" s="81"/>
      <c r="U55" s="79"/>
      <c r="V55" s="73"/>
    </row>
    <row r="56" spans="1:22" x14ac:dyDescent="0.25">
      <c r="A56" s="79"/>
      <c r="B56" s="79"/>
      <c r="C56" s="79"/>
      <c r="D56" s="79"/>
      <c r="E56" s="79"/>
      <c r="F56" s="81"/>
      <c r="G56" s="81"/>
      <c r="H56" s="81"/>
      <c r="I56" s="81"/>
      <c r="J56" s="81"/>
      <c r="K56" s="81"/>
      <c r="L56" s="81"/>
      <c r="M56" s="81"/>
      <c r="N56" s="37" t="s">
        <v>591</v>
      </c>
      <c r="O56" s="162">
        <v>4</v>
      </c>
      <c r="P56" s="81"/>
      <c r="Q56" s="81"/>
      <c r="R56" s="81"/>
      <c r="S56" s="81"/>
      <c r="T56" s="81"/>
      <c r="U56" s="79"/>
      <c r="V56" s="73"/>
    </row>
    <row r="57" spans="1:22" x14ac:dyDescent="0.25">
      <c r="A57" s="79"/>
      <c r="B57" s="79"/>
      <c r="C57" s="79"/>
      <c r="D57" s="79"/>
      <c r="E57" s="79"/>
      <c r="F57" s="81"/>
      <c r="G57" s="81"/>
      <c r="H57" s="81"/>
      <c r="I57" s="81"/>
      <c r="J57" s="81"/>
      <c r="K57" s="81"/>
      <c r="L57" s="81"/>
      <c r="M57" s="81"/>
      <c r="N57" s="37" t="s">
        <v>588</v>
      </c>
      <c r="O57" s="67">
        <f>ROUNDDOWN(P57,0)</f>
        <v>0</v>
      </c>
      <c r="P57" s="38">
        <f>IF($G$35=0,0,IF($O$56&gt;=($G$35/3),($O$56/($G$35/3)),0))</f>
        <v>0</v>
      </c>
      <c r="Q57" s="35"/>
      <c r="R57" s="81"/>
      <c r="S57" s="81"/>
      <c r="T57" s="81"/>
      <c r="U57" s="79"/>
      <c r="V57" s="73"/>
    </row>
    <row r="58" spans="1:22" x14ac:dyDescent="0.25">
      <c r="A58" s="79"/>
      <c r="B58" s="79"/>
      <c r="C58" s="79"/>
      <c r="D58" s="79"/>
      <c r="E58" s="79"/>
      <c r="F58" s="81"/>
      <c r="G58" s="81"/>
      <c r="H58" s="81"/>
      <c r="I58" s="81"/>
      <c r="J58" s="81"/>
      <c r="K58" s="81"/>
      <c r="L58" s="81"/>
      <c r="M58" s="81"/>
      <c r="N58" s="37" t="s">
        <v>589</v>
      </c>
      <c r="O58" s="67">
        <f>ROUNDDOWN(-Q58,0)</f>
        <v>0</v>
      </c>
      <c r="P58" s="38">
        <f>IF($G$35=0,0,IF($G$53&gt;=0,0,($G$53/($G$35*0.05))))</f>
        <v>0</v>
      </c>
      <c r="Q58" s="35">
        <f>SUM(U41:U45,P58)</f>
        <v>0</v>
      </c>
      <c r="R58" s="81"/>
      <c r="S58" s="81"/>
      <c r="T58" s="81"/>
      <c r="U58" s="79"/>
      <c r="V58" s="73"/>
    </row>
    <row r="59" spans="1:22" x14ac:dyDescent="0.25">
      <c r="A59" s="79"/>
      <c r="B59" s="79"/>
      <c r="C59" s="79"/>
      <c r="D59" s="79"/>
      <c r="E59" s="79"/>
      <c r="F59" s="81"/>
      <c r="G59" s="81"/>
      <c r="H59" s="81"/>
      <c r="I59" s="81"/>
      <c r="J59" s="81"/>
      <c r="K59" s="81"/>
      <c r="L59" s="81"/>
      <c r="M59" s="81"/>
      <c r="N59" s="37" t="s">
        <v>590</v>
      </c>
      <c r="O59" s="67">
        <f>ROUNDDOWN(-Q59,0)</f>
        <v>0</v>
      </c>
      <c r="P59" s="38">
        <f>IF($G$35=0,0,IF($G$53&gt;=0,0,($G$53/($G$35/2))))</f>
        <v>0</v>
      </c>
      <c r="Q59" s="35">
        <f>SUM(U49,P59)</f>
        <v>0</v>
      </c>
      <c r="R59" s="81"/>
      <c r="S59" s="81"/>
      <c r="T59" s="81"/>
      <c r="U59" s="79"/>
      <c r="V59" s="73"/>
    </row>
    <row r="60" spans="1:22" x14ac:dyDescent="0.25">
      <c r="A60" s="73"/>
      <c r="B60" s="73"/>
      <c r="C60" s="73"/>
      <c r="D60" s="73"/>
      <c r="E60" s="73"/>
      <c r="F60" s="73"/>
      <c r="G60" s="73"/>
      <c r="H60" s="73"/>
      <c r="I60" s="73"/>
      <c r="J60" s="73"/>
      <c r="K60" s="73"/>
      <c r="L60" s="73"/>
      <c r="M60" s="73"/>
      <c r="N60" s="73"/>
      <c r="O60" s="73"/>
      <c r="P60" s="73"/>
      <c r="Q60" s="73"/>
      <c r="R60" s="73"/>
      <c r="S60" s="73"/>
      <c r="T60" s="73"/>
      <c r="U60" s="73"/>
      <c r="V60" s="73"/>
    </row>
    <row r="61" spans="1:22" x14ac:dyDescent="0.25">
      <c r="A61" s="73"/>
      <c r="B61" s="73"/>
      <c r="C61" s="73"/>
      <c r="D61" s="73"/>
      <c r="E61" s="73"/>
      <c r="F61" s="73"/>
      <c r="G61" s="73"/>
      <c r="H61" s="73"/>
      <c r="I61" s="73"/>
      <c r="J61" s="73"/>
      <c r="K61" s="73"/>
      <c r="L61" s="73"/>
      <c r="M61" s="73"/>
      <c r="N61" s="73"/>
      <c r="O61" s="73"/>
      <c r="P61" s="73"/>
      <c r="Q61" s="73"/>
      <c r="R61" s="73"/>
      <c r="S61" s="73"/>
      <c r="T61" s="73"/>
      <c r="U61" s="73"/>
      <c r="V61" s="73"/>
    </row>
    <row r="62" spans="1:22" x14ac:dyDescent="0.25">
      <c r="A62" s="73"/>
      <c r="B62" s="73"/>
      <c r="C62" s="73"/>
      <c r="D62" s="73"/>
      <c r="E62" s="73"/>
      <c r="F62" s="73"/>
      <c r="G62" s="73"/>
      <c r="H62" s="73"/>
      <c r="I62" s="73"/>
      <c r="J62" s="73"/>
      <c r="K62" s="73"/>
      <c r="L62" s="73"/>
      <c r="M62" s="73"/>
      <c r="N62" s="73"/>
      <c r="O62" s="73"/>
      <c r="P62" s="73"/>
      <c r="Q62" s="73"/>
      <c r="R62" s="73"/>
      <c r="S62" s="73"/>
      <c r="T62" s="73"/>
      <c r="U62" s="73"/>
      <c r="V62" s="73"/>
    </row>
    <row r="63" spans="1:22" x14ac:dyDescent="0.25">
      <c r="A63" s="74"/>
      <c r="B63" s="74"/>
      <c r="C63" s="74"/>
      <c r="D63" s="74"/>
      <c r="E63" s="74"/>
      <c r="F63" s="74"/>
      <c r="G63" s="74"/>
      <c r="H63" s="74"/>
      <c r="I63" s="74"/>
      <c r="J63" s="74"/>
      <c r="K63" s="74"/>
      <c r="L63" s="74"/>
      <c r="M63" s="74"/>
      <c r="N63" s="74"/>
      <c r="O63" s="74"/>
      <c r="P63" s="74"/>
      <c r="Q63" s="74"/>
      <c r="R63" s="74"/>
      <c r="S63" s="74"/>
      <c r="T63" s="74"/>
      <c r="U63" s="74"/>
      <c r="V63" s="74"/>
    </row>
  </sheetData>
  <sheetProtection selectLockedCells="1"/>
  <customSheetViews>
    <customSheetView guid="{5F7E442B-9104-458B-9892-4194DBB06FCD}">
      <selection activeCell="H16" sqref="H16"/>
      <pageMargins left="0.511811024" right="0.511811024" top="0.78740157499999996" bottom="0.78740157499999996" header="0.31496062000000002" footer="0.31496062000000002"/>
      <pageSetup paperSize="9" orientation="portrait" r:id="rId1"/>
    </customSheetView>
  </customSheetViews>
  <mergeCells count="31">
    <mergeCell ref="R2:T2"/>
    <mergeCell ref="R8:T8"/>
    <mergeCell ref="R16:T16"/>
    <mergeCell ref="A30:U30"/>
    <mergeCell ref="F20:H20"/>
    <mergeCell ref="J2:L2"/>
    <mergeCell ref="J20:L20"/>
    <mergeCell ref="F2:H2"/>
    <mergeCell ref="B4:C4"/>
    <mergeCell ref="A2:D2"/>
    <mergeCell ref="A6:D6"/>
    <mergeCell ref="N2:P2"/>
    <mergeCell ref="N8:P8"/>
    <mergeCell ref="N16:P16"/>
    <mergeCell ref="A10:D10"/>
    <mergeCell ref="B8:C8"/>
    <mergeCell ref="A32:D32"/>
    <mergeCell ref="F33:H33"/>
    <mergeCell ref="N39:P39"/>
    <mergeCell ref="R39:T39"/>
    <mergeCell ref="R33:T33"/>
    <mergeCell ref="B34:C34"/>
    <mergeCell ref="A36:D36"/>
    <mergeCell ref="J33:L33"/>
    <mergeCell ref="N33:P33"/>
    <mergeCell ref="N47:P47"/>
    <mergeCell ref="R47:T47"/>
    <mergeCell ref="F51:H51"/>
    <mergeCell ref="J51:L51"/>
    <mergeCell ref="B38:C38"/>
    <mergeCell ref="A40:D40"/>
  </mergeCells>
  <dataValidations count="2">
    <dataValidation type="list" allowBlank="1" showInputMessage="1" showErrorMessage="1" sqref="C12:C22 C42:C52" xr:uid="{00000000-0002-0000-0500-000000000000}">
      <formula1>redutores</formula1>
    </dataValidation>
    <dataValidation type="list" allowBlank="1" showInputMessage="1" showErrorMessage="1" sqref="B12:B22 B42:B52" xr:uid="{00000000-0002-0000-0500-000001000000}">
      <formula1>bônus</formula1>
    </dataValidation>
  </dataValidation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7">
    <tabColor rgb="FF00B050"/>
  </sheetPr>
  <dimension ref="A1:S414"/>
  <sheetViews>
    <sheetView showGridLines="0" tabSelected="1" topLeftCell="A166" zoomScale="110" zoomScaleNormal="110" workbookViewId="0">
      <selection activeCell="D18" sqref="D18"/>
    </sheetView>
  </sheetViews>
  <sheetFormatPr defaultColWidth="9.140625" defaultRowHeight="12.75" x14ac:dyDescent="0.2"/>
  <cols>
    <col min="1" max="1" width="23.5703125" style="25" customWidth="1"/>
    <col min="2" max="2" width="128.7109375" style="1" customWidth="1"/>
    <col min="3" max="4" width="9.140625" style="54" customWidth="1"/>
    <col min="5" max="17" width="9.140625" style="29"/>
    <col min="18" max="19" width="9.140625" style="54"/>
    <col min="20" max="16384" width="9.140625" style="29"/>
  </cols>
  <sheetData>
    <row r="1" spans="1:19" ht="15.75" customHeight="1" x14ac:dyDescent="0.2">
      <c r="A1" s="334" t="s">
        <v>64</v>
      </c>
      <c r="B1" s="335" t="s">
        <v>65</v>
      </c>
      <c r="C1" s="334" t="s">
        <v>393</v>
      </c>
      <c r="D1" s="334" t="s">
        <v>394</v>
      </c>
    </row>
    <row r="2" spans="1:19" ht="13.9" customHeight="1" x14ac:dyDescent="0.2">
      <c r="A2" s="334"/>
      <c r="B2" s="335"/>
      <c r="C2" s="334"/>
      <c r="D2" s="334"/>
      <c r="E2" s="40"/>
      <c r="F2" s="40"/>
      <c r="G2" s="40"/>
      <c r="H2" s="40"/>
      <c r="I2" s="40"/>
      <c r="J2" s="40"/>
      <c r="K2" s="40"/>
      <c r="L2" s="40"/>
      <c r="M2" s="40"/>
      <c r="N2" s="40"/>
      <c r="O2" s="40"/>
      <c r="P2" s="40"/>
      <c r="Q2" s="40"/>
    </row>
    <row r="3" spans="1:19" ht="25.5" x14ac:dyDescent="0.2">
      <c r="A3" s="192" t="s">
        <v>328</v>
      </c>
      <c r="B3" s="103" t="s">
        <v>814</v>
      </c>
      <c r="C3" s="192">
        <v>25</v>
      </c>
      <c r="D3" s="192">
        <v>30</v>
      </c>
      <c r="R3" s="65"/>
      <c r="S3" s="65"/>
    </row>
    <row r="4" spans="1:19" x14ac:dyDescent="0.2">
      <c r="A4" s="97"/>
      <c r="B4" s="104"/>
      <c r="C4" s="97"/>
      <c r="D4" s="97"/>
      <c r="R4" s="65"/>
      <c r="S4" s="65"/>
    </row>
    <row r="5" spans="1:19" ht="25.5" x14ac:dyDescent="0.2">
      <c r="A5" s="192" t="s">
        <v>947</v>
      </c>
      <c r="B5" s="103" t="s">
        <v>963</v>
      </c>
      <c r="C5" s="192">
        <v>65</v>
      </c>
      <c r="D5" s="192">
        <v>90</v>
      </c>
    </row>
    <row r="6" spans="1:19" x14ac:dyDescent="0.2">
      <c r="A6" s="97"/>
      <c r="B6" s="104"/>
      <c r="C6" s="97"/>
      <c r="D6" s="97"/>
      <c r="R6" s="65"/>
      <c r="S6" s="65"/>
    </row>
    <row r="7" spans="1:19" ht="25.5" x14ac:dyDescent="0.2">
      <c r="A7" s="192" t="s">
        <v>962</v>
      </c>
      <c r="B7" s="103" t="s">
        <v>964</v>
      </c>
      <c r="C7" s="192">
        <v>100</v>
      </c>
      <c r="D7" s="192">
        <v>100</v>
      </c>
      <c r="R7" s="65"/>
      <c r="S7" s="65"/>
    </row>
    <row r="8" spans="1:19" x14ac:dyDescent="0.2">
      <c r="A8" s="97"/>
      <c r="B8" s="104"/>
      <c r="C8" s="97"/>
      <c r="D8" s="97"/>
      <c r="R8" s="65"/>
      <c r="S8" s="65"/>
    </row>
    <row r="9" spans="1:19" ht="25.5" x14ac:dyDescent="0.2">
      <c r="A9" s="192" t="s">
        <v>486</v>
      </c>
      <c r="B9" s="103" t="s">
        <v>700</v>
      </c>
      <c r="C9" s="192">
        <v>50</v>
      </c>
      <c r="D9" s="192">
        <v>60</v>
      </c>
      <c r="R9" s="65"/>
      <c r="S9" s="65"/>
    </row>
    <row r="10" spans="1:19" x14ac:dyDescent="0.2">
      <c r="A10" s="97"/>
      <c r="B10" s="104"/>
      <c r="C10" s="97"/>
      <c r="D10" s="97"/>
      <c r="R10" s="65"/>
      <c r="S10" s="65"/>
    </row>
    <row r="11" spans="1:19" ht="38.25" x14ac:dyDescent="0.2">
      <c r="A11" s="192" t="s">
        <v>487</v>
      </c>
      <c r="B11" s="103" t="s">
        <v>813</v>
      </c>
      <c r="C11" s="192">
        <v>80</v>
      </c>
      <c r="D11" s="192">
        <v>100</v>
      </c>
      <c r="R11" s="65"/>
      <c r="S11" s="65"/>
    </row>
    <row r="12" spans="1:19" x14ac:dyDescent="0.2">
      <c r="A12" s="97"/>
      <c r="B12" s="104"/>
      <c r="C12" s="97"/>
      <c r="D12" s="97"/>
      <c r="R12" s="65"/>
      <c r="S12" s="65"/>
    </row>
    <row r="13" spans="1:19" ht="38.25" x14ac:dyDescent="0.25">
      <c r="A13" s="192" t="s">
        <v>329</v>
      </c>
      <c r="B13" s="103" t="s">
        <v>1077</v>
      </c>
      <c r="C13" s="192">
        <v>80</v>
      </c>
      <c r="D13" s="192">
        <v>80</v>
      </c>
      <c r="E13" s="39"/>
      <c r="R13" s="65"/>
      <c r="S13" s="65"/>
    </row>
    <row r="14" spans="1:19" ht="15" x14ac:dyDescent="0.25">
      <c r="A14" s="97"/>
      <c r="B14" s="104"/>
      <c r="C14" s="97"/>
      <c r="D14" s="97"/>
      <c r="E14" s="39"/>
      <c r="R14" s="65"/>
      <c r="S14" s="65"/>
    </row>
    <row r="15" spans="1:19" ht="38.25" x14ac:dyDescent="0.2">
      <c r="A15" s="148" t="s">
        <v>946</v>
      </c>
      <c r="B15" s="103" t="s">
        <v>982</v>
      </c>
      <c r="C15" s="148">
        <v>50</v>
      </c>
      <c r="D15" s="148">
        <v>60</v>
      </c>
      <c r="R15" s="65"/>
      <c r="S15" s="65"/>
    </row>
    <row r="16" spans="1:19" x14ac:dyDescent="0.2">
      <c r="A16" s="97"/>
      <c r="B16" s="104"/>
      <c r="C16" s="97"/>
      <c r="D16" s="97"/>
      <c r="R16" s="65"/>
      <c r="S16" s="65"/>
    </row>
    <row r="17" spans="1:19" s="39" customFormat="1" ht="25.5" x14ac:dyDescent="0.25">
      <c r="A17" s="192" t="s">
        <v>843</v>
      </c>
      <c r="B17" s="103" t="s">
        <v>1083</v>
      </c>
      <c r="C17" s="192">
        <v>80</v>
      </c>
      <c r="D17" s="192">
        <v>80</v>
      </c>
    </row>
    <row r="18" spans="1:19" s="39" customFormat="1" ht="15" x14ac:dyDescent="0.25">
      <c r="A18" s="97"/>
      <c r="B18" s="104"/>
      <c r="C18" s="97"/>
      <c r="D18" s="97"/>
    </row>
    <row r="19" spans="1:19" ht="25.5" x14ac:dyDescent="0.2">
      <c r="A19" s="141" t="s">
        <v>330</v>
      </c>
      <c r="B19" s="103" t="s">
        <v>594</v>
      </c>
      <c r="C19" s="141">
        <v>40</v>
      </c>
      <c r="D19" s="141">
        <v>40</v>
      </c>
    </row>
    <row r="20" spans="1:19" x14ac:dyDescent="0.2">
      <c r="A20" s="97"/>
      <c r="B20" s="104"/>
      <c r="C20" s="97"/>
      <c r="D20" s="97"/>
      <c r="R20" s="65"/>
      <c r="S20" s="65"/>
    </row>
    <row r="21" spans="1:19" s="39" customFormat="1" ht="25.5" x14ac:dyDescent="0.25">
      <c r="A21" s="192" t="s">
        <v>512</v>
      </c>
      <c r="B21" s="103" t="s">
        <v>886</v>
      </c>
      <c r="C21" s="192">
        <v>50</v>
      </c>
      <c r="D21" s="192">
        <v>50</v>
      </c>
    </row>
    <row r="22" spans="1:19" s="39" customFormat="1" ht="15" x14ac:dyDescent="0.25">
      <c r="A22" s="97"/>
      <c r="B22" s="104"/>
      <c r="C22" s="97"/>
      <c r="D22" s="97"/>
    </row>
    <row r="23" spans="1:19" ht="25.5" x14ac:dyDescent="0.2">
      <c r="A23" s="141" t="s">
        <v>331</v>
      </c>
      <c r="B23" s="103" t="s">
        <v>701</v>
      </c>
      <c r="C23" s="141">
        <v>50</v>
      </c>
      <c r="D23" s="141">
        <v>70</v>
      </c>
    </row>
    <row r="24" spans="1:19" x14ac:dyDescent="0.2">
      <c r="A24" s="97"/>
      <c r="B24" s="104"/>
      <c r="C24" s="97"/>
      <c r="D24" s="97"/>
      <c r="R24" s="65"/>
      <c r="S24" s="65"/>
    </row>
    <row r="25" spans="1:19" s="39" customFormat="1" ht="25.5" x14ac:dyDescent="0.25">
      <c r="A25" s="192" t="s">
        <v>842</v>
      </c>
      <c r="B25" s="103" t="s">
        <v>845</v>
      </c>
      <c r="C25" s="192">
        <v>150</v>
      </c>
      <c r="D25" s="192">
        <v>200</v>
      </c>
    </row>
    <row r="26" spans="1:19" s="39" customFormat="1" ht="15" x14ac:dyDescent="0.25">
      <c r="A26" s="97"/>
      <c r="B26" s="104"/>
      <c r="C26" s="97"/>
      <c r="D26" s="97"/>
    </row>
    <row r="27" spans="1:19" ht="38.25" x14ac:dyDescent="0.2">
      <c r="A27" s="141" t="s">
        <v>696</v>
      </c>
      <c r="B27" s="103" t="s">
        <v>826</v>
      </c>
      <c r="C27" s="141">
        <v>60</v>
      </c>
      <c r="D27" s="141">
        <v>80</v>
      </c>
    </row>
    <row r="28" spans="1:19" x14ac:dyDescent="0.2">
      <c r="A28" s="97"/>
      <c r="B28" s="104"/>
      <c r="C28" s="97"/>
      <c r="D28" s="97"/>
      <c r="R28" s="65"/>
      <c r="S28" s="65"/>
    </row>
    <row r="29" spans="1:19" s="39" customFormat="1" ht="63.75" x14ac:dyDescent="0.25">
      <c r="A29" s="192" t="s">
        <v>332</v>
      </c>
      <c r="B29" s="103" t="s">
        <v>821</v>
      </c>
      <c r="C29" s="192">
        <v>150</v>
      </c>
      <c r="D29" s="192">
        <v>180</v>
      </c>
    </row>
    <row r="30" spans="1:19" s="39" customFormat="1" ht="15" x14ac:dyDescent="0.25">
      <c r="A30" s="97"/>
      <c r="B30" s="104"/>
      <c r="C30" s="97"/>
      <c r="D30" s="97"/>
    </row>
    <row r="31" spans="1:19" ht="25.5" x14ac:dyDescent="0.2">
      <c r="A31" s="141" t="s">
        <v>333</v>
      </c>
      <c r="B31" s="103" t="s">
        <v>595</v>
      </c>
      <c r="C31" s="141">
        <v>20</v>
      </c>
      <c r="D31" s="141">
        <v>40</v>
      </c>
    </row>
    <row r="32" spans="1:19" x14ac:dyDescent="0.2">
      <c r="A32" s="97"/>
      <c r="B32" s="104"/>
      <c r="C32" s="97"/>
      <c r="D32" s="97"/>
      <c r="R32" s="65"/>
      <c r="S32" s="65"/>
    </row>
    <row r="33" spans="1:19" s="39" customFormat="1" ht="25.5" x14ac:dyDescent="0.25">
      <c r="A33" s="192" t="s">
        <v>735</v>
      </c>
      <c r="B33" s="103" t="s">
        <v>736</v>
      </c>
      <c r="C33" s="192">
        <v>40</v>
      </c>
      <c r="D33" s="192">
        <v>50</v>
      </c>
    </row>
    <row r="34" spans="1:19" s="39" customFormat="1" ht="15" x14ac:dyDescent="0.25">
      <c r="A34" s="97"/>
      <c r="B34" s="104"/>
      <c r="C34" s="97"/>
      <c r="D34" s="97"/>
    </row>
    <row r="35" spans="1:19" ht="25.5" x14ac:dyDescent="0.2">
      <c r="A35" s="141" t="s">
        <v>485</v>
      </c>
      <c r="B35" s="103" t="s">
        <v>596</v>
      </c>
      <c r="C35" s="141">
        <v>50</v>
      </c>
      <c r="D35" s="141">
        <v>70</v>
      </c>
    </row>
    <row r="36" spans="1:19" x14ac:dyDescent="0.2">
      <c r="A36" s="97"/>
      <c r="B36" s="104"/>
      <c r="C36" s="97"/>
      <c r="D36" s="97"/>
      <c r="R36" s="65"/>
      <c r="S36" s="65"/>
    </row>
    <row r="37" spans="1:19" s="39" customFormat="1" ht="76.5" x14ac:dyDescent="0.25">
      <c r="A37" s="192" t="s">
        <v>334</v>
      </c>
      <c r="B37" s="103" t="s">
        <v>702</v>
      </c>
      <c r="C37" s="192">
        <v>50</v>
      </c>
      <c r="D37" s="192">
        <v>50</v>
      </c>
    </row>
    <row r="38" spans="1:19" s="39" customFormat="1" ht="15" x14ac:dyDescent="0.25">
      <c r="A38" s="97"/>
      <c r="B38" s="104"/>
      <c r="C38" s="97"/>
      <c r="D38" s="97"/>
    </row>
    <row r="39" spans="1:19" ht="25.5" x14ac:dyDescent="0.2">
      <c r="A39" s="141" t="s">
        <v>335</v>
      </c>
      <c r="B39" s="103" t="s">
        <v>597</v>
      </c>
      <c r="C39" s="141">
        <v>25</v>
      </c>
      <c r="D39" s="141">
        <v>25</v>
      </c>
    </row>
    <row r="40" spans="1:19" x14ac:dyDescent="0.2">
      <c r="A40" s="97"/>
      <c r="B40" s="104"/>
      <c r="C40" s="97"/>
      <c r="D40" s="97"/>
      <c r="R40" s="65"/>
      <c r="S40" s="65"/>
    </row>
    <row r="41" spans="1:19" ht="51" x14ac:dyDescent="0.2">
      <c r="A41" s="192" t="s">
        <v>336</v>
      </c>
      <c r="B41" s="103" t="s">
        <v>822</v>
      </c>
      <c r="C41" s="192">
        <v>30</v>
      </c>
      <c r="D41" s="192">
        <v>30</v>
      </c>
      <c r="R41" s="65"/>
      <c r="S41" s="65"/>
    </row>
    <row r="42" spans="1:19" x14ac:dyDescent="0.2">
      <c r="A42" s="97"/>
      <c r="B42" s="104"/>
      <c r="C42" s="97"/>
      <c r="D42" s="97"/>
      <c r="R42" s="65"/>
      <c r="S42" s="65"/>
    </row>
    <row r="43" spans="1:19" s="39" customFormat="1" ht="25.5" x14ac:dyDescent="0.25">
      <c r="A43" s="148" t="s">
        <v>337</v>
      </c>
      <c r="B43" s="103" t="s">
        <v>893</v>
      </c>
      <c r="C43" s="148">
        <v>40</v>
      </c>
      <c r="D43" s="148">
        <v>50</v>
      </c>
    </row>
    <row r="44" spans="1:19" s="39" customFormat="1" ht="15" x14ac:dyDescent="0.25">
      <c r="A44" s="97"/>
      <c r="B44" s="104"/>
      <c r="C44" s="97"/>
      <c r="D44" s="97"/>
    </row>
    <row r="45" spans="1:19" s="39" customFormat="1" ht="38.25" x14ac:dyDescent="0.25">
      <c r="A45" s="192" t="s">
        <v>737</v>
      </c>
      <c r="B45" s="103" t="s">
        <v>738</v>
      </c>
      <c r="C45" s="192">
        <v>25</v>
      </c>
      <c r="D45" s="192">
        <v>35</v>
      </c>
    </row>
    <row r="47" spans="1:19" s="39" customFormat="1" ht="25.5" x14ac:dyDescent="0.25">
      <c r="A47" s="206" t="s">
        <v>407</v>
      </c>
      <c r="B47" s="103" t="s">
        <v>984</v>
      </c>
      <c r="C47" s="206">
        <v>80</v>
      </c>
      <c r="D47" s="206">
        <v>80</v>
      </c>
    </row>
    <row r="48" spans="1:19" s="39" customFormat="1" ht="15" x14ac:dyDescent="0.25">
      <c r="A48" s="97"/>
      <c r="B48" s="104"/>
      <c r="C48" s="97"/>
      <c r="D48" s="97"/>
    </row>
    <row r="49" spans="1:19" ht="38.25" x14ac:dyDescent="0.2">
      <c r="A49" s="141" t="s">
        <v>961</v>
      </c>
      <c r="B49" s="103" t="s">
        <v>965</v>
      </c>
      <c r="C49" s="141">
        <v>70</v>
      </c>
      <c r="D49" s="141">
        <v>70</v>
      </c>
    </row>
    <row r="50" spans="1:19" x14ac:dyDescent="0.2">
      <c r="A50" s="97"/>
      <c r="B50" s="104"/>
      <c r="C50" s="97"/>
      <c r="D50" s="97"/>
      <c r="R50" s="65"/>
      <c r="S50" s="65"/>
    </row>
    <row r="51" spans="1:19" s="39" customFormat="1" ht="25.5" x14ac:dyDescent="0.25">
      <c r="A51" s="192" t="s">
        <v>338</v>
      </c>
      <c r="B51" s="103" t="s">
        <v>598</v>
      </c>
      <c r="C51" s="192">
        <v>50</v>
      </c>
      <c r="D51" s="192">
        <v>50</v>
      </c>
    </row>
    <row r="52" spans="1:19" s="39" customFormat="1" ht="15" x14ac:dyDescent="0.25">
      <c r="A52" s="97"/>
      <c r="B52" s="104"/>
      <c r="C52" s="97"/>
      <c r="D52" s="97"/>
    </row>
    <row r="53" spans="1:19" ht="25.5" x14ac:dyDescent="0.2">
      <c r="A53" s="141" t="s">
        <v>339</v>
      </c>
      <c r="B53" s="103" t="s">
        <v>703</v>
      </c>
      <c r="C53" s="141">
        <v>50</v>
      </c>
      <c r="D53" s="141">
        <v>70</v>
      </c>
    </row>
    <row r="54" spans="1:19" x14ac:dyDescent="0.2">
      <c r="A54" s="97"/>
      <c r="B54" s="104"/>
      <c r="C54" s="97"/>
      <c r="D54" s="97"/>
      <c r="R54" s="65"/>
      <c r="S54" s="65"/>
    </row>
    <row r="55" spans="1:19" s="39" customFormat="1" ht="15" x14ac:dyDescent="0.25">
      <c r="A55" s="192" t="s">
        <v>340</v>
      </c>
      <c r="B55" s="103" t="s">
        <v>599</v>
      </c>
      <c r="C55" s="192">
        <v>50</v>
      </c>
      <c r="D55" s="192">
        <v>70</v>
      </c>
    </row>
    <row r="56" spans="1:19" s="39" customFormat="1" ht="15" x14ac:dyDescent="0.25">
      <c r="A56" s="97"/>
      <c r="B56" s="104"/>
      <c r="C56" s="97"/>
      <c r="D56" s="97"/>
    </row>
    <row r="57" spans="1:19" ht="38.25" x14ac:dyDescent="0.2">
      <c r="A57" s="141" t="s">
        <v>341</v>
      </c>
      <c r="B57" s="103" t="s">
        <v>1076</v>
      </c>
      <c r="C57" s="141">
        <v>40</v>
      </c>
      <c r="D57" s="141">
        <v>60</v>
      </c>
    </row>
    <row r="58" spans="1:19" x14ac:dyDescent="0.2">
      <c r="A58" s="97"/>
      <c r="B58" s="104"/>
      <c r="C58" s="97"/>
      <c r="D58" s="97"/>
      <c r="R58" s="65"/>
      <c r="S58" s="65"/>
    </row>
    <row r="59" spans="1:19" s="39" customFormat="1" ht="38.25" x14ac:dyDescent="0.25">
      <c r="A59" s="192" t="s">
        <v>686</v>
      </c>
      <c r="B59" s="103" t="s">
        <v>981</v>
      </c>
      <c r="C59" s="192">
        <v>40</v>
      </c>
      <c r="D59" s="192">
        <v>50</v>
      </c>
    </row>
    <row r="60" spans="1:19" s="39" customFormat="1" ht="15" x14ac:dyDescent="0.25">
      <c r="A60" s="97"/>
      <c r="B60" s="104"/>
      <c r="C60" s="97"/>
      <c r="D60" s="97"/>
    </row>
    <row r="61" spans="1:19" ht="38.25" x14ac:dyDescent="0.2">
      <c r="A61" s="141" t="s">
        <v>342</v>
      </c>
      <c r="B61" s="103" t="s">
        <v>704</v>
      </c>
      <c r="C61" s="141">
        <v>100</v>
      </c>
      <c r="D61" s="141">
        <v>120</v>
      </c>
    </row>
    <row r="62" spans="1:19" x14ac:dyDescent="0.2">
      <c r="A62" s="97"/>
      <c r="B62" s="104"/>
      <c r="C62" s="97"/>
      <c r="D62" s="97"/>
      <c r="R62" s="65"/>
      <c r="S62" s="65"/>
    </row>
    <row r="63" spans="1:19" s="39" customFormat="1" ht="25.5" x14ac:dyDescent="0.25">
      <c r="A63" s="192" t="s">
        <v>482</v>
      </c>
      <c r="B63" s="103" t="s">
        <v>600</v>
      </c>
      <c r="C63" s="192">
        <v>60</v>
      </c>
      <c r="D63" s="192">
        <v>60</v>
      </c>
    </row>
    <row r="64" spans="1:19" s="39" customFormat="1" ht="15" x14ac:dyDescent="0.25">
      <c r="A64" s="97"/>
      <c r="B64" s="104"/>
      <c r="C64" s="97"/>
      <c r="D64" s="97"/>
    </row>
    <row r="65" spans="1:19" ht="25.5" x14ac:dyDescent="0.2">
      <c r="A65" s="141" t="s">
        <v>343</v>
      </c>
      <c r="B65" s="103" t="s">
        <v>753</v>
      </c>
      <c r="C65" s="141">
        <v>50</v>
      </c>
      <c r="D65" s="141">
        <v>70</v>
      </c>
    </row>
    <row r="66" spans="1:19" x14ac:dyDescent="0.2">
      <c r="A66" s="97"/>
      <c r="B66" s="104"/>
      <c r="C66" s="97"/>
      <c r="D66" s="97"/>
      <c r="R66" s="65"/>
      <c r="S66" s="65"/>
    </row>
    <row r="67" spans="1:19" s="39" customFormat="1" ht="25.5" x14ac:dyDescent="0.25">
      <c r="A67" s="192" t="s">
        <v>344</v>
      </c>
      <c r="B67" s="103" t="s">
        <v>820</v>
      </c>
      <c r="C67" s="192">
        <v>50</v>
      </c>
      <c r="D67" s="192">
        <v>70</v>
      </c>
    </row>
    <row r="68" spans="1:19" s="39" customFormat="1" ht="15" x14ac:dyDescent="0.25">
      <c r="A68" s="97"/>
      <c r="B68" s="104"/>
      <c r="C68" s="97"/>
      <c r="D68" s="97"/>
    </row>
    <row r="69" spans="1:19" ht="38.25" x14ac:dyDescent="0.2">
      <c r="A69" s="141" t="s">
        <v>954</v>
      </c>
      <c r="B69" s="103" t="s">
        <v>983</v>
      </c>
      <c r="C69" s="141">
        <v>60</v>
      </c>
      <c r="D69" s="141">
        <v>80</v>
      </c>
    </row>
    <row r="70" spans="1:19" x14ac:dyDescent="0.2">
      <c r="A70" s="97"/>
      <c r="B70" s="104"/>
      <c r="C70" s="97"/>
      <c r="D70" s="97"/>
      <c r="R70" s="65"/>
      <c r="S70" s="65"/>
    </row>
    <row r="71" spans="1:19" ht="25.5" x14ac:dyDescent="0.2">
      <c r="A71" s="192" t="s">
        <v>749</v>
      </c>
      <c r="B71" s="103" t="s">
        <v>751</v>
      </c>
      <c r="C71" s="192">
        <v>40</v>
      </c>
      <c r="D71" s="192">
        <v>40</v>
      </c>
    </row>
    <row r="72" spans="1:19" x14ac:dyDescent="0.2">
      <c r="A72" s="97"/>
      <c r="B72" s="104"/>
      <c r="C72" s="97"/>
      <c r="D72" s="97"/>
      <c r="R72" s="65"/>
      <c r="S72" s="65"/>
    </row>
    <row r="73" spans="1:19" ht="25.5" x14ac:dyDescent="0.2">
      <c r="A73" s="141" t="s">
        <v>345</v>
      </c>
      <c r="B73" s="103" t="s">
        <v>887</v>
      </c>
      <c r="C73" s="141">
        <v>30</v>
      </c>
      <c r="D73" s="141">
        <v>50</v>
      </c>
    </row>
    <row r="74" spans="1:19" x14ac:dyDescent="0.2">
      <c r="A74" s="97"/>
      <c r="B74" s="104"/>
      <c r="C74" s="97"/>
      <c r="D74" s="97"/>
      <c r="R74" s="65"/>
      <c r="S74" s="65"/>
    </row>
    <row r="75" spans="1:19" ht="25.5" x14ac:dyDescent="0.2">
      <c r="A75" s="192" t="s">
        <v>953</v>
      </c>
      <c r="B75" s="103" t="s">
        <v>969</v>
      </c>
      <c r="C75" s="192">
        <v>40</v>
      </c>
      <c r="D75" s="192">
        <v>50</v>
      </c>
    </row>
    <row r="76" spans="1:19" x14ac:dyDescent="0.2">
      <c r="A76" s="97"/>
      <c r="B76" s="104"/>
      <c r="C76" s="97"/>
      <c r="D76" s="97"/>
      <c r="R76" s="65"/>
      <c r="S76" s="65"/>
    </row>
    <row r="77" spans="1:19" ht="51" x14ac:dyDescent="0.2">
      <c r="A77" s="141" t="s">
        <v>346</v>
      </c>
      <c r="B77" s="103" t="s">
        <v>774</v>
      </c>
      <c r="C77" s="141">
        <v>90</v>
      </c>
      <c r="D77" s="141">
        <v>90</v>
      </c>
    </row>
    <row r="78" spans="1:19" x14ac:dyDescent="0.2">
      <c r="A78" s="97"/>
      <c r="B78" s="104"/>
      <c r="C78" s="97"/>
      <c r="D78" s="97"/>
      <c r="R78" s="65"/>
      <c r="S78" s="65"/>
    </row>
    <row r="79" spans="1:19" ht="38.25" x14ac:dyDescent="0.2">
      <c r="A79" s="192" t="s">
        <v>347</v>
      </c>
      <c r="B79" s="103" t="s">
        <v>705</v>
      </c>
      <c r="C79" s="192">
        <v>50</v>
      </c>
      <c r="D79" s="192">
        <v>50</v>
      </c>
    </row>
    <row r="80" spans="1:19" x14ac:dyDescent="0.2">
      <c r="A80" s="97"/>
      <c r="B80" s="104"/>
      <c r="C80" s="97"/>
      <c r="D80" s="97"/>
      <c r="R80" s="65"/>
      <c r="S80" s="65"/>
    </row>
    <row r="81" spans="1:19" ht="29.25" customHeight="1" x14ac:dyDescent="0.2">
      <c r="A81" s="141" t="s">
        <v>348</v>
      </c>
      <c r="B81" s="103" t="s">
        <v>601</v>
      </c>
      <c r="C81" s="141">
        <v>30</v>
      </c>
      <c r="D81" s="141">
        <v>30</v>
      </c>
    </row>
    <row r="82" spans="1:19" x14ac:dyDescent="0.2">
      <c r="A82" s="97"/>
      <c r="B82" s="104"/>
      <c r="C82" s="97"/>
      <c r="D82" s="97"/>
      <c r="R82" s="65"/>
      <c r="S82" s="65"/>
    </row>
    <row r="83" spans="1:19" ht="25.5" x14ac:dyDescent="0.2">
      <c r="A83" s="192" t="s">
        <v>490</v>
      </c>
      <c r="B83" s="103" t="s">
        <v>706</v>
      </c>
      <c r="C83" s="192">
        <v>30</v>
      </c>
      <c r="D83" s="192">
        <v>30</v>
      </c>
    </row>
    <row r="84" spans="1:19" x14ac:dyDescent="0.2">
      <c r="A84" s="97"/>
      <c r="B84" s="104"/>
      <c r="C84" s="97"/>
      <c r="D84" s="97"/>
      <c r="R84" s="65"/>
      <c r="S84" s="65"/>
    </row>
    <row r="85" spans="1:19" x14ac:dyDescent="0.2">
      <c r="A85" s="141" t="s">
        <v>349</v>
      </c>
      <c r="B85" s="103" t="s">
        <v>602</v>
      </c>
      <c r="C85" s="141">
        <v>20</v>
      </c>
      <c r="D85" s="141">
        <v>20</v>
      </c>
    </row>
    <row r="86" spans="1:19" x14ac:dyDescent="0.2">
      <c r="A86" s="97"/>
      <c r="B86" s="104"/>
      <c r="C86" s="97"/>
      <c r="D86" s="97"/>
      <c r="R86" s="65"/>
      <c r="S86" s="65"/>
    </row>
    <row r="87" spans="1:19" ht="25.5" x14ac:dyDescent="0.2">
      <c r="A87" s="192" t="s">
        <v>350</v>
      </c>
      <c r="B87" s="103" t="s">
        <v>707</v>
      </c>
      <c r="C87" s="192">
        <v>50</v>
      </c>
      <c r="D87" s="192">
        <v>50</v>
      </c>
    </row>
    <row r="88" spans="1:19" x14ac:dyDescent="0.2">
      <c r="A88" s="97"/>
      <c r="B88" s="104"/>
      <c r="C88" s="97"/>
      <c r="D88" s="97"/>
      <c r="R88" s="65"/>
      <c r="S88" s="65"/>
    </row>
    <row r="89" spans="1:19" x14ac:dyDescent="0.2">
      <c r="A89" s="141" t="s">
        <v>351</v>
      </c>
      <c r="B89" s="103" t="s">
        <v>603</v>
      </c>
      <c r="C89" s="141">
        <v>40</v>
      </c>
      <c r="D89" s="141">
        <v>50</v>
      </c>
    </row>
    <row r="90" spans="1:19" x14ac:dyDescent="0.2">
      <c r="A90" s="97"/>
      <c r="B90" s="104"/>
      <c r="C90" s="97"/>
      <c r="D90" s="97"/>
      <c r="R90" s="65"/>
      <c r="S90" s="65"/>
    </row>
    <row r="91" spans="1:19" ht="25.5" x14ac:dyDescent="0.2">
      <c r="A91" s="192" t="s">
        <v>352</v>
      </c>
      <c r="B91" s="103" t="s">
        <v>724</v>
      </c>
      <c r="C91" s="192">
        <v>80</v>
      </c>
      <c r="D91" s="192">
        <v>80</v>
      </c>
    </row>
    <row r="92" spans="1:19" x14ac:dyDescent="0.2">
      <c r="A92" s="97"/>
      <c r="B92" s="104"/>
      <c r="C92" s="97"/>
      <c r="D92" s="97"/>
      <c r="R92" s="65"/>
      <c r="S92" s="65"/>
    </row>
    <row r="93" spans="1:19" ht="25.5" x14ac:dyDescent="0.2">
      <c r="A93" s="141" t="s">
        <v>353</v>
      </c>
      <c r="B93" s="103" t="s">
        <v>604</v>
      </c>
      <c r="C93" s="141">
        <v>30</v>
      </c>
      <c r="D93" s="141">
        <v>40</v>
      </c>
    </row>
    <row r="94" spans="1:19" x14ac:dyDescent="0.2">
      <c r="A94" s="97"/>
      <c r="B94" s="104"/>
      <c r="C94" s="97"/>
      <c r="D94" s="97"/>
      <c r="R94" s="65"/>
      <c r="S94" s="65"/>
    </row>
    <row r="95" spans="1:19" x14ac:dyDescent="0.2">
      <c r="A95" s="192" t="s">
        <v>354</v>
      </c>
      <c r="B95" s="103" t="s">
        <v>605</v>
      </c>
      <c r="C95" s="192">
        <v>45</v>
      </c>
      <c r="D95" s="192">
        <v>70</v>
      </c>
    </row>
    <row r="96" spans="1:19" x14ac:dyDescent="0.2">
      <c r="A96" s="97"/>
      <c r="B96" s="104"/>
      <c r="C96" s="97"/>
      <c r="D96" s="97"/>
      <c r="R96" s="65"/>
      <c r="S96" s="65"/>
    </row>
    <row r="97" spans="1:19" ht="25.5" x14ac:dyDescent="0.2">
      <c r="A97" s="141" t="s">
        <v>355</v>
      </c>
      <c r="B97" s="103" t="s">
        <v>708</v>
      </c>
      <c r="C97" s="141">
        <v>200</v>
      </c>
      <c r="D97" s="141">
        <v>200</v>
      </c>
    </row>
    <row r="98" spans="1:19" x14ac:dyDescent="0.2">
      <c r="A98" s="97"/>
      <c r="B98" s="104"/>
      <c r="C98" s="97"/>
      <c r="D98" s="97"/>
      <c r="R98" s="65"/>
      <c r="S98" s="65"/>
    </row>
    <row r="99" spans="1:19" ht="25.5" x14ac:dyDescent="0.2">
      <c r="A99" s="192" t="s">
        <v>356</v>
      </c>
      <c r="B99" s="103" t="s">
        <v>606</v>
      </c>
      <c r="C99" s="192">
        <v>60</v>
      </c>
      <c r="D99" s="192">
        <v>60</v>
      </c>
    </row>
    <row r="100" spans="1:19" x14ac:dyDescent="0.2">
      <c r="A100" s="97"/>
      <c r="B100" s="104"/>
      <c r="C100" s="97"/>
      <c r="D100" s="97"/>
      <c r="R100" s="65"/>
      <c r="S100" s="65"/>
    </row>
    <row r="101" spans="1:19" ht="51" x14ac:dyDescent="0.2">
      <c r="A101" s="141" t="s">
        <v>357</v>
      </c>
      <c r="B101" s="103" t="s">
        <v>889</v>
      </c>
      <c r="C101" s="141">
        <v>120</v>
      </c>
      <c r="D101" s="141">
        <v>150</v>
      </c>
    </row>
    <row r="102" spans="1:19" x14ac:dyDescent="0.2">
      <c r="A102" s="97"/>
      <c r="B102" s="104"/>
      <c r="C102" s="97"/>
      <c r="D102" s="97"/>
      <c r="R102" s="65"/>
      <c r="S102" s="65"/>
    </row>
    <row r="103" spans="1:19" x14ac:dyDescent="0.2">
      <c r="A103" s="192" t="s">
        <v>421</v>
      </c>
      <c r="B103" s="103" t="s">
        <v>888</v>
      </c>
      <c r="C103" s="192">
        <v>50</v>
      </c>
      <c r="D103" s="192">
        <v>50</v>
      </c>
    </row>
    <row r="104" spans="1:19" x14ac:dyDescent="0.2">
      <c r="A104" s="97"/>
      <c r="B104" s="104"/>
      <c r="C104" s="97"/>
      <c r="D104" s="97"/>
      <c r="R104" s="65"/>
      <c r="S104" s="65"/>
    </row>
    <row r="105" spans="1:19" x14ac:dyDescent="0.2">
      <c r="A105" s="141" t="s">
        <v>358</v>
      </c>
      <c r="B105" s="103" t="s">
        <v>607</v>
      </c>
      <c r="C105" s="141">
        <v>40</v>
      </c>
      <c r="D105" s="141">
        <v>50</v>
      </c>
    </row>
    <row r="106" spans="1:19" x14ac:dyDescent="0.2">
      <c r="A106" s="97"/>
      <c r="B106" s="104"/>
      <c r="C106" s="97"/>
      <c r="D106" s="97"/>
      <c r="R106" s="65"/>
      <c r="S106" s="65"/>
    </row>
    <row r="107" spans="1:19" x14ac:dyDescent="0.2">
      <c r="A107" s="192" t="s">
        <v>359</v>
      </c>
      <c r="B107" s="103" t="s">
        <v>608</v>
      </c>
      <c r="C107" s="192">
        <v>60</v>
      </c>
      <c r="D107" s="192">
        <v>60</v>
      </c>
    </row>
    <row r="108" spans="1:19" x14ac:dyDescent="0.2">
      <c r="A108" s="97"/>
      <c r="B108" s="104"/>
      <c r="C108" s="97"/>
      <c r="D108" s="97"/>
      <c r="R108" s="65"/>
      <c r="S108" s="65"/>
    </row>
    <row r="109" spans="1:19" ht="38.25" x14ac:dyDescent="0.2">
      <c r="A109" s="141" t="s">
        <v>481</v>
      </c>
      <c r="B109" s="103" t="s">
        <v>609</v>
      </c>
      <c r="C109" s="141">
        <v>25</v>
      </c>
      <c r="D109" s="141">
        <v>35</v>
      </c>
    </row>
    <row r="110" spans="1:19" x14ac:dyDescent="0.2">
      <c r="A110" s="97"/>
      <c r="B110" s="104"/>
      <c r="C110" s="97"/>
      <c r="D110" s="97"/>
      <c r="R110" s="65"/>
      <c r="S110" s="65"/>
    </row>
    <row r="111" spans="1:19" ht="38.25" x14ac:dyDescent="0.2">
      <c r="A111" s="192" t="s">
        <v>491</v>
      </c>
      <c r="B111" s="103" t="s">
        <v>787</v>
      </c>
      <c r="C111" s="192">
        <v>200</v>
      </c>
      <c r="D111" s="192">
        <v>200</v>
      </c>
    </row>
    <row r="112" spans="1:19" x14ac:dyDescent="0.2">
      <c r="A112" s="97"/>
      <c r="B112" s="104"/>
      <c r="C112" s="97"/>
      <c r="D112" s="97"/>
      <c r="R112" s="65"/>
      <c r="S112" s="65"/>
    </row>
    <row r="113" spans="1:19" ht="25.5" x14ac:dyDescent="0.2">
      <c r="A113" s="141" t="s">
        <v>689</v>
      </c>
      <c r="B113" s="103" t="s">
        <v>690</v>
      </c>
      <c r="C113" s="141">
        <v>30</v>
      </c>
      <c r="D113" s="141">
        <v>50</v>
      </c>
    </row>
    <row r="114" spans="1:19" x14ac:dyDescent="0.2">
      <c r="A114" s="97"/>
      <c r="B114" s="104"/>
      <c r="C114" s="97"/>
      <c r="D114" s="97"/>
      <c r="R114" s="65"/>
      <c r="S114" s="65"/>
    </row>
    <row r="115" spans="1:19" ht="25.5" x14ac:dyDescent="0.2">
      <c r="A115" s="192" t="s">
        <v>691</v>
      </c>
      <c r="B115" s="103" t="s">
        <v>692</v>
      </c>
      <c r="C115" s="192">
        <v>100</v>
      </c>
      <c r="D115" s="192">
        <v>120</v>
      </c>
    </row>
    <row r="116" spans="1:19" x14ac:dyDescent="0.2">
      <c r="A116" s="97"/>
      <c r="B116" s="104"/>
      <c r="C116" s="97"/>
      <c r="D116" s="97"/>
      <c r="R116" s="65"/>
      <c r="S116" s="65"/>
    </row>
    <row r="117" spans="1:19" x14ac:dyDescent="0.2">
      <c r="A117" s="141" t="s">
        <v>492</v>
      </c>
      <c r="B117" s="103" t="s">
        <v>786</v>
      </c>
      <c r="C117" s="141">
        <v>25</v>
      </c>
      <c r="D117" s="141">
        <v>30</v>
      </c>
    </row>
    <row r="118" spans="1:19" x14ac:dyDescent="0.2">
      <c r="A118" s="97"/>
      <c r="B118" s="104"/>
      <c r="C118" s="97"/>
      <c r="D118" s="97"/>
      <c r="R118" s="65"/>
      <c r="S118" s="65"/>
    </row>
    <row r="119" spans="1:19" x14ac:dyDescent="0.2">
      <c r="A119" s="192" t="s">
        <v>360</v>
      </c>
      <c r="B119" s="103" t="s">
        <v>709</v>
      </c>
      <c r="C119" s="192">
        <v>35</v>
      </c>
      <c r="D119" s="192">
        <v>25</v>
      </c>
    </row>
    <row r="120" spans="1:19" x14ac:dyDescent="0.2">
      <c r="A120" s="97"/>
      <c r="B120" s="104"/>
      <c r="C120" s="97"/>
      <c r="D120" s="97"/>
      <c r="R120" s="65"/>
      <c r="S120" s="65"/>
    </row>
    <row r="121" spans="1:19" x14ac:dyDescent="0.2">
      <c r="A121" s="141" t="s">
        <v>715</v>
      </c>
      <c r="B121" s="103" t="s">
        <v>754</v>
      </c>
      <c r="C121" s="141">
        <v>35</v>
      </c>
      <c r="D121" s="141">
        <v>35</v>
      </c>
    </row>
    <row r="122" spans="1:19" x14ac:dyDescent="0.2">
      <c r="A122" s="97"/>
      <c r="B122" s="104"/>
      <c r="C122" s="97"/>
      <c r="D122" s="97"/>
      <c r="R122" s="65"/>
      <c r="S122" s="65"/>
    </row>
    <row r="123" spans="1:19" ht="25.5" x14ac:dyDescent="0.2">
      <c r="A123" s="192" t="s">
        <v>968</v>
      </c>
      <c r="B123" s="103" t="s">
        <v>998</v>
      </c>
      <c r="C123" s="192">
        <v>40</v>
      </c>
      <c r="D123" s="192">
        <v>40</v>
      </c>
    </row>
    <row r="124" spans="1:19" x14ac:dyDescent="0.2">
      <c r="A124" s="97"/>
      <c r="B124" s="104"/>
      <c r="C124" s="97"/>
      <c r="D124" s="97"/>
      <c r="R124" s="65"/>
      <c r="S124" s="65"/>
    </row>
    <row r="125" spans="1:19" ht="25.5" x14ac:dyDescent="0.2">
      <c r="A125" s="141" t="s">
        <v>725</v>
      </c>
      <c r="B125" s="103" t="s">
        <v>726</v>
      </c>
      <c r="C125" s="141">
        <v>50</v>
      </c>
      <c r="D125" s="141">
        <v>60</v>
      </c>
    </row>
    <row r="126" spans="1:19" x14ac:dyDescent="0.2">
      <c r="A126" s="97"/>
      <c r="B126" s="104"/>
      <c r="C126" s="97"/>
      <c r="D126" s="97"/>
      <c r="R126" s="65"/>
      <c r="S126" s="65"/>
    </row>
    <row r="127" spans="1:19" ht="25.5" x14ac:dyDescent="0.2">
      <c r="A127" s="192" t="s">
        <v>361</v>
      </c>
      <c r="B127" s="103" t="s">
        <v>610</v>
      </c>
      <c r="C127" s="192">
        <v>30</v>
      </c>
      <c r="D127" s="192">
        <v>20</v>
      </c>
    </row>
    <row r="128" spans="1:19" x14ac:dyDescent="0.2">
      <c r="A128" s="97"/>
      <c r="B128" s="104"/>
      <c r="C128" s="97"/>
      <c r="D128" s="97"/>
      <c r="R128" s="65"/>
      <c r="S128" s="65"/>
    </row>
    <row r="129" spans="1:19" ht="25.5" x14ac:dyDescent="0.2">
      <c r="A129" s="141" t="s">
        <v>362</v>
      </c>
      <c r="B129" s="103" t="s">
        <v>611</v>
      </c>
      <c r="C129" s="141">
        <v>80</v>
      </c>
      <c r="D129" s="141">
        <v>100</v>
      </c>
    </row>
    <row r="130" spans="1:19" x14ac:dyDescent="0.2">
      <c r="A130" s="97"/>
      <c r="B130" s="104"/>
      <c r="C130" s="97"/>
      <c r="D130" s="97"/>
      <c r="R130" s="65"/>
      <c r="S130" s="65"/>
    </row>
    <row r="131" spans="1:19" ht="25.5" x14ac:dyDescent="0.2">
      <c r="A131" s="192" t="s">
        <v>363</v>
      </c>
      <c r="B131" s="103" t="s">
        <v>710</v>
      </c>
      <c r="C131" s="192">
        <v>100</v>
      </c>
      <c r="D131" s="192">
        <v>100</v>
      </c>
    </row>
    <row r="132" spans="1:19" x14ac:dyDescent="0.2">
      <c r="A132" s="97"/>
      <c r="B132" s="104"/>
      <c r="C132" s="97"/>
      <c r="D132" s="97"/>
      <c r="R132" s="65"/>
      <c r="S132" s="65"/>
    </row>
    <row r="133" spans="1:19" ht="25.5" x14ac:dyDescent="0.2">
      <c r="A133" s="141" t="s">
        <v>364</v>
      </c>
      <c r="B133" s="103" t="s">
        <v>681</v>
      </c>
      <c r="C133" s="141">
        <v>90</v>
      </c>
      <c r="D133" s="141">
        <v>90</v>
      </c>
    </row>
    <row r="134" spans="1:19" x14ac:dyDescent="0.2">
      <c r="A134" s="97"/>
      <c r="B134" s="104"/>
      <c r="C134" s="97"/>
      <c r="D134" s="97"/>
      <c r="R134" s="65"/>
      <c r="S134" s="65"/>
    </row>
    <row r="135" spans="1:19" ht="38.25" x14ac:dyDescent="0.2">
      <c r="A135" s="192" t="s">
        <v>365</v>
      </c>
      <c r="B135" s="103" t="s">
        <v>612</v>
      </c>
      <c r="C135" s="192">
        <v>100</v>
      </c>
      <c r="D135" s="192">
        <v>120</v>
      </c>
    </row>
    <row r="136" spans="1:19" x14ac:dyDescent="0.2">
      <c r="A136" s="97"/>
      <c r="B136" s="104"/>
      <c r="C136" s="97"/>
      <c r="D136" s="97"/>
      <c r="R136" s="65"/>
      <c r="S136" s="65"/>
    </row>
    <row r="137" spans="1:19" ht="25.5" x14ac:dyDescent="0.2">
      <c r="A137" s="141" t="s">
        <v>366</v>
      </c>
      <c r="B137" s="103" t="s">
        <v>613</v>
      </c>
      <c r="C137" s="141">
        <v>140</v>
      </c>
      <c r="D137" s="141">
        <v>180</v>
      </c>
    </row>
    <row r="138" spans="1:19" x14ac:dyDescent="0.2">
      <c r="A138" s="97"/>
      <c r="B138" s="104"/>
      <c r="C138" s="97"/>
      <c r="D138" s="97"/>
      <c r="R138" s="65"/>
      <c r="S138" s="65"/>
    </row>
    <row r="139" spans="1:19" x14ac:dyDescent="0.2">
      <c r="A139" s="192" t="s">
        <v>367</v>
      </c>
      <c r="B139" s="103" t="s">
        <v>711</v>
      </c>
      <c r="C139" s="192">
        <v>10</v>
      </c>
      <c r="D139" s="192">
        <v>10</v>
      </c>
    </row>
    <row r="140" spans="1:19" x14ac:dyDescent="0.2">
      <c r="A140" s="97"/>
      <c r="B140" s="104"/>
      <c r="C140" s="97"/>
      <c r="D140" s="97"/>
      <c r="R140" s="65"/>
      <c r="S140" s="65"/>
    </row>
    <row r="141" spans="1:19" ht="25.5" x14ac:dyDescent="0.2">
      <c r="A141" s="141" t="s">
        <v>368</v>
      </c>
      <c r="B141" s="103" t="s">
        <v>989</v>
      </c>
      <c r="C141" s="141">
        <v>30</v>
      </c>
      <c r="D141" s="141">
        <v>50</v>
      </c>
    </row>
    <row r="142" spans="1:19" x14ac:dyDescent="0.2">
      <c r="A142" s="97"/>
      <c r="B142" s="104"/>
      <c r="C142" s="97"/>
      <c r="D142" s="97"/>
      <c r="R142" s="65"/>
      <c r="S142" s="65"/>
    </row>
    <row r="143" spans="1:19" ht="25.5" x14ac:dyDescent="0.2">
      <c r="A143" s="192" t="s">
        <v>955</v>
      </c>
      <c r="B143" s="103" t="s">
        <v>970</v>
      </c>
      <c r="C143" s="192">
        <v>50</v>
      </c>
      <c r="D143" s="192">
        <v>60</v>
      </c>
    </row>
    <row r="144" spans="1:19" x14ac:dyDescent="0.2">
      <c r="A144" s="97"/>
      <c r="B144" s="104"/>
      <c r="C144" s="97"/>
      <c r="D144" s="97"/>
      <c r="R144" s="65"/>
      <c r="S144" s="65"/>
    </row>
    <row r="145" spans="1:19" ht="25.5" x14ac:dyDescent="0.2">
      <c r="A145" s="141" t="s">
        <v>484</v>
      </c>
      <c r="B145" s="103" t="s">
        <v>890</v>
      </c>
      <c r="C145" s="141">
        <v>50</v>
      </c>
      <c r="D145" s="141">
        <v>50</v>
      </c>
    </row>
    <row r="146" spans="1:19" x14ac:dyDescent="0.2">
      <c r="A146" s="97"/>
      <c r="B146" s="104"/>
      <c r="C146" s="97"/>
      <c r="D146" s="97"/>
      <c r="R146" s="65"/>
      <c r="S146" s="65"/>
    </row>
    <row r="147" spans="1:19" ht="51" x14ac:dyDescent="0.2">
      <c r="A147" s="192" t="s">
        <v>370</v>
      </c>
      <c r="B147" s="103" t="s">
        <v>837</v>
      </c>
      <c r="C147" s="192">
        <v>200</v>
      </c>
      <c r="D147" s="192">
        <v>200</v>
      </c>
    </row>
    <row r="148" spans="1:19" x14ac:dyDescent="0.2">
      <c r="A148" s="97"/>
      <c r="B148" s="104"/>
      <c r="C148" s="97"/>
      <c r="D148" s="97"/>
      <c r="R148" s="65"/>
      <c r="S148" s="65"/>
    </row>
    <row r="149" spans="1:19" ht="38.25" x14ac:dyDescent="0.2">
      <c r="A149" s="141" t="s">
        <v>371</v>
      </c>
      <c r="B149" s="103" t="s">
        <v>712</v>
      </c>
      <c r="C149" s="141">
        <v>50</v>
      </c>
      <c r="D149" s="141">
        <v>50</v>
      </c>
    </row>
    <row r="150" spans="1:19" x14ac:dyDescent="0.2">
      <c r="A150" s="97"/>
      <c r="B150" s="104"/>
      <c r="C150" s="97"/>
      <c r="D150" s="97"/>
      <c r="R150" s="65"/>
      <c r="S150" s="65"/>
    </row>
    <row r="151" spans="1:19" ht="25.5" x14ac:dyDescent="0.2">
      <c r="A151" s="192" t="s">
        <v>372</v>
      </c>
      <c r="B151" s="103" t="s">
        <v>844</v>
      </c>
      <c r="C151" s="192">
        <v>100</v>
      </c>
      <c r="D151" s="192">
        <v>100</v>
      </c>
    </row>
    <row r="152" spans="1:19" x14ac:dyDescent="0.2">
      <c r="A152" s="97"/>
      <c r="B152" s="104"/>
      <c r="C152" s="97"/>
      <c r="D152" s="97"/>
      <c r="R152" s="65"/>
      <c r="S152" s="65"/>
    </row>
    <row r="153" spans="1:19" ht="25.5" x14ac:dyDescent="0.2">
      <c r="A153" s="141" t="s">
        <v>373</v>
      </c>
      <c r="B153" s="103" t="s">
        <v>614</v>
      </c>
      <c r="C153" s="141">
        <v>50</v>
      </c>
      <c r="D153" s="141">
        <v>50</v>
      </c>
    </row>
    <row r="154" spans="1:19" x14ac:dyDescent="0.2">
      <c r="A154" s="97"/>
      <c r="B154" s="104"/>
      <c r="C154" s="97"/>
      <c r="D154" s="97"/>
      <c r="R154" s="65"/>
      <c r="S154" s="65"/>
    </row>
    <row r="155" spans="1:19" x14ac:dyDescent="0.2">
      <c r="A155" s="192" t="s">
        <v>493</v>
      </c>
      <c r="B155" s="103" t="s">
        <v>494</v>
      </c>
      <c r="C155" s="192">
        <v>200</v>
      </c>
      <c r="D155" s="192">
        <v>200</v>
      </c>
    </row>
    <row r="156" spans="1:19" x14ac:dyDescent="0.2">
      <c r="A156" s="97"/>
      <c r="B156" s="104"/>
      <c r="C156" s="97"/>
      <c r="D156" s="97"/>
      <c r="R156" s="65"/>
      <c r="S156" s="65"/>
    </row>
    <row r="157" spans="1:19" ht="38.25" x14ac:dyDescent="0.2">
      <c r="A157" s="141" t="s">
        <v>374</v>
      </c>
      <c r="B157" s="103" t="s">
        <v>615</v>
      </c>
      <c r="C157" s="141">
        <v>80</v>
      </c>
      <c r="D157" s="141">
        <v>80</v>
      </c>
    </row>
    <row r="158" spans="1:19" x14ac:dyDescent="0.2">
      <c r="A158" s="97"/>
      <c r="B158" s="104"/>
      <c r="C158" s="97"/>
      <c r="D158" s="97"/>
      <c r="R158" s="65"/>
      <c r="S158" s="65"/>
    </row>
    <row r="159" spans="1:19" ht="25.5" x14ac:dyDescent="0.2">
      <c r="A159" s="141" t="s">
        <v>694</v>
      </c>
      <c r="B159" s="103" t="s">
        <v>891</v>
      </c>
      <c r="C159" s="141">
        <v>40</v>
      </c>
      <c r="D159" s="141">
        <v>50</v>
      </c>
    </row>
    <row r="160" spans="1:19" x14ac:dyDescent="0.2">
      <c r="A160" s="97"/>
      <c r="B160" s="104"/>
      <c r="C160" s="97"/>
      <c r="D160" s="97"/>
      <c r="R160" s="65"/>
      <c r="S160" s="65"/>
    </row>
    <row r="161" spans="1:19" ht="38.25" x14ac:dyDescent="0.2">
      <c r="A161" s="192" t="s">
        <v>375</v>
      </c>
      <c r="B161" s="103" t="s">
        <v>713</v>
      </c>
      <c r="C161" s="192">
        <v>25</v>
      </c>
      <c r="D161" s="192">
        <v>35</v>
      </c>
    </row>
    <row r="162" spans="1:19" x14ac:dyDescent="0.2">
      <c r="A162" s="97"/>
      <c r="B162" s="104"/>
      <c r="C162" s="97"/>
      <c r="D162" s="97"/>
      <c r="R162" s="65"/>
      <c r="S162" s="65"/>
    </row>
    <row r="163" spans="1:19" ht="38.25" x14ac:dyDescent="0.2">
      <c r="A163" s="141" t="s">
        <v>682</v>
      </c>
      <c r="B163" s="103" t="s">
        <v>823</v>
      </c>
      <c r="C163" s="141">
        <v>90</v>
      </c>
      <c r="D163" s="141">
        <v>100</v>
      </c>
    </row>
    <row r="164" spans="1:19" x14ac:dyDescent="0.2">
      <c r="A164" s="97"/>
      <c r="B164" s="104"/>
      <c r="C164" s="97"/>
      <c r="D164" s="97"/>
      <c r="R164" s="65"/>
      <c r="S164" s="65"/>
    </row>
    <row r="165" spans="1:19" ht="25.5" x14ac:dyDescent="0.2">
      <c r="A165" s="192" t="s">
        <v>376</v>
      </c>
      <c r="B165" s="103" t="s">
        <v>616</v>
      </c>
      <c r="C165" s="192">
        <v>40</v>
      </c>
      <c r="D165" s="192">
        <v>50</v>
      </c>
    </row>
    <row r="166" spans="1:19" x14ac:dyDescent="0.2">
      <c r="A166" s="97"/>
      <c r="B166" s="104"/>
      <c r="C166" s="97"/>
      <c r="D166" s="97"/>
      <c r="R166" s="65"/>
      <c r="S166" s="65"/>
    </row>
    <row r="167" spans="1:19" x14ac:dyDescent="0.2">
      <c r="A167" s="141" t="s">
        <v>495</v>
      </c>
      <c r="B167" s="103" t="s">
        <v>714</v>
      </c>
      <c r="C167" s="141">
        <v>10</v>
      </c>
      <c r="D167" s="141">
        <v>10</v>
      </c>
    </row>
    <row r="168" spans="1:19" x14ac:dyDescent="0.2">
      <c r="A168" s="97"/>
      <c r="B168" s="104"/>
      <c r="C168" s="97"/>
      <c r="D168" s="97"/>
      <c r="R168" s="65"/>
      <c r="S168" s="65"/>
    </row>
    <row r="169" spans="1:19" ht="38.25" x14ac:dyDescent="0.2">
      <c r="A169" s="192" t="s">
        <v>687</v>
      </c>
      <c r="B169" s="103" t="s">
        <v>824</v>
      </c>
      <c r="C169" s="192">
        <v>30</v>
      </c>
      <c r="D169" s="192">
        <v>40</v>
      </c>
    </row>
    <row r="170" spans="1:19" x14ac:dyDescent="0.2">
      <c r="A170" s="97"/>
      <c r="B170" s="104"/>
      <c r="C170" s="97"/>
      <c r="D170" s="97"/>
      <c r="R170" s="65"/>
      <c r="S170" s="65"/>
    </row>
    <row r="171" spans="1:19" ht="38.25" x14ac:dyDescent="0.2">
      <c r="A171" s="141" t="s">
        <v>377</v>
      </c>
      <c r="B171" s="103" t="s">
        <v>716</v>
      </c>
      <c r="C171" s="141">
        <v>40</v>
      </c>
      <c r="D171" s="141">
        <v>40</v>
      </c>
    </row>
    <row r="172" spans="1:19" x14ac:dyDescent="0.2">
      <c r="A172" s="97"/>
      <c r="B172" s="104"/>
      <c r="C172" s="97"/>
      <c r="D172" s="97"/>
      <c r="R172" s="65"/>
      <c r="S172" s="65"/>
    </row>
    <row r="173" spans="1:19" ht="38.25" x14ac:dyDescent="0.2">
      <c r="A173" s="192" t="s">
        <v>695</v>
      </c>
      <c r="B173" s="103" t="s">
        <v>734</v>
      </c>
      <c r="C173" s="192">
        <v>60</v>
      </c>
      <c r="D173" s="192">
        <v>120</v>
      </c>
    </row>
    <row r="174" spans="1:19" x14ac:dyDescent="0.2">
      <c r="A174" s="97"/>
      <c r="B174" s="104"/>
      <c r="C174" s="97"/>
      <c r="D174" s="97"/>
      <c r="R174" s="65"/>
      <c r="S174" s="65"/>
    </row>
    <row r="175" spans="1:19" ht="25.5" x14ac:dyDescent="0.2">
      <c r="A175" s="141" t="s">
        <v>378</v>
      </c>
      <c r="B175" s="103" t="s">
        <v>717</v>
      </c>
      <c r="C175" s="141">
        <v>30</v>
      </c>
      <c r="D175" s="141">
        <v>30</v>
      </c>
    </row>
    <row r="176" spans="1:19" x14ac:dyDescent="0.2">
      <c r="A176" s="97"/>
      <c r="B176" s="104"/>
      <c r="C176" s="97"/>
      <c r="D176" s="97"/>
      <c r="R176" s="65"/>
      <c r="S176" s="65"/>
    </row>
    <row r="177" spans="1:19" ht="25.5" x14ac:dyDescent="0.2">
      <c r="A177" s="192" t="s">
        <v>379</v>
      </c>
      <c r="B177" s="103" t="s">
        <v>718</v>
      </c>
      <c r="C177" s="192">
        <v>50</v>
      </c>
      <c r="D177" s="192">
        <v>50</v>
      </c>
    </row>
    <row r="178" spans="1:19" x14ac:dyDescent="0.2">
      <c r="A178" s="97"/>
      <c r="B178" s="104"/>
      <c r="C178" s="97"/>
      <c r="D178" s="97"/>
      <c r="R178" s="65"/>
      <c r="S178" s="65"/>
    </row>
    <row r="179" spans="1:19" ht="25.5" x14ac:dyDescent="0.2">
      <c r="A179" s="141" t="s">
        <v>380</v>
      </c>
      <c r="B179" s="103" t="s">
        <v>719</v>
      </c>
      <c r="C179" s="141">
        <v>60</v>
      </c>
      <c r="D179" s="141">
        <v>60</v>
      </c>
    </row>
    <row r="180" spans="1:19" x14ac:dyDescent="0.2">
      <c r="A180" s="97"/>
      <c r="B180" s="104"/>
      <c r="C180" s="97"/>
      <c r="D180" s="97"/>
      <c r="R180" s="65"/>
      <c r="S180" s="65"/>
    </row>
    <row r="181" spans="1:19" x14ac:dyDescent="0.2">
      <c r="A181" s="192" t="s">
        <v>381</v>
      </c>
      <c r="B181" s="103" t="s">
        <v>895</v>
      </c>
      <c r="C181" s="192">
        <v>50</v>
      </c>
      <c r="D181" s="192">
        <v>80</v>
      </c>
    </row>
    <row r="183" spans="1:19" ht="25.5" x14ac:dyDescent="0.2">
      <c r="A183" s="206" t="s">
        <v>985</v>
      </c>
      <c r="B183" s="103" t="s">
        <v>986</v>
      </c>
      <c r="C183" s="206">
        <v>70</v>
      </c>
      <c r="D183" s="206">
        <v>90</v>
      </c>
      <c r="R183" s="65"/>
      <c r="S183" s="65"/>
    </row>
    <row r="184" spans="1:19" x14ac:dyDescent="0.2">
      <c r="A184" s="97"/>
      <c r="B184" s="104"/>
      <c r="C184" s="97"/>
      <c r="D184" s="97"/>
      <c r="R184" s="65"/>
      <c r="S184" s="65"/>
    </row>
    <row r="185" spans="1:19" ht="25.5" x14ac:dyDescent="0.2">
      <c r="A185" s="141" t="s">
        <v>382</v>
      </c>
      <c r="B185" s="103" t="s">
        <v>825</v>
      </c>
      <c r="C185" s="141">
        <v>40</v>
      </c>
      <c r="D185" s="141">
        <v>50</v>
      </c>
    </row>
    <row r="186" spans="1:19" x14ac:dyDescent="0.2">
      <c r="A186" s="97"/>
      <c r="B186" s="104"/>
      <c r="C186" s="97"/>
      <c r="D186" s="97"/>
      <c r="R186" s="65"/>
      <c r="S186" s="65"/>
    </row>
    <row r="187" spans="1:19" ht="25.5" x14ac:dyDescent="0.2">
      <c r="A187" s="192" t="s">
        <v>697</v>
      </c>
      <c r="B187" s="103" t="s">
        <v>698</v>
      </c>
      <c r="C187" s="192">
        <v>20</v>
      </c>
      <c r="D187" s="192">
        <v>20</v>
      </c>
    </row>
    <row r="188" spans="1:19" x14ac:dyDescent="0.2">
      <c r="A188" s="97"/>
      <c r="B188" s="104"/>
      <c r="C188" s="97"/>
      <c r="D188" s="97"/>
      <c r="R188" s="65"/>
      <c r="S188" s="65"/>
    </row>
    <row r="189" spans="1:19" ht="38.25" x14ac:dyDescent="0.2">
      <c r="A189" s="141" t="s">
        <v>383</v>
      </c>
      <c r="B189" s="103" t="s">
        <v>720</v>
      </c>
      <c r="C189" s="141">
        <v>70</v>
      </c>
      <c r="D189" s="141">
        <v>140</v>
      </c>
    </row>
    <row r="190" spans="1:19" x14ac:dyDescent="0.2">
      <c r="A190" s="97"/>
      <c r="B190" s="104"/>
      <c r="C190" s="97"/>
      <c r="D190" s="97"/>
      <c r="R190" s="65"/>
      <c r="S190" s="65"/>
    </row>
    <row r="191" spans="1:19" x14ac:dyDescent="0.2">
      <c r="A191" s="192" t="s">
        <v>384</v>
      </c>
      <c r="B191" s="103" t="s">
        <v>776</v>
      </c>
      <c r="C191" s="192">
        <v>100</v>
      </c>
      <c r="D191" s="192">
        <v>100</v>
      </c>
    </row>
    <row r="192" spans="1:19" x14ac:dyDescent="0.2">
      <c r="A192" s="97"/>
      <c r="B192" s="104"/>
      <c r="C192" s="97"/>
      <c r="D192" s="97"/>
      <c r="R192" s="65"/>
      <c r="S192" s="65"/>
    </row>
    <row r="193" spans="1:19" ht="25.5" x14ac:dyDescent="0.2">
      <c r="A193" s="192" t="s">
        <v>385</v>
      </c>
      <c r="B193" s="103" t="s">
        <v>617</v>
      </c>
      <c r="C193" s="192">
        <v>50</v>
      </c>
      <c r="D193" s="192">
        <v>50</v>
      </c>
    </row>
    <row r="194" spans="1:19" x14ac:dyDescent="0.2">
      <c r="A194" s="97"/>
      <c r="B194" s="104"/>
      <c r="C194" s="97"/>
      <c r="D194" s="97"/>
      <c r="R194" s="65"/>
      <c r="S194" s="65"/>
    </row>
    <row r="195" spans="1:19" ht="38.25" x14ac:dyDescent="0.2">
      <c r="A195" s="141" t="s">
        <v>386</v>
      </c>
      <c r="B195" s="103" t="s">
        <v>721</v>
      </c>
      <c r="C195" s="141">
        <v>55</v>
      </c>
      <c r="D195" s="141">
        <v>75</v>
      </c>
    </row>
    <row r="196" spans="1:19" x14ac:dyDescent="0.2">
      <c r="A196" s="97"/>
      <c r="B196" s="104"/>
      <c r="C196" s="97"/>
      <c r="D196" s="97"/>
      <c r="R196" s="65"/>
      <c r="S196" s="65"/>
    </row>
    <row r="197" spans="1:19" ht="25.5" x14ac:dyDescent="0.2">
      <c r="A197" s="192" t="s">
        <v>699</v>
      </c>
      <c r="B197" s="103" t="s">
        <v>892</v>
      </c>
      <c r="C197" s="192">
        <v>120</v>
      </c>
      <c r="D197" s="192">
        <v>120</v>
      </c>
    </row>
    <row r="198" spans="1:19" x14ac:dyDescent="0.2">
      <c r="A198" s="97"/>
      <c r="B198" s="104"/>
      <c r="C198" s="97"/>
      <c r="D198" s="97"/>
      <c r="R198" s="65"/>
      <c r="S198" s="65"/>
    </row>
    <row r="199" spans="1:19" ht="25.5" x14ac:dyDescent="0.2">
      <c r="A199" s="141" t="s">
        <v>750</v>
      </c>
      <c r="B199" s="103" t="s">
        <v>752</v>
      </c>
      <c r="C199" s="141">
        <v>30</v>
      </c>
      <c r="D199" s="141">
        <v>30</v>
      </c>
    </row>
    <row r="201" spans="1:19" ht="25.5" x14ac:dyDescent="0.2">
      <c r="A201" s="206" t="s">
        <v>992</v>
      </c>
      <c r="B201" s="103" t="s">
        <v>1082</v>
      </c>
      <c r="C201" s="206">
        <v>60</v>
      </c>
      <c r="D201" s="206">
        <v>60</v>
      </c>
      <c r="R201" s="65"/>
      <c r="S201" s="65"/>
    </row>
    <row r="202" spans="1:19" x14ac:dyDescent="0.2">
      <c r="A202" s="97"/>
      <c r="B202" s="104"/>
      <c r="C202" s="97"/>
      <c r="D202" s="97"/>
      <c r="R202" s="65"/>
      <c r="S202" s="65"/>
    </row>
    <row r="203" spans="1:19" ht="25.5" x14ac:dyDescent="0.2">
      <c r="A203" s="192" t="s">
        <v>688</v>
      </c>
      <c r="B203" s="103" t="s">
        <v>1081</v>
      </c>
      <c r="C203" s="192">
        <v>100</v>
      </c>
      <c r="D203" s="192">
        <v>100</v>
      </c>
    </row>
    <row r="204" spans="1:19" x14ac:dyDescent="0.2">
      <c r="A204" s="29"/>
      <c r="B204" s="29"/>
      <c r="C204" s="29"/>
      <c r="D204" s="29"/>
      <c r="R204" s="65"/>
      <c r="S204" s="65"/>
    </row>
    <row r="205" spans="1:19" ht="38.25" x14ac:dyDescent="0.2">
      <c r="A205" s="141" t="s">
        <v>971</v>
      </c>
      <c r="B205" s="103" t="s">
        <v>972</v>
      </c>
      <c r="C205" s="141">
        <v>50</v>
      </c>
      <c r="D205" s="141">
        <v>50</v>
      </c>
    </row>
    <row r="206" spans="1:19" x14ac:dyDescent="0.2">
      <c r="A206" s="29"/>
      <c r="B206" s="29"/>
      <c r="C206" s="29"/>
      <c r="D206" s="29"/>
      <c r="R206" s="65"/>
      <c r="S206" s="65"/>
    </row>
    <row r="207" spans="1:19" x14ac:dyDescent="0.2">
      <c r="A207" s="192" t="s">
        <v>949</v>
      </c>
      <c r="B207" s="103" t="s">
        <v>967</v>
      </c>
      <c r="C207" s="192">
        <v>50</v>
      </c>
      <c r="D207" s="192">
        <v>80</v>
      </c>
    </row>
    <row r="208" spans="1:19" x14ac:dyDescent="0.2">
      <c r="A208" s="29"/>
      <c r="B208" s="29"/>
      <c r="C208" s="29"/>
      <c r="D208" s="29"/>
      <c r="R208" s="65"/>
      <c r="S208" s="65"/>
    </row>
    <row r="209" spans="1:19" ht="63.75" x14ac:dyDescent="0.2">
      <c r="A209" s="141" t="s">
        <v>956</v>
      </c>
      <c r="B209" s="103" t="s">
        <v>997</v>
      </c>
      <c r="C209" s="141">
        <v>150</v>
      </c>
      <c r="D209" s="141">
        <v>200</v>
      </c>
    </row>
    <row r="210" spans="1:19" x14ac:dyDescent="0.2">
      <c r="A210" s="29"/>
      <c r="B210" s="29"/>
      <c r="C210" s="29"/>
      <c r="D210" s="29"/>
      <c r="R210" s="65"/>
      <c r="S210" s="65"/>
    </row>
    <row r="211" spans="1:19" x14ac:dyDescent="0.2">
      <c r="A211" s="192" t="s">
        <v>520</v>
      </c>
      <c r="B211" s="103" t="s">
        <v>722</v>
      </c>
      <c r="C211" s="192">
        <v>80</v>
      </c>
      <c r="D211" s="192">
        <v>100</v>
      </c>
    </row>
    <row r="212" spans="1:19" x14ac:dyDescent="0.2">
      <c r="A212" s="29"/>
      <c r="B212" s="29"/>
      <c r="C212" s="29"/>
      <c r="D212" s="29"/>
      <c r="R212" s="65"/>
      <c r="S212" s="65"/>
    </row>
    <row r="213" spans="1:19" ht="25.5" x14ac:dyDescent="0.2">
      <c r="A213" s="141" t="s">
        <v>948</v>
      </c>
      <c r="B213" s="103" t="s">
        <v>966</v>
      </c>
      <c r="C213" s="141">
        <v>50</v>
      </c>
      <c r="D213" s="141">
        <v>70</v>
      </c>
    </row>
    <row r="214" spans="1:19" x14ac:dyDescent="0.2">
      <c r="A214" s="29"/>
      <c r="B214" s="29"/>
      <c r="C214" s="29"/>
      <c r="D214" s="29"/>
      <c r="R214" s="65"/>
      <c r="S214" s="65"/>
    </row>
    <row r="215" spans="1:19" ht="25.5" x14ac:dyDescent="0.2">
      <c r="A215" s="192" t="s">
        <v>488</v>
      </c>
      <c r="B215" s="103" t="s">
        <v>618</v>
      </c>
      <c r="C215" s="192">
        <v>20</v>
      </c>
      <c r="D215" s="192" t="s">
        <v>518</v>
      </c>
    </row>
    <row r="216" spans="1:19" x14ac:dyDescent="0.2">
      <c r="A216" s="29"/>
      <c r="B216" s="29"/>
      <c r="C216" s="29"/>
      <c r="D216" s="29"/>
      <c r="R216" s="65"/>
      <c r="S216" s="65"/>
    </row>
    <row r="217" spans="1:19" x14ac:dyDescent="0.2">
      <c r="A217" s="141" t="s">
        <v>387</v>
      </c>
      <c r="B217" s="103" t="s">
        <v>619</v>
      </c>
      <c r="C217" s="141">
        <v>20</v>
      </c>
      <c r="D217" s="141">
        <v>40</v>
      </c>
    </row>
    <row r="218" spans="1:19" x14ac:dyDescent="0.2">
      <c r="A218" s="29"/>
      <c r="B218" s="29"/>
      <c r="C218" s="29"/>
      <c r="D218" s="29"/>
      <c r="R218" s="65"/>
      <c r="S218" s="65"/>
    </row>
    <row r="219" spans="1:19" ht="25.5" x14ac:dyDescent="0.2">
      <c r="A219" s="192" t="s">
        <v>95</v>
      </c>
      <c r="B219" s="103" t="s">
        <v>894</v>
      </c>
      <c r="C219" s="192">
        <v>90</v>
      </c>
      <c r="D219" s="192">
        <v>100</v>
      </c>
    </row>
    <row r="220" spans="1:19" x14ac:dyDescent="0.2">
      <c r="A220" s="97"/>
      <c r="B220" s="104"/>
      <c r="C220" s="97"/>
      <c r="D220" s="97"/>
      <c r="R220" s="65"/>
      <c r="S220" s="65"/>
    </row>
    <row r="221" spans="1:19" ht="51" x14ac:dyDescent="0.2">
      <c r="A221" s="141" t="s">
        <v>1079</v>
      </c>
      <c r="B221" s="103" t="s">
        <v>1078</v>
      </c>
      <c r="C221" s="141">
        <v>60</v>
      </c>
      <c r="D221" s="141">
        <v>80</v>
      </c>
    </row>
    <row r="223" spans="1:19" ht="25.5" x14ac:dyDescent="0.2">
      <c r="A223" s="243" t="s">
        <v>388</v>
      </c>
      <c r="B223" s="103" t="s">
        <v>1080</v>
      </c>
      <c r="C223" s="243">
        <v>30</v>
      </c>
      <c r="D223" s="243">
        <v>50</v>
      </c>
      <c r="R223" s="65"/>
      <c r="S223" s="65"/>
    </row>
    <row r="224" spans="1:19" x14ac:dyDescent="0.2">
      <c r="A224" s="97"/>
      <c r="B224" s="104"/>
      <c r="C224" s="97"/>
      <c r="D224" s="97"/>
      <c r="R224" s="65"/>
      <c r="S224" s="65"/>
    </row>
    <row r="225" spans="1:19" ht="38.25" x14ac:dyDescent="0.2">
      <c r="A225" s="192" t="s">
        <v>389</v>
      </c>
      <c r="B225" s="103" t="s">
        <v>777</v>
      </c>
      <c r="C225" s="192">
        <v>50</v>
      </c>
      <c r="D225" s="192">
        <v>70</v>
      </c>
    </row>
    <row r="226" spans="1:19" x14ac:dyDescent="0.2">
      <c r="A226" s="29"/>
      <c r="B226" s="29"/>
      <c r="C226" s="29"/>
      <c r="D226" s="29"/>
      <c r="R226" s="65"/>
      <c r="S226" s="65"/>
    </row>
    <row r="227" spans="1:19" ht="38.25" x14ac:dyDescent="0.2">
      <c r="A227" s="192" t="s">
        <v>390</v>
      </c>
      <c r="B227" s="103" t="s">
        <v>815</v>
      </c>
      <c r="C227" s="192">
        <v>100</v>
      </c>
      <c r="D227" s="192">
        <v>100</v>
      </c>
    </row>
    <row r="229" spans="1:19" ht="25.5" x14ac:dyDescent="0.2">
      <c r="A229" s="206" t="s">
        <v>988</v>
      </c>
      <c r="B229" s="103" t="s">
        <v>987</v>
      </c>
      <c r="C229" s="206">
        <v>40</v>
      </c>
      <c r="D229" s="206">
        <v>40</v>
      </c>
      <c r="R229" s="65"/>
      <c r="S229" s="65"/>
    </row>
    <row r="230" spans="1:19" x14ac:dyDescent="0.2">
      <c r="A230" s="29"/>
      <c r="B230" s="29"/>
      <c r="C230" s="29"/>
      <c r="D230" s="29"/>
      <c r="R230" s="65"/>
      <c r="S230" s="65"/>
    </row>
    <row r="231" spans="1:19" ht="51" x14ac:dyDescent="0.2">
      <c r="A231" s="192" t="s">
        <v>489</v>
      </c>
      <c r="B231" s="103" t="s">
        <v>785</v>
      </c>
      <c r="C231" s="192">
        <v>70</v>
      </c>
      <c r="D231" s="192">
        <v>70</v>
      </c>
    </row>
    <row r="232" spans="1:19" x14ac:dyDescent="0.2">
      <c r="A232" s="29"/>
      <c r="B232" s="29"/>
      <c r="C232" s="29"/>
      <c r="D232" s="29"/>
    </row>
    <row r="233" spans="1:19" ht="51" x14ac:dyDescent="0.2">
      <c r="A233" s="192" t="s">
        <v>391</v>
      </c>
      <c r="B233" s="103" t="s">
        <v>816</v>
      </c>
      <c r="C233" s="192">
        <v>30</v>
      </c>
      <c r="D233" s="192">
        <v>40</v>
      </c>
    </row>
    <row r="234" spans="1:19" x14ac:dyDescent="0.2">
      <c r="A234" s="29"/>
      <c r="B234" s="29"/>
      <c r="C234" s="29"/>
      <c r="D234" s="29"/>
    </row>
    <row r="235" spans="1:19" ht="38.25" x14ac:dyDescent="0.2">
      <c r="A235" s="192" t="s">
        <v>693</v>
      </c>
      <c r="B235" s="103" t="s">
        <v>723</v>
      </c>
      <c r="C235" s="192">
        <v>100</v>
      </c>
      <c r="D235" s="192">
        <v>100</v>
      </c>
    </row>
    <row r="236" spans="1:19" x14ac:dyDescent="0.2">
      <c r="A236" s="29"/>
      <c r="B236" s="29"/>
      <c r="C236" s="29"/>
      <c r="D236" s="29"/>
    </row>
    <row r="237" spans="1:19" ht="25.5" x14ac:dyDescent="0.2">
      <c r="A237" s="192" t="s">
        <v>392</v>
      </c>
      <c r="B237" s="103" t="s">
        <v>818</v>
      </c>
      <c r="C237" s="192">
        <v>80</v>
      </c>
      <c r="D237" s="192">
        <v>80</v>
      </c>
    </row>
    <row r="238" spans="1:19" x14ac:dyDescent="0.2">
      <c r="A238" s="29"/>
      <c r="B238" s="29"/>
      <c r="C238" s="29"/>
      <c r="D238" s="29"/>
    </row>
    <row r="239" spans="1:19" ht="25.5" x14ac:dyDescent="0.2">
      <c r="A239" s="192" t="s">
        <v>683</v>
      </c>
      <c r="B239" s="103" t="s">
        <v>819</v>
      </c>
      <c r="C239" s="192">
        <v>50</v>
      </c>
      <c r="D239" s="192">
        <v>50</v>
      </c>
    </row>
    <row r="240" spans="1:19" x14ac:dyDescent="0.2">
      <c r="A240" s="97"/>
      <c r="B240" s="104"/>
      <c r="C240" s="97"/>
      <c r="D240" s="97"/>
    </row>
    <row r="241" spans="1:4" x14ac:dyDescent="0.2">
      <c r="A241" s="97"/>
      <c r="B241" s="104"/>
      <c r="C241" s="97"/>
      <c r="D241" s="97"/>
    </row>
    <row r="242" spans="1:4" x14ac:dyDescent="0.2">
      <c r="A242" s="97"/>
      <c r="B242" s="104"/>
      <c r="C242" s="97"/>
      <c r="D242" s="97"/>
    </row>
    <row r="243" spans="1:4" x14ac:dyDescent="0.2">
      <c r="A243" s="97"/>
      <c r="B243" s="104"/>
      <c r="C243" s="97"/>
      <c r="D243" s="97"/>
    </row>
    <row r="244" spans="1:4" x14ac:dyDescent="0.2">
      <c r="A244" s="97"/>
      <c r="B244" s="104"/>
      <c r="C244" s="97"/>
      <c r="D244" s="97"/>
    </row>
    <row r="245" spans="1:4" x14ac:dyDescent="0.2">
      <c r="A245" s="97"/>
      <c r="B245" s="104"/>
      <c r="C245" s="97"/>
      <c r="D245" s="97"/>
    </row>
    <row r="246" spans="1:4" x14ac:dyDescent="0.2">
      <c r="A246" s="97"/>
      <c r="B246" s="104"/>
      <c r="C246" s="97"/>
      <c r="D246" s="97"/>
    </row>
    <row r="247" spans="1:4" x14ac:dyDescent="0.2">
      <c r="A247" s="97"/>
      <c r="B247" s="104"/>
      <c r="C247" s="97"/>
      <c r="D247" s="97"/>
    </row>
    <row r="248" spans="1:4" x14ac:dyDescent="0.2">
      <c r="A248" s="97"/>
      <c r="B248" s="104"/>
      <c r="C248" s="97"/>
      <c r="D248" s="97"/>
    </row>
    <row r="249" spans="1:4" x14ac:dyDescent="0.2">
      <c r="A249" s="97"/>
      <c r="B249" s="104"/>
      <c r="C249" s="97"/>
      <c r="D249" s="97"/>
    </row>
    <row r="250" spans="1:4" x14ac:dyDescent="0.2">
      <c r="A250" s="97"/>
      <c r="B250" s="104"/>
      <c r="C250" s="97"/>
      <c r="D250" s="97"/>
    </row>
    <row r="251" spans="1:4" x14ac:dyDescent="0.2">
      <c r="A251" s="97"/>
      <c r="B251" s="104"/>
      <c r="C251" s="97"/>
      <c r="D251" s="97"/>
    </row>
    <row r="252" spans="1:4" x14ac:dyDescent="0.2">
      <c r="A252" s="97"/>
      <c r="B252" s="104"/>
      <c r="C252" s="97"/>
      <c r="D252" s="97"/>
    </row>
    <row r="253" spans="1:4" x14ac:dyDescent="0.2">
      <c r="A253" s="97"/>
      <c r="B253" s="104"/>
      <c r="C253" s="97"/>
      <c r="D253" s="97"/>
    </row>
    <row r="254" spans="1:4" x14ac:dyDescent="0.2">
      <c r="A254" s="97"/>
      <c r="B254" s="104"/>
      <c r="C254" s="97"/>
      <c r="D254" s="97"/>
    </row>
    <row r="255" spans="1:4" x14ac:dyDescent="0.2">
      <c r="A255" s="97"/>
      <c r="B255" s="104"/>
      <c r="C255" s="97"/>
      <c r="D255" s="97"/>
    </row>
    <row r="256" spans="1:4" x14ac:dyDescent="0.2">
      <c r="A256" s="97"/>
      <c r="B256" s="104"/>
      <c r="C256" s="97"/>
      <c r="D256" s="97"/>
    </row>
    <row r="257" spans="1:5" x14ac:dyDescent="0.2">
      <c r="A257" s="97"/>
      <c r="B257" s="104"/>
      <c r="C257" s="97"/>
      <c r="D257" s="97"/>
    </row>
    <row r="258" spans="1:5" x14ac:dyDescent="0.2">
      <c r="A258" s="97"/>
      <c r="B258" s="104"/>
      <c r="C258" s="97"/>
      <c r="D258" s="97"/>
    </row>
    <row r="259" spans="1:5" x14ac:dyDescent="0.2">
      <c r="A259" s="97"/>
      <c r="B259" s="104"/>
      <c r="C259" s="97"/>
      <c r="D259" s="97"/>
    </row>
    <row r="260" spans="1:5" x14ac:dyDescent="0.2">
      <c r="A260" s="97"/>
      <c r="B260" s="104"/>
      <c r="C260" s="97"/>
      <c r="D260" s="97"/>
    </row>
    <row r="261" spans="1:5" x14ac:dyDescent="0.2">
      <c r="A261" s="97"/>
      <c r="B261" s="104"/>
      <c r="C261" s="97"/>
      <c r="D261" s="97"/>
    </row>
    <row r="262" spans="1:5" x14ac:dyDescent="0.2">
      <c r="A262" s="97"/>
      <c r="B262" s="104"/>
      <c r="C262" s="97"/>
      <c r="D262" s="97"/>
    </row>
    <row r="263" spans="1:5" x14ac:dyDescent="0.2">
      <c r="A263" s="97"/>
      <c r="B263" s="104"/>
      <c r="C263" s="97"/>
      <c r="D263" s="97"/>
    </row>
    <row r="264" spans="1:5" x14ac:dyDescent="0.2">
      <c r="A264" s="97"/>
      <c r="B264" s="104"/>
      <c r="C264" s="97"/>
      <c r="D264" s="97"/>
      <c r="E264" s="66"/>
    </row>
    <row r="265" spans="1:5" x14ac:dyDescent="0.2">
      <c r="A265" s="97"/>
      <c r="B265" s="104"/>
      <c r="C265" s="97"/>
      <c r="D265" s="97"/>
    </row>
    <row r="266" spans="1:5" x14ac:dyDescent="0.2">
      <c r="A266" s="97"/>
      <c r="B266" s="104"/>
      <c r="C266" s="97"/>
      <c r="D266" s="97"/>
    </row>
    <row r="267" spans="1:5" x14ac:dyDescent="0.2">
      <c r="A267" s="97"/>
      <c r="B267" s="104"/>
      <c r="C267" s="97"/>
      <c r="D267" s="97"/>
    </row>
    <row r="268" spans="1:5" x14ac:dyDescent="0.2">
      <c r="A268" s="97"/>
      <c r="B268" s="104"/>
      <c r="C268" s="97"/>
      <c r="D268" s="97"/>
    </row>
    <row r="269" spans="1:5" x14ac:dyDescent="0.2">
      <c r="A269" s="97"/>
      <c r="B269" s="104"/>
      <c r="C269" s="97"/>
      <c r="D269" s="97"/>
    </row>
    <row r="270" spans="1:5" x14ac:dyDescent="0.2">
      <c r="A270" s="97"/>
      <c r="B270" s="104"/>
      <c r="C270" s="97"/>
      <c r="D270" s="97"/>
    </row>
    <row r="271" spans="1:5" x14ac:dyDescent="0.2">
      <c r="A271" s="97"/>
      <c r="B271" s="104"/>
      <c r="C271" s="97"/>
      <c r="D271" s="97"/>
    </row>
    <row r="272" spans="1:5" x14ac:dyDescent="0.2">
      <c r="A272" s="97"/>
      <c r="B272" s="104"/>
      <c r="C272" s="97"/>
      <c r="D272" s="97"/>
    </row>
    <row r="273" spans="1:4" x14ac:dyDescent="0.2">
      <c r="A273" s="97"/>
      <c r="B273" s="104"/>
      <c r="C273" s="97"/>
      <c r="D273" s="97"/>
    </row>
    <row r="274" spans="1:4" x14ac:dyDescent="0.2">
      <c r="A274" s="97"/>
      <c r="B274" s="104"/>
      <c r="C274" s="97"/>
      <c r="D274" s="97"/>
    </row>
    <row r="275" spans="1:4" x14ac:dyDescent="0.2">
      <c r="A275" s="97"/>
      <c r="B275" s="104"/>
      <c r="C275" s="97"/>
      <c r="D275" s="97"/>
    </row>
    <row r="276" spans="1:4" x14ac:dyDescent="0.2">
      <c r="A276" s="97"/>
      <c r="B276" s="104"/>
      <c r="C276" s="97"/>
      <c r="D276" s="97"/>
    </row>
    <row r="277" spans="1:4" x14ac:dyDescent="0.2">
      <c r="A277" s="97"/>
      <c r="B277" s="104"/>
      <c r="C277" s="97"/>
      <c r="D277" s="97"/>
    </row>
    <row r="278" spans="1:4" x14ac:dyDescent="0.2">
      <c r="A278" s="97"/>
      <c r="B278" s="104"/>
      <c r="C278" s="97"/>
      <c r="D278" s="97"/>
    </row>
    <row r="279" spans="1:4" x14ac:dyDescent="0.2">
      <c r="A279" s="97"/>
      <c r="B279" s="104"/>
      <c r="C279" s="97"/>
      <c r="D279" s="97"/>
    </row>
    <row r="280" spans="1:4" x14ac:dyDescent="0.2">
      <c r="A280" s="97"/>
      <c r="B280" s="104"/>
      <c r="C280" s="97"/>
      <c r="D280" s="97"/>
    </row>
    <row r="281" spans="1:4" x14ac:dyDescent="0.2">
      <c r="A281" s="97"/>
      <c r="B281" s="104"/>
      <c r="C281" s="97"/>
      <c r="D281" s="97"/>
    </row>
    <row r="282" spans="1:4" x14ac:dyDescent="0.2">
      <c r="A282" s="97"/>
      <c r="B282" s="104"/>
      <c r="C282" s="97"/>
      <c r="D282" s="97"/>
    </row>
    <row r="283" spans="1:4" x14ac:dyDescent="0.2">
      <c r="A283" s="97"/>
      <c r="B283" s="104"/>
      <c r="C283" s="97"/>
      <c r="D283" s="97"/>
    </row>
    <row r="284" spans="1:4" x14ac:dyDescent="0.2">
      <c r="A284" s="97"/>
      <c r="B284" s="104"/>
      <c r="C284" s="97"/>
      <c r="D284" s="97"/>
    </row>
    <row r="285" spans="1:4" x14ac:dyDescent="0.2">
      <c r="A285" s="97"/>
      <c r="B285" s="104"/>
      <c r="C285" s="97"/>
      <c r="D285" s="97"/>
    </row>
    <row r="286" spans="1:4" x14ac:dyDescent="0.2">
      <c r="A286" s="97"/>
      <c r="B286" s="104"/>
      <c r="C286" s="97"/>
      <c r="D286" s="97"/>
    </row>
    <row r="287" spans="1:4" x14ac:dyDescent="0.2">
      <c r="A287" s="97"/>
      <c r="B287" s="104"/>
      <c r="C287" s="97"/>
      <c r="D287" s="97"/>
    </row>
    <row r="288" spans="1:4" x14ac:dyDescent="0.2">
      <c r="A288" s="97"/>
      <c r="B288" s="104"/>
      <c r="C288" s="97"/>
      <c r="D288" s="97"/>
    </row>
    <row r="289" spans="1:5" x14ac:dyDescent="0.2">
      <c r="A289" s="97"/>
      <c r="B289" s="104"/>
      <c r="C289" s="97"/>
      <c r="D289" s="97"/>
    </row>
    <row r="290" spans="1:5" x14ac:dyDescent="0.2">
      <c r="A290" s="97"/>
      <c r="B290" s="104"/>
      <c r="C290" s="97"/>
      <c r="D290" s="97"/>
    </row>
    <row r="291" spans="1:5" x14ac:dyDescent="0.2">
      <c r="A291" s="97"/>
      <c r="B291" s="104"/>
      <c r="C291" s="97"/>
      <c r="D291" s="97"/>
    </row>
    <row r="292" spans="1:5" x14ac:dyDescent="0.2">
      <c r="A292" s="97"/>
      <c r="B292" s="104"/>
      <c r="C292" s="97"/>
      <c r="D292" s="97"/>
    </row>
    <row r="293" spans="1:5" x14ac:dyDescent="0.2">
      <c r="A293" s="97"/>
      <c r="B293" s="104"/>
      <c r="C293" s="97"/>
      <c r="D293" s="97"/>
    </row>
    <row r="294" spans="1:5" x14ac:dyDescent="0.2">
      <c r="A294" s="97"/>
      <c r="B294" s="104"/>
      <c r="C294" s="97"/>
      <c r="D294" s="97"/>
    </row>
    <row r="295" spans="1:5" x14ac:dyDescent="0.2">
      <c r="A295" s="97"/>
      <c r="B295" s="104"/>
      <c r="C295" s="97"/>
      <c r="D295" s="97"/>
    </row>
    <row r="296" spans="1:5" x14ac:dyDescent="0.2">
      <c r="A296" s="97"/>
      <c r="B296" s="104"/>
      <c r="C296" s="97"/>
      <c r="D296" s="97"/>
    </row>
    <row r="297" spans="1:5" x14ac:dyDescent="0.2">
      <c r="A297" s="97"/>
      <c r="B297" s="104"/>
      <c r="C297" s="97"/>
      <c r="D297" s="97"/>
    </row>
    <row r="298" spans="1:5" x14ac:dyDescent="0.2">
      <c r="A298" s="97"/>
      <c r="B298" s="104"/>
      <c r="C298" s="97"/>
      <c r="D298" s="97"/>
      <c r="E298" s="65"/>
    </row>
    <row r="299" spans="1:5" x14ac:dyDescent="0.2">
      <c r="A299" s="97"/>
      <c r="B299" s="104"/>
      <c r="C299" s="97"/>
      <c r="D299" s="97"/>
    </row>
    <row r="300" spans="1:5" x14ac:dyDescent="0.2">
      <c r="A300" s="97"/>
      <c r="B300" s="104"/>
      <c r="C300" s="97"/>
      <c r="D300" s="97"/>
    </row>
    <row r="301" spans="1:5" x14ac:dyDescent="0.2">
      <c r="A301" s="97"/>
      <c r="B301" s="104"/>
      <c r="C301" s="97"/>
      <c r="D301" s="97"/>
    </row>
    <row r="302" spans="1:5" x14ac:dyDescent="0.2">
      <c r="A302" s="97"/>
      <c r="B302" s="104"/>
      <c r="C302" s="97"/>
      <c r="D302" s="97"/>
    </row>
    <row r="303" spans="1:5" x14ac:dyDescent="0.2">
      <c r="A303" s="97"/>
      <c r="B303" s="104"/>
      <c r="C303" s="97"/>
      <c r="D303" s="97"/>
    </row>
    <row r="304" spans="1:5" x14ac:dyDescent="0.2">
      <c r="A304" s="97"/>
      <c r="B304" s="104"/>
      <c r="C304" s="97"/>
      <c r="D304" s="97"/>
    </row>
    <row r="305" spans="1:4" x14ac:dyDescent="0.2">
      <c r="A305" s="97"/>
      <c r="B305" s="104"/>
      <c r="C305" s="97"/>
      <c r="D305" s="97"/>
    </row>
    <row r="306" spans="1:4" x14ac:dyDescent="0.2">
      <c r="A306" s="97"/>
      <c r="B306" s="104"/>
      <c r="C306" s="97"/>
      <c r="D306" s="97"/>
    </row>
    <row r="307" spans="1:4" x14ac:dyDescent="0.2">
      <c r="A307" s="97"/>
      <c r="B307" s="104"/>
      <c r="C307" s="97"/>
      <c r="D307" s="97"/>
    </row>
    <row r="308" spans="1:4" x14ac:dyDescent="0.2">
      <c r="A308" s="97"/>
      <c r="B308" s="104"/>
      <c r="C308" s="97"/>
      <c r="D308" s="97"/>
    </row>
    <row r="309" spans="1:4" x14ac:dyDescent="0.2">
      <c r="A309" s="97"/>
      <c r="B309" s="104"/>
      <c r="C309" s="97"/>
      <c r="D309" s="97"/>
    </row>
    <row r="310" spans="1:4" x14ac:dyDescent="0.2">
      <c r="A310" s="97"/>
      <c r="B310" s="104"/>
      <c r="C310" s="97"/>
      <c r="D310" s="97"/>
    </row>
    <row r="311" spans="1:4" x14ac:dyDescent="0.2">
      <c r="A311" s="97"/>
      <c r="B311" s="104"/>
      <c r="C311" s="97"/>
      <c r="D311" s="97"/>
    </row>
    <row r="312" spans="1:4" x14ac:dyDescent="0.2">
      <c r="A312" s="97"/>
      <c r="B312" s="104"/>
      <c r="C312" s="97"/>
      <c r="D312" s="97"/>
    </row>
    <row r="313" spans="1:4" x14ac:dyDescent="0.2">
      <c r="A313" s="97"/>
      <c r="B313" s="104"/>
      <c r="C313" s="97"/>
      <c r="D313" s="97"/>
    </row>
    <row r="314" spans="1:4" x14ac:dyDescent="0.2">
      <c r="A314" s="97"/>
      <c r="B314" s="104"/>
      <c r="C314" s="97"/>
      <c r="D314" s="97"/>
    </row>
    <row r="315" spans="1:4" x14ac:dyDescent="0.2">
      <c r="A315" s="97"/>
      <c r="B315" s="104"/>
      <c r="C315" s="97"/>
      <c r="D315" s="97"/>
    </row>
    <row r="316" spans="1:4" x14ac:dyDescent="0.2">
      <c r="A316" s="97"/>
      <c r="B316" s="104"/>
      <c r="C316" s="97"/>
      <c r="D316" s="97"/>
    </row>
    <row r="317" spans="1:4" x14ac:dyDescent="0.2">
      <c r="A317" s="97"/>
      <c r="B317" s="104"/>
      <c r="C317" s="97"/>
      <c r="D317" s="97"/>
    </row>
    <row r="318" spans="1:4" x14ac:dyDescent="0.2">
      <c r="A318" s="97"/>
      <c r="B318" s="104"/>
      <c r="C318" s="97"/>
      <c r="D318" s="97"/>
    </row>
    <row r="319" spans="1:4" x14ac:dyDescent="0.2">
      <c r="A319" s="97"/>
      <c r="B319" s="104"/>
      <c r="C319" s="97"/>
      <c r="D319" s="97"/>
    </row>
    <row r="320" spans="1:4" x14ac:dyDescent="0.2">
      <c r="A320" s="97"/>
      <c r="B320" s="104"/>
      <c r="C320" s="97"/>
      <c r="D320" s="97"/>
    </row>
    <row r="321" spans="1:4" x14ac:dyDescent="0.2">
      <c r="A321" s="97"/>
      <c r="B321" s="104"/>
      <c r="C321" s="97"/>
      <c r="D321" s="97"/>
    </row>
    <row r="322" spans="1:4" x14ac:dyDescent="0.2">
      <c r="A322" s="97"/>
      <c r="B322" s="104"/>
      <c r="C322" s="97"/>
      <c r="D322" s="97"/>
    </row>
    <row r="323" spans="1:4" x14ac:dyDescent="0.2">
      <c r="A323" s="97"/>
      <c r="B323" s="104"/>
      <c r="C323" s="97"/>
      <c r="D323" s="97"/>
    </row>
    <row r="324" spans="1:4" x14ac:dyDescent="0.2">
      <c r="A324" s="97"/>
      <c r="B324" s="104"/>
      <c r="C324" s="97"/>
      <c r="D324" s="97"/>
    </row>
    <row r="325" spans="1:4" x14ac:dyDescent="0.2">
      <c r="A325" s="97"/>
      <c r="B325" s="104"/>
      <c r="C325" s="97"/>
      <c r="D325" s="97"/>
    </row>
    <row r="326" spans="1:4" x14ac:dyDescent="0.2">
      <c r="A326" s="97"/>
      <c r="B326" s="104"/>
      <c r="C326" s="97"/>
      <c r="D326" s="97"/>
    </row>
    <row r="327" spans="1:4" x14ac:dyDescent="0.2">
      <c r="A327" s="97"/>
      <c r="B327" s="104"/>
      <c r="C327" s="97"/>
      <c r="D327" s="97"/>
    </row>
    <row r="328" spans="1:4" x14ac:dyDescent="0.2">
      <c r="A328" s="97"/>
      <c r="B328" s="104"/>
      <c r="C328" s="97"/>
      <c r="D328" s="97"/>
    </row>
    <row r="329" spans="1:4" x14ac:dyDescent="0.2">
      <c r="A329" s="97"/>
      <c r="B329" s="104"/>
      <c r="C329" s="97"/>
      <c r="D329" s="97"/>
    </row>
    <row r="330" spans="1:4" x14ac:dyDescent="0.2">
      <c r="A330" s="97"/>
      <c r="B330" s="104"/>
      <c r="C330" s="97"/>
      <c r="D330" s="97"/>
    </row>
    <row r="331" spans="1:4" x14ac:dyDescent="0.2">
      <c r="A331" s="29"/>
      <c r="B331" s="29"/>
      <c r="C331" s="29"/>
      <c r="D331" s="29"/>
    </row>
    <row r="332" spans="1:4" x14ac:dyDescent="0.2">
      <c r="A332" s="97"/>
      <c r="B332" s="104"/>
      <c r="C332" s="97"/>
      <c r="D332" s="97"/>
    </row>
    <row r="333" spans="1:4" x14ac:dyDescent="0.2">
      <c r="A333" s="29"/>
      <c r="B333" s="29"/>
      <c r="C333" s="29"/>
      <c r="D333" s="29"/>
    </row>
    <row r="334" spans="1:4" x14ac:dyDescent="0.2">
      <c r="A334" s="97"/>
      <c r="B334" s="104"/>
      <c r="C334" s="97"/>
      <c r="D334" s="97"/>
    </row>
    <row r="335" spans="1:4" ht="15" x14ac:dyDescent="0.25">
      <c r="A335" s="44"/>
      <c r="B335" s="43"/>
      <c r="C335" s="65"/>
      <c r="D335" s="65"/>
    </row>
    <row r="336" spans="1:4" ht="15" x14ac:dyDescent="0.25">
      <c r="A336" s="44"/>
      <c r="B336" s="43"/>
    </row>
    <row r="337" spans="1:2" ht="15" x14ac:dyDescent="0.25">
      <c r="A337" s="44"/>
      <c r="B337" s="42"/>
    </row>
    <row r="338" spans="1:2" ht="15" x14ac:dyDescent="0.25">
      <c r="A338" s="44"/>
      <c r="B338" s="43"/>
    </row>
    <row r="339" spans="1:2" ht="15" x14ac:dyDescent="0.25">
      <c r="A339" s="44"/>
      <c r="B339" s="42"/>
    </row>
    <row r="340" spans="1:2" ht="15" x14ac:dyDescent="0.25">
      <c r="A340" s="44"/>
      <c r="B340" s="42"/>
    </row>
    <row r="341" spans="1:2" ht="15" x14ac:dyDescent="0.25">
      <c r="A341" s="44"/>
      <c r="B341" s="42"/>
    </row>
    <row r="342" spans="1:2" ht="15" x14ac:dyDescent="0.25">
      <c r="A342" s="44"/>
      <c r="B342" s="43"/>
    </row>
    <row r="343" spans="1:2" ht="15" x14ac:dyDescent="0.25">
      <c r="A343" s="44"/>
      <c r="B343" s="42"/>
    </row>
    <row r="344" spans="1:2" ht="15" x14ac:dyDescent="0.25">
      <c r="A344" s="44"/>
      <c r="B344" s="43"/>
    </row>
    <row r="345" spans="1:2" ht="15" x14ac:dyDescent="0.25">
      <c r="A345" s="44"/>
      <c r="B345" s="42"/>
    </row>
    <row r="346" spans="1:2" ht="15" x14ac:dyDescent="0.25">
      <c r="A346" s="44"/>
      <c r="B346" s="42"/>
    </row>
    <row r="347" spans="1:2" ht="15" x14ac:dyDescent="0.25">
      <c r="A347" s="44"/>
      <c r="B347" s="42"/>
    </row>
    <row r="348" spans="1:2" ht="15" x14ac:dyDescent="0.25">
      <c r="A348" s="44"/>
      <c r="B348" s="43"/>
    </row>
    <row r="349" spans="1:2" ht="15" x14ac:dyDescent="0.25">
      <c r="A349" s="44"/>
      <c r="B349" s="42"/>
    </row>
    <row r="350" spans="1:2" ht="15" x14ac:dyDescent="0.25">
      <c r="A350" s="44"/>
      <c r="B350" s="43"/>
    </row>
    <row r="351" spans="1:2" ht="15" x14ac:dyDescent="0.25">
      <c r="A351" s="44"/>
      <c r="B351" s="42"/>
    </row>
    <row r="352" spans="1:2" ht="15" x14ac:dyDescent="0.25">
      <c r="A352" s="44"/>
      <c r="B352" s="43"/>
    </row>
    <row r="353" spans="1:2" ht="15" x14ac:dyDescent="0.25">
      <c r="A353" s="44"/>
      <c r="B353" s="42"/>
    </row>
    <row r="354" spans="1:2" ht="15" x14ac:dyDescent="0.25">
      <c r="A354" s="44"/>
      <c r="B354" s="43"/>
    </row>
    <row r="355" spans="1:2" ht="15" x14ac:dyDescent="0.25">
      <c r="A355" s="44"/>
      <c r="B355" s="42"/>
    </row>
    <row r="356" spans="1:2" ht="15" x14ac:dyDescent="0.25">
      <c r="A356" s="44"/>
      <c r="B356" s="43"/>
    </row>
    <row r="357" spans="1:2" ht="15" x14ac:dyDescent="0.25">
      <c r="A357" s="44"/>
      <c r="B357" s="42"/>
    </row>
    <row r="358" spans="1:2" ht="15" x14ac:dyDescent="0.25">
      <c r="A358" s="44"/>
      <c r="B358" s="42"/>
    </row>
    <row r="359" spans="1:2" ht="15" x14ac:dyDescent="0.25">
      <c r="A359" s="44"/>
      <c r="B359" s="42"/>
    </row>
    <row r="360" spans="1:2" ht="15" x14ac:dyDescent="0.25">
      <c r="A360" s="44"/>
      <c r="B360" s="43"/>
    </row>
    <row r="361" spans="1:2" ht="15" x14ac:dyDescent="0.25">
      <c r="A361" s="44"/>
      <c r="B361" s="42"/>
    </row>
    <row r="362" spans="1:2" ht="15" x14ac:dyDescent="0.25">
      <c r="A362" s="44"/>
      <c r="B362" s="43"/>
    </row>
    <row r="363" spans="1:2" ht="15" x14ac:dyDescent="0.25">
      <c r="A363" s="44"/>
      <c r="B363" s="42"/>
    </row>
    <row r="364" spans="1:2" ht="15" x14ac:dyDescent="0.25">
      <c r="A364" s="44"/>
      <c r="B364" s="43"/>
    </row>
    <row r="365" spans="1:2" ht="15" x14ac:dyDescent="0.25">
      <c r="A365" s="26"/>
      <c r="B365" s="19"/>
    </row>
    <row r="366" spans="1:2" ht="15" x14ac:dyDescent="0.25">
      <c r="A366" s="26"/>
      <c r="B366" s="18"/>
    </row>
    <row r="367" spans="1:2" ht="15" x14ac:dyDescent="0.25">
      <c r="A367" s="44"/>
      <c r="B367" s="42"/>
    </row>
    <row r="368" spans="1:2" ht="15" x14ac:dyDescent="0.25">
      <c r="A368" s="44"/>
      <c r="B368" s="43"/>
    </row>
    <row r="369" spans="1:2" ht="15" x14ac:dyDescent="0.25">
      <c r="A369" s="44"/>
      <c r="B369" s="42"/>
    </row>
    <row r="370" spans="1:2" ht="15" x14ac:dyDescent="0.25">
      <c r="A370" s="44"/>
      <c r="B370" s="43"/>
    </row>
    <row r="371" spans="1:2" ht="15" x14ac:dyDescent="0.25">
      <c r="A371" s="44"/>
      <c r="B371" s="42"/>
    </row>
    <row r="372" spans="1:2" ht="15" x14ac:dyDescent="0.25">
      <c r="A372" s="44"/>
      <c r="B372" s="43"/>
    </row>
    <row r="373" spans="1:2" ht="15" x14ac:dyDescent="0.25">
      <c r="A373" s="44"/>
      <c r="B373" s="42"/>
    </row>
    <row r="374" spans="1:2" ht="15" x14ac:dyDescent="0.25">
      <c r="A374" s="44"/>
      <c r="B374" s="43"/>
    </row>
    <row r="375" spans="1:2" ht="15" x14ac:dyDescent="0.25">
      <c r="A375" s="44"/>
      <c r="B375" s="42"/>
    </row>
    <row r="376" spans="1:2" ht="15" x14ac:dyDescent="0.25">
      <c r="A376" s="44"/>
      <c r="B376" s="42"/>
    </row>
    <row r="377" spans="1:2" ht="15" x14ac:dyDescent="0.25">
      <c r="A377" s="44"/>
      <c r="B377" s="42"/>
    </row>
    <row r="378" spans="1:2" ht="15" x14ac:dyDescent="0.25">
      <c r="A378" s="44"/>
      <c r="B378" s="43"/>
    </row>
    <row r="379" spans="1:2" ht="15" x14ac:dyDescent="0.25">
      <c r="A379" s="44"/>
      <c r="B379" s="42"/>
    </row>
    <row r="380" spans="1:2" ht="15" x14ac:dyDescent="0.25">
      <c r="A380" s="44"/>
      <c r="B380" s="43"/>
    </row>
    <row r="381" spans="1:2" ht="15" x14ac:dyDescent="0.25">
      <c r="A381" s="44"/>
      <c r="B381" s="42"/>
    </row>
    <row r="382" spans="1:2" ht="15" x14ac:dyDescent="0.25">
      <c r="A382" s="44"/>
      <c r="B382" s="43"/>
    </row>
    <row r="383" spans="1:2" ht="15" x14ac:dyDescent="0.25">
      <c r="A383" s="44"/>
      <c r="B383" s="42"/>
    </row>
    <row r="384" spans="1:2" ht="15" x14ac:dyDescent="0.25">
      <c r="A384" s="44"/>
      <c r="B384" s="42"/>
    </row>
    <row r="385" spans="1:2" ht="15" x14ac:dyDescent="0.25">
      <c r="A385" s="44"/>
      <c r="B385" s="42"/>
    </row>
    <row r="386" spans="1:2" ht="15" x14ac:dyDescent="0.25">
      <c r="A386" s="44"/>
      <c r="B386" s="42"/>
    </row>
    <row r="387" spans="1:2" ht="15" x14ac:dyDescent="0.25">
      <c r="A387" s="44"/>
      <c r="B387" s="42"/>
    </row>
    <row r="388" spans="1:2" ht="15" x14ac:dyDescent="0.25">
      <c r="A388" s="26"/>
      <c r="B388" s="18"/>
    </row>
    <row r="389" spans="1:2" ht="15" x14ac:dyDescent="0.25">
      <c r="A389" s="44"/>
      <c r="B389" s="42"/>
    </row>
    <row r="390" spans="1:2" ht="15" x14ac:dyDescent="0.25">
      <c r="A390" s="44"/>
      <c r="B390" s="43"/>
    </row>
    <row r="391" spans="1:2" ht="15" x14ac:dyDescent="0.25">
      <c r="A391" s="44"/>
      <c r="B391" s="42"/>
    </row>
    <row r="392" spans="1:2" ht="15" x14ac:dyDescent="0.25">
      <c r="A392" s="44"/>
      <c r="B392" s="42"/>
    </row>
    <row r="393" spans="1:2" ht="15" x14ac:dyDescent="0.25">
      <c r="A393" s="44"/>
      <c r="B393" s="42"/>
    </row>
    <row r="394" spans="1:2" ht="15" x14ac:dyDescent="0.25">
      <c r="A394" s="44"/>
      <c r="B394" s="43"/>
    </row>
    <row r="395" spans="1:2" ht="15" x14ac:dyDescent="0.25">
      <c r="A395" s="44"/>
      <c r="B395" s="42"/>
    </row>
    <row r="396" spans="1:2" ht="15" x14ac:dyDescent="0.25">
      <c r="A396" s="44"/>
      <c r="B396" s="43"/>
    </row>
    <row r="397" spans="1:2" ht="15" x14ac:dyDescent="0.25">
      <c r="A397" s="44"/>
      <c r="B397" s="42"/>
    </row>
    <row r="398" spans="1:2" ht="15" x14ac:dyDescent="0.25">
      <c r="A398" s="44"/>
      <c r="B398" s="43"/>
    </row>
    <row r="399" spans="1:2" ht="15" x14ac:dyDescent="0.25">
      <c r="A399" s="44"/>
      <c r="B399" s="42"/>
    </row>
    <row r="400" spans="1:2" ht="15" x14ac:dyDescent="0.25">
      <c r="A400" s="44"/>
      <c r="B400" s="43"/>
    </row>
    <row r="401" spans="1:2" ht="15" x14ac:dyDescent="0.25">
      <c r="A401" s="44"/>
      <c r="B401" s="42"/>
    </row>
    <row r="402" spans="1:2" ht="15" x14ac:dyDescent="0.25">
      <c r="A402" s="44"/>
      <c r="B402" s="43"/>
    </row>
    <row r="403" spans="1:2" ht="15" x14ac:dyDescent="0.25">
      <c r="A403" s="44"/>
      <c r="B403" s="42"/>
    </row>
    <row r="404" spans="1:2" ht="15" x14ac:dyDescent="0.25">
      <c r="A404" s="44"/>
      <c r="B404" s="42"/>
    </row>
    <row r="405" spans="1:2" ht="15" x14ac:dyDescent="0.25">
      <c r="A405" s="44"/>
      <c r="B405" s="42"/>
    </row>
    <row r="406" spans="1:2" ht="15" x14ac:dyDescent="0.25">
      <c r="A406" s="44"/>
      <c r="B406" s="43"/>
    </row>
    <row r="407" spans="1:2" ht="15" x14ac:dyDescent="0.25">
      <c r="A407" s="44"/>
      <c r="B407" s="42"/>
    </row>
    <row r="408" spans="1:2" ht="15" x14ac:dyDescent="0.25">
      <c r="A408" s="44"/>
      <c r="B408" s="42"/>
    </row>
    <row r="409" spans="1:2" ht="15" x14ac:dyDescent="0.25">
      <c r="A409" s="44"/>
      <c r="B409" s="42"/>
    </row>
    <row r="410" spans="1:2" ht="15" x14ac:dyDescent="0.25">
      <c r="A410" s="44"/>
      <c r="B410" s="43"/>
    </row>
    <row r="411" spans="1:2" ht="15" x14ac:dyDescent="0.25">
      <c r="A411" s="44"/>
      <c r="B411" s="42"/>
    </row>
    <row r="412" spans="1:2" ht="15" x14ac:dyDescent="0.25">
      <c r="A412" s="44"/>
      <c r="B412" s="42"/>
    </row>
    <row r="413" spans="1:2" ht="15" x14ac:dyDescent="0.25">
      <c r="A413" s="44"/>
      <c r="B413" s="42"/>
    </row>
    <row r="414" spans="1:2" ht="15" x14ac:dyDescent="0.25">
      <c r="A414" s="44"/>
      <c r="B414" s="43"/>
    </row>
  </sheetData>
  <sheetProtection selectLockedCells="1" selectUnlockedCells="1"/>
  <sortState ref="A4:D120">
    <sortCondition ref="A1"/>
  </sortState>
  <customSheetViews>
    <customSheetView guid="{5F7E442B-9104-458B-9892-4194DBB06FCD}" topLeftCell="A82">
      <selection activeCell="B103" sqref="B103"/>
      <pageMargins left="0.511811024" right="0.511811024" top="0.78740157499999996" bottom="0.78740157499999996" header="0.31496062000000002" footer="0.31496062000000002"/>
      <pageSetup paperSize="9" orientation="portrait" horizontalDpi="300" verticalDpi="300" r:id="rId1"/>
    </customSheetView>
  </customSheetViews>
  <mergeCells count="4">
    <mergeCell ref="C1:C2"/>
    <mergeCell ref="D1:D2"/>
    <mergeCell ref="B1:B2"/>
    <mergeCell ref="A1:A2"/>
  </mergeCells>
  <pageMargins left="0.511811024" right="0.511811024" top="0.78740157499999996" bottom="0.78740157499999996" header="0.31496062000000002" footer="0.31496062000000002"/>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8">
    <tabColor rgb="FFFF6600"/>
  </sheetPr>
  <dimension ref="A1:E341"/>
  <sheetViews>
    <sheetView showGridLines="0" showRowColHeaders="0" topLeftCell="A17" workbookViewId="0">
      <selection activeCell="A15" sqref="A15:B15"/>
    </sheetView>
  </sheetViews>
  <sheetFormatPr defaultColWidth="9.140625" defaultRowHeight="12.75" x14ac:dyDescent="0.2"/>
  <cols>
    <col min="1" max="1" width="23.5703125" style="27" bestFit="1" customWidth="1"/>
    <col min="2" max="2" width="131" style="1" customWidth="1"/>
    <col min="3" max="16384" width="9.140625" style="29"/>
  </cols>
  <sheetData>
    <row r="1" spans="1:4" ht="15.75" customHeight="1" x14ac:dyDescent="0.2">
      <c r="A1" s="336" t="s">
        <v>64</v>
      </c>
      <c r="B1" s="336" t="s">
        <v>65</v>
      </c>
      <c r="C1" s="336" t="s">
        <v>393</v>
      </c>
      <c r="D1" s="336" t="s">
        <v>394</v>
      </c>
    </row>
    <row r="2" spans="1:4" ht="12.75" customHeight="1" x14ac:dyDescent="0.2">
      <c r="A2" s="336"/>
      <c r="B2" s="336"/>
      <c r="C2" s="336"/>
      <c r="D2" s="336"/>
    </row>
    <row r="3" spans="1:4" x14ac:dyDescent="0.2">
      <c r="A3" s="98" t="s">
        <v>729</v>
      </c>
      <c r="B3" s="98" t="s">
        <v>730</v>
      </c>
      <c r="C3" s="98">
        <v>15</v>
      </c>
      <c r="D3" s="98">
        <v>20</v>
      </c>
    </row>
    <row r="4" spans="1:4" x14ac:dyDescent="0.2">
      <c r="A4" s="99"/>
      <c r="B4" s="99"/>
      <c r="C4" s="99"/>
      <c r="D4" s="99"/>
    </row>
    <row r="5" spans="1:4" ht="25.5" x14ac:dyDescent="0.2">
      <c r="A5" s="98" t="s">
        <v>840</v>
      </c>
      <c r="B5" s="140" t="s">
        <v>839</v>
      </c>
      <c r="C5" s="98">
        <v>80</v>
      </c>
      <c r="D5" s="98">
        <v>100</v>
      </c>
    </row>
    <row r="6" spans="1:4" x14ac:dyDescent="0.2">
      <c r="A6" s="99"/>
      <c r="B6" s="147"/>
      <c r="C6" s="99"/>
      <c r="D6" s="99"/>
    </row>
    <row r="7" spans="1:4" x14ac:dyDescent="0.2">
      <c r="A7" s="98" t="s">
        <v>396</v>
      </c>
      <c r="B7" s="98" t="s">
        <v>620</v>
      </c>
      <c r="C7" s="98">
        <v>15</v>
      </c>
      <c r="D7" s="98">
        <v>15</v>
      </c>
    </row>
    <row r="8" spans="1:4" x14ac:dyDescent="0.2">
      <c r="A8" s="99"/>
      <c r="B8" s="99"/>
      <c r="C8" s="99"/>
      <c r="D8" s="99"/>
    </row>
    <row r="9" spans="1:4" x14ac:dyDescent="0.2">
      <c r="A9" s="98" t="s">
        <v>397</v>
      </c>
      <c r="B9" s="98" t="s">
        <v>621</v>
      </c>
      <c r="C9" s="98">
        <v>40</v>
      </c>
      <c r="D9" s="98">
        <v>40</v>
      </c>
    </row>
    <row r="10" spans="1:4" x14ac:dyDescent="0.2">
      <c r="A10" s="99"/>
      <c r="B10" s="99"/>
      <c r="C10" s="99"/>
      <c r="D10" s="99"/>
    </row>
    <row r="11" spans="1:4" ht="25.5" x14ac:dyDescent="0.2">
      <c r="A11" s="98" t="s">
        <v>398</v>
      </c>
      <c r="B11" s="98" t="s">
        <v>622</v>
      </c>
      <c r="C11" s="98">
        <v>20</v>
      </c>
      <c r="D11" s="98">
        <v>20</v>
      </c>
    </row>
    <row r="12" spans="1:4" x14ac:dyDescent="0.2">
      <c r="A12" s="99"/>
      <c r="B12" s="99"/>
      <c r="C12" s="99"/>
      <c r="D12" s="99"/>
    </row>
    <row r="13" spans="1:4" ht="25.5" x14ac:dyDescent="0.2">
      <c r="A13" s="98" t="s">
        <v>746</v>
      </c>
      <c r="B13" s="140" t="s">
        <v>783</v>
      </c>
      <c r="C13" s="98">
        <v>30</v>
      </c>
      <c r="D13" s="98">
        <v>30</v>
      </c>
    </row>
    <row r="14" spans="1:4" x14ac:dyDescent="0.2">
      <c r="A14" s="99"/>
      <c r="B14" s="147"/>
      <c r="C14" s="99"/>
      <c r="D14" s="99"/>
    </row>
    <row r="15" spans="1:4" ht="25.5" x14ac:dyDescent="0.2">
      <c r="A15" s="98" t="s">
        <v>731</v>
      </c>
      <c r="B15" s="98" t="s">
        <v>732</v>
      </c>
      <c r="C15" s="98">
        <v>50</v>
      </c>
      <c r="D15" s="98">
        <v>60</v>
      </c>
    </row>
    <row r="16" spans="1:4" x14ac:dyDescent="0.2">
      <c r="A16" s="99"/>
      <c r="B16" s="99"/>
      <c r="C16" s="99"/>
      <c r="D16" s="99"/>
    </row>
    <row r="17" spans="1:4" x14ac:dyDescent="0.2">
      <c r="A17" s="98" t="s">
        <v>399</v>
      </c>
      <c r="B17" s="140" t="s">
        <v>623</v>
      </c>
      <c r="C17" s="98">
        <v>50</v>
      </c>
      <c r="D17" s="98">
        <v>60</v>
      </c>
    </row>
    <row r="18" spans="1:4" x14ac:dyDescent="0.2">
      <c r="A18" s="99"/>
      <c r="B18" s="147"/>
      <c r="C18" s="99"/>
      <c r="D18" s="99"/>
    </row>
    <row r="19" spans="1:4" x14ac:dyDescent="0.2">
      <c r="A19" s="98" t="s">
        <v>400</v>
      </c>
      <c r="B19" s="140" t="s">
        <v>624</v>
      </c>
      <c r="C19" s="98">
        <v>60</v>
      </c>
      <c r="D19" s="98">
        <v>70</v>
      </c>
    </row>
    <row r="20" spans="1:4" x14ac:dyDescent="0.2">
      <c r="A20" s="99"/>
      <c r="B20" s="147"/>
      <c r="C20" s="99"/>
      <c r="D20" s="99"/>
    </row>
    <row r="21" spans="1:4" x14ac:dyDescent="0.2">
      <c r="A21" s="98" t="s">
        <v>401</v>
      </c>
      <c r="B21" s="202" t="s">
        <v>625</v>
      </c>
      <c r="C21" s="98">
        <v>80</v>
      </c>
      <c r="D21" s="98">
        <v>90</v>
      </c>
    </row>
    <row r="22" spans="1:4" x14ac:dyDescent="0.2">
      <c r="A22" s="99"/>
      <c r="B22" s="147"/>
      <c r="C22" s="99"/>
      <c r="D22" s="99"/>
    </row>
    <row r="23" spans="1:4" x14ac:dyDescent="0.2">
      <c r="A23" s="98" t="s">
        <v>402</v>
      </c>
      <c r="B23" s="140" t="s">
        <v>626</v>
      </c>
      <c r="C23" s="98">
        <v>20</v>
      </c>
      <c r="D23" s="98">
        <v>20</v>
      </c>
    </row>
    <row r="24" spans="1:4" x14ac:dyDescent="0.2">
      <c r="A24" s="99"/>
      <c r="B24" s="147"/>
      <c r="C24" s="99"/>
      <c r="D24" s="99"/>
    </row>
    <row r="25" spans="1:4" ht="25.5" x14ac:dyDescent="0.2">
      <c r="A25" s="98" t="s">
        <v>403</v>
      </c>
      <c r="B25" s="202" t="s">
        <v>627</v>
      </c>
      <c r="C25" s="98">
        <v>30</v>
      </c>
      <c r="D25" s="98">
        <v>40</v>
      </c>
    </row>
    <row r="26" spans="1:4" x14ac:dyDescent="0.2">
      <c r="A26" s="99"/>
      <c r="B26" s="147"/>
      <c r="C26" s="99"/>
      <c r="D26" s="99"/>
    </row>
    <row r="27" spans="1:4" ht="38.25" x14ac:dyDescent="0.2">
      <c r="A27" s="98" t="s">
        <v>975</v>
      </c>
      <c r="B27" s="140" t="s">
        <v>974</v>
      </c>
      <c r="C27" s="98">
        <v>30</v>
      </c>
      <c r="D27" s="98">
        <v>40</v>
      </c>
    </row>
    <row r="28" spans="1:4" x14ac:dyDescent="0.2">
      <c r="A28" s="99"/>
      <c r="B28" s="147"/>
      <c r="C28" s="99"/>
      <c r="D28" s="99"/>
    </row>
    <row r="29" spans="1:4" ht="25.5" x14ac:dyDescent="0.2">
      <c r="A29" s="98" t="s">
        <v>404</v>
      </c>
      <c r="B29" s="202" t="s">
        <v>628</v>
      </c>
      <c r="C29" s="98">
        <v>50</v>
      </c>
      <c r="D29" s="98">
        <v>60</v>
      </c>
    </row>
    <row r="30" spans="1:4" x14ac:dyDescent="0.2">
      <c r="A30" s="99"/>
      <c r="B30" s="147"/>
      <c r="C30" s="99"/>
      <c r="D30" s="99"/>
    </row>
    <row r="31" spans="1:4" x14ac:dyDescent="0.2">
      <c r="A31" s="98" t="s">
        <v>405</v>
      </c>
      <c r="B31" s="140" t="s">
        <v>629</v>
      </c>
      <c r="C31" s="98">
        <v>50</v>
      </c>
      <c r="D31" s="98">
        <v>50</v>
      </c>
    </row>
    <row r="32" spans="1:4" x14ac:dyDescent="0.2">
      <c r="A32" s="99"/>
      <c r="B32" s="147"/>
      <c r="C32" s="99"/>
      <c r="D32" s="99"/>
    </row>
    <row r="33" spans="1:4" ht="25.5" x14ac:dyDescent="0.2">
      <c r="A33" s="98" t="s">
        <v>406</v>
      </c>
      <c r="B33" s="202" t="s">
        <v>630</v>
      </c>
      <c r="C33" s="98">
        <v>80</v>
      </c>
      <c r="D33" s="98">
        <v>80</v>
      </c>
    </row>
    <row r="34" spans="1:4" x14ac:dyDescent="0.2">
      <c r="A34" s="99"/>
      <c r="B34" s="147"/>
      <c r="C34" s="99"/>
      <c r="D34" s="99"/>
    </row>
    <row r="35" spans="1:4" ht="25.5" x14ac:dyDescent="0.2">
      <c r="A35" s="98" t="s">
        <v>321</v>
      </c>
      <c r="B35" s="140" t="s">
        <v>631</v>
      </c>
      <c r="C35" s="98">
        <v>70</v>
      </c>
      <c r="D35" s="98">
        <v>70</v>
      </c>
    </row>
    <row r="36" spans="1:4" x14ac:dyDescent="0.2">
      <c r="A36" s="99"/>
      <c r="B36" s="147"/>
      <c r="C36" s="99"/>
      <c r="D36" s="99"/>
    </row>
    <row r="37" spans="1:4" ht="38.25" x14ac:dyDescent="0.2">
      <c r="A37" s="98" t="s">
        <v>407</v>
      </c>
      <c r="B37" s="202" t="s">
        <v>788</v>
      </c>
      <c r="C37" s="98">
        <v>50</v>
      </c>
      <c r="D37" s="98">
        <v>50</v>
      </c>
    </row>
    <row r="38" spans="1:4" x14ac:dyDescent="0.2">
      <c r="A38" s="99"/>
      <c r="B38" s="147"/>
      <c r="C38" s="99"/>
      <c r="D38" s="99"/>
    </row>
    <row r="39" spans="1:4" ht="38.25" x14ac:dyDescent="0.2">
      <c r="A39" s="98" t="s">
        <v>336</v>
      </c>
      <c r="B39" s="140" t="s">
        <v>789</v>
      </c>
      <c r="C39" s="98">
        <v>50</v>
      </c>
      <c r="D39" s="98">
        <v>50</v>
      </c>
    </row>
    <row r="40" spans="1:4" x14ac:dyDescent="0.2">
      <c r="A40" s="99"/>
      <c r="B40" s="147"/>
      <c r="C40" s="99"/>
      <c r="D40" s="99"/>
    </row>
    <row r="41" spans="1:4" ht="25.5" x14ac:dyDescent="0.2">
      <c r="A41" s="98" t="s">
        <v>408</v>
      </c>
      <c r="B41" s="202" t="s">
        <v>632</v>
      </c>
      <c r="C41" s="98">
        <v>30</v>
      </c>
      <c r="D41" s="98">
        <v>30</v>
      </c>
    </row>
    <row r="42" spans="1:4" x14ac:dyDescent="0.2">
      <c r="A42" s="99"/>
      <c r="B42" s="147"/>
      <c r="C42" s="99"/>
      <c r="D42" s="99"/>
    </row>
    <row r="43" spans="1:4" x14ac:dyDescent="0.2">
      <c r="A43" s="98" t="s">
        <v>739</v>
      </c>
      <c r="B43" s="140" t="s">
        <v>742</v>
      </c>
      <c r="C43" s="98">
        <v>60</v>
      </c>
      <c r="D43" s="98">
        <v>60</v>
      </c>
    </row>
    <row r="44" spans="1:4" x14ac:dyDescent="0.2">
      <c r="A44" s="99"/>
      <c r="B44" s="147"/>
      <c r="C44" s="99"/>
      <c r="D44" s="99"/>
    </row>
    <row r="45" spans="1:4" x14ac:dyDescent="0.2">
      <c r="A45" s="98" t="s">
        <v>740</v>
      </c>
      <c r="B45" s="202" t="s">
        <v>790</v>
      </c>
      <c r="C45" s="98">
        <v>40</v>
      </c>
      <c r="D45" s="98">
        <v>40</v>
      </c>
    </row>
    <row r="46" spans="1:4" x14ac:dyDescent="0.2">
      <c r="A46" s="99"/>
      <c r="B46" s="147"/>
      <c r="C46" s="99"/>
      <c r="D46" s="99"/>
    </row>
    <row r="47" spans="1:4" x14ac:dyDescent="0.2">
      <c r="A47" s="98" t="s">
        <v>741</v>
      </c>
      <c r="B47" s="140" t="s">
        <v>791</v>
      </c>
      <c r="C47" s="98">
        <v>20</v>
      </c>
      <c r="D47" s="98">
        <v>20</v>
      </c>
    </row>
    <row r="48" spans="1:4" x14ac:dyDescent="0.2">
      <c r="A48" s="99"/>
      <c r="B48" s="147"/>
      <c r="C48" s="99"/>
      <c r="D48" s="99"/>
    </row>
    <row r="49" spans="1:4" ht="38.25" x14ac:dyDescent="0.2">
      <c r="A49" s="98" t="s">
        <v>950</v>
      </c>
      <c r="B49" s="202" t="s">
        <v>973</v>
      </c>
      <c r="C49" s="98">
        <v>60</v>
      </c>
      <c r="D49" s="98">
        <v>80</v>
      </c>
    </row>
    <row r="50" spans="1:4" x14ac:dyDescent="0.2">
      <c r="A50" s="99"/>
      <c r="B50" s="147"/>
      <c r="C50" s="99"/>
      <c r="D50" s="99"/>
    </row>
    <row r="51" spans="1:4" x14ac:dyDescent="0.2">
      <c r="A51" s="98" t="s">
        <v>409</v>
      </c>
      <c r="B51" s="140" t="s">
        <v>633</v>
      </c>
      <c r="C51" s="98">
        <v>75</v>
      </c>
      <c r="D51" s="98">
        <v>75</v>
      </c>
    </row>
    <row r="52" spans="1:4" x14ac:dyDescent="0.2">
      <c r="A52" s="99"/>
      <c r="B52" s="147"/>
      <c r="C52" s="99"/>
      <c r="D52" s="99"/>
    </row>
    <row r="53" spans="1:4" ht="25.5" x14ac:dyDescent="0.2">
      <c r="A53" s="98" t="s">
        <v>410</v>
      </c>
      <c r="B53" s="202" t="s">
        <v>792</v>
      </c>
      <c r="C53" s="98">
        <v>50</v>
      </c>
      <c r="D53" s="98">
        <v>70</v>
      </c>
    </row>
    <row r="54" spans="1:4" x14ac:dyDescent="0.2">
      <c r="A54" s="99"/>
      <c r="B54" s="147"/>
      <c r="C54" s="99"/>
      <c r="D54" s="99"/>
    </row>
    <row r="55" spans="1:4" ht="63.75" x14ac:dyDescent="0.2">
      <c r="A55" s="98" t="s">
        <v>411</v>
      </c>
      <c r="B55" s="140" t="s">
        <v>634</v>
      </c>
      <c r="C55" s="98">
        <v>50</v>
      </c>
      <c r="D55" s="98">
        <v>70</v>
      </c>
    </row>
    <row r="56" spans="1:4" x14ac:dyDescent="0.2">
      <c r="A56" s="99"/>
      <c r="B56" s="147"/>
      <c r="C56" s="99"/>
      <c r="D56" s="99"/>
    </row>
    <row r="57" spans="1:4" ht="25.5" x14ac:dyDescent="0.2">
      <c r="A57" s="98" t="s">
        <v>744</v>
      </c>
      <c r="B57" s="202" t="s">
        <v>745</v>
      </c>
      <c r="C57" s="98">
        <v>50</v>
      </c>
      <c r="D57" s="98">
        <v>50</v>
      </c>
    </row>
    <row r="58" spans="1:4" x14ac:dyDescent="0.2">
      <c r="A58" s="99"/>
      <c r="B58" s="147"/>
      <c r="C58" s="99"/>
      <c r="D58" s="99"/>
    </row>
    <row r="59" spans="1:4" x14ac:dyDescent="0.2">
      <c r="A59" s="98" t="s">
        <v>412</v>
      </c>
      <c r="B59" s="140" t="s">
        <v>637</v>
      </c>
      <c r="C59" s="98">
        <v>40</v>
      </c>
      <c r="D59" s="98">
        <v>40</v>
      </c>
    </row>
    <row r="60" spans="1:4" x14ac:dyDescent="0.2">
      <c r="A60" s="99"/>
      <c r="B60" s="147"/>
      <c r="C60" s="99"/>
      <c r="D60" s="99"/>
    </row>
    <row r="61" spans="1:4" ht="38.25" x14ac:dyDescent="0.2">
      <c r="A61" s="98" t="s">
        <v>413</v>
      </c>
      <c r="B61" s="202" t="s">
        <v>795</v>
      </c>
      <c r="C61" s="98">
        <v>80</v>
      </c>
      <c r="D61" s="98">
        <v>80</v>
      </c>
    </row>
    <row r="62" spans="1:4" x14ac:dyDescent="0.2">
      <c r="A62" s="99"/>
      <c r="B62" s="147"/>
      <c r="C62" s="99"/>
      <c r="D62" s="99"/>
    </row>
    <row r="63" spans="1:4" x14ac:dyDescent="0.2">
      <c r="A63" s="98" t="s">
        <v>747</v>
      </c>
      <c r="B63" s="140" t="s">
        <v>748</v>
      </c>
      <c r="C63" s="98">
        <v>40</v>
      </c>
      <c r="D63" s="98">
        <v>50</v>
      </c>
    </row>
    <row r="64" spans="1:4" x14ac:dyDescent="0.2">
      <c r="A64" s="99"/>
      <c r="B64" s="147"/>
      <c r="C64" s="99"/>
      <c r="D64" s="99"/>
    </row>
    <row r="65" spans="1:4" x14ac:dyDescent="0.2">
      <c r="A65" s="98" t="s">
        <v>414</v>
      </c>
      <c r="B65" s="202" t="s">
        <v>638</v>
      </c>
      <c r="C65" s="98">
        <v>60</v>
      </c>
      <c r="D65" s="98">
        <v>60</v>
      </c>
    </row>
    <row r="66" spans="1:4" x14ac:dyDescent="0.2">
      <c r="A66" s="99"/>
      <c r="B66" s="147"/>
      <c r="C66" s="99"/>
      <c r="D66" s="99"/>
    </row>
    <row r="67" spans="1:4" ht="38.25" x14ac:dyDescent="0.2">
      <c r="A67" s="98" t="s">
        <v>733</v>
      </c>
      <c r="B67" s="98" t="s">
        <v>796</v>
      </c>
      <c r="C67" s="98">
        <v>125</v>
      </c>
      <c r="D67" s="98">
        <v>150</v>
      </c>
    </row>
    <row r="68" spans="1:4" x14ac:dyDescent="0.2">
      <c r="A68" s="99"/>
      <c r="B68" s="99"/>
      <c r="C68" s="99"/>
      <c r="D68" s="99"/>
    </row>
    <row r="69" spans="1:4" ht="25.5" x14ac:dyDescent="0.2">
      <c r="A69" s="98" t="s">
        <v>415</v>
      </c>
      <c r="B69" s="202" t="s">
        <v>639</v>
      </c>
      <c r="C69" s="98">
        <v>40</v>
      </c>
      <c r="D69" s="98">
        <v>40</v>
      </c>
    </row>
    <row r="70" spans="1:4" x14ac:dyDescent="0.2">
      <c r="A70" s="99"/>
      <c r="B70" s="147"/>
      <c r="C70" s="99"/>
      <c r="D70" s="99"/>
    </row>
    <row r="71" spans="1:4" x14ac:dyDescent="0.2">
      <c r="A71" s="98" t="s">
        <v>794</v>
      </c>
      <c r="B71" s="140" t="s">
        <v>635</v>
      </c>
      <c r="C71" s="98">
        <v>40</v>
      </c>
      <c r="D71" s="98">
        <v>60</v>
      </c>
    </row>
    <row r="72" spans="1:4" x14ac:dyDescent="0.2">
      <c r="A72" s="99"/>
      <c r="B72" s="147"/>
      <c r="C72" s="99"/>
      <c r="D72" s="99"/>
    </row>
    <row r="73" spans="1:4" ht="25.5" x14ac:dyDescent="0.2">
      <c r="A73" s="98" t="s">
        <v>793</v>
      </c>
      <c r="B73" s="202" t="s">
        <v>636</v>
      </c>
      <c r="C73" s="98">
        <v>60</v>
      </c>
      <c r="D73" s="98">
        <v>80</v>
      </c>
    </row>
    <row r="74" spans="1:4" x14ac:dyDescent="0.2">
      <c r="A74" s="99"/>
      <c r="B74" s="147"/>
      <c r="C74" s="99"/>
      <c r="D74" s="99"/>
    </row>
    <row r="75" spans="1:4" x14ac:dyDescent="0.2">
      <c r="A75" s="98" t="s">
        <v>416</v>
      </c>
      <c r="B75" s="140" t="s">
        <v>640</v>
      </c>
      <c r="C75" s="98">
        <v>40</v>
      </c>
      <c r="D75" s="98">
        <v>40</v>
      </c>
    </row>
    <row r="76" spans="1:4" x14ac:dyDescent="0.2">
      <c r="A76" s="99"/>
      <c r="B76" s="147"/>
      <c r="C76" s="99"/>
      <c r="D76" s="99"/>
    </row>
    <row r="77" spans="1:4" x14ac:dyDescent="0.2">
      <c r="A77" s="98" t="s">
        <v>417</v>
      </c>
      <c r="B77" s="202" t="s">
        <v>797</v>
      </c>
      <c r="C77" s="98">
        <v>30</v>
      </c>
      <c r="D77" s="98">
        <v>50</v>
      </c>
    </row>
    <row r="78" spans="1:4" x14ac:dyDescent="0.2">
      <c r="A78" s="99"/>
      <c r="B78" s="147"/>
      <c r="C78" s="99"/>
      <c r="D78" s="99"/>
    </row>
    <row r="79" spans="1:4" ht="51" x14ac:dyDescent="0.2">
      <c r="A79" s="98" t="s">
        <v>524</v>
      </c>
      <c r="B79" s="140" t="s">
        <v>838</v>
      </c>
      <c r="C79" s="98">
        <v>150</v>
      </c>
      <c r="D79" s="98">
        <v>200</v>
      </c>
    </row>
    <row r="80" spans="1:4" x14ac:dyDescent="0.2">
      <c r="A80" s="99"/>
      <c r="B80" s="147"/>
      <c r="C80" s="99"/>
      <c r="D80" s="99"/>
    </row>
    <row r="81" spans="1:4" ht="25.5" x14ac:dyDescent="0.2">
      <c r="A81" s="98" t="s">
        <v>522</v>
      </c>
      <c r="B81" s="202" t="s">
        <v>641</v>
      </c>
      <c r="C81" s="98">
        <v>60</v>
      </c>
      <c r="D81" s="98">
        <v>80</v>
      </c>
    </row>
    <row r="82" spans="1:4" x14ac:dyDescent="0.2">
      <c r="A82" s="99"/>
      <c r="B82" s="147"/>
      <c r="C82" s="99"/>
      <c r="D82" s="99"/>
    </row>
    <row r="83" spans="1:4" x14ac:dyDescent="0.2">
      <c r="A83" s="98" t="s">
        <v>418</v>
      </c>
      <c r="B83" s="98" t="s">
        <v>642</v>
      </c>
      <c r="C83" s="98">
        <v>30</v>
      </c>
      <c r="D83" s="98">
        <v>40</v>
      </c>
    </row>
    <row r="84" spans="1:4" x14ac:dyDescent="0.2">
      <c r="A84" s="99"/>
      <c r="B84" s="99"/>
      <c r="C84" s="99"/>
      <c r="D84" s="99"/>
    </row>
    <row r="85" spans="1:4" x14ac:dyDescent="0.2">
      <c r="A85" s="98" t="s">
        <v>419</v>
      </c>
      <c r="B85" s="202" t="s">
        <v>643</v>
      </c>
      <c r="C85" s="98">
        <v>40</v>
      </c>
      <c r="D85" s="98">
        <v>50</v>
      </c>
    </row>
    <row r="86" spans="1:4" x14ac:dyDescent="0.2">
      <c r="A86" s="99"/>
      <c r="B86" s="147"/>
      <c r="C86" s="99"/>
      <c r="D86" s="99"/>
    </row>
    <row r="87" spans="1:4" x14ac:dyDescent="0.2">
      <c r="A87" s="98" t="s">
        <v>420</v>
      </c>
      <c r="B87" s="98" t="s">
        <v>644</v>
      </c>
      <c r="C87" s="98">
        <v>50</v>
      </c>
      <c r="D87" s="98">
        <v>60</v>
      </c>
    </row>
    <row r="88" spans="1:4" x14ac:dyDescent="0.2">
      <c r="A88" s="99"/>
      <c r="B88" s="99"/>
      <c r="C88" s="99"/>
      <c r="D88" s="99"/>
    </row>
    <row r="89" spans="1:4" ht="25.5" x14ac:dyDescent="0.2">
      <c r="A89" s="98" t="s">
        <v>421</v>
      </c>
      <c r="B89" s="202" t="s">
        <v>798</v>
      </c>
      <c r="C89" s="98">
        <v>40</v>
      </c>
      <c r="D89" s="98">
        <v>40</v>
      </c>
    </row>
    <row r="90" spans="1:4" x14ac:dyDescent="0.2">
      <c r="A90" s="99"/>
      <c r="B90" s="147"/>
      <c r="C90" s="99"/>
      <c r="D90" s="99"/>
    </row>
    <row r="91" spans="1:4" x14ac:dyDescent="0.2">
      <c r="A91" s="98" t="s">
        <v>422</v>
      </c>
      <c r="B91" s="140" t="s">
        <v>645</v>
      </c>
      <c r="C91" s="98">
        <v>30</v>
      </c>
      <c r="D91" s="98">
        <v>30</v>
      </c>
    </row>
    <row r="92" spans="1:4" x14ac:dyDescent="0.2">
      <c r="A92" s="99"/>
      <c r="B92" s="147"/>
      <c r="C92" s="99"/>
      <c r="D92" s="99"/>
    </row>
    <row r="93" spans="1:4" ht="25.5" x14ac:dyDescent="0.2">
      <c r="A93" s="98" t="s">
        <v>728</v>
      </c>
      <c r="B93" s="202" t="s">
        <v>799</v>
      </c>
      <c r="C93" s="98">
        <v>40</v>
      </c>
      <c r="D93" s="98">
        <v>40</v>
      </c>
    </row>
    <row r="94" spans="1:4" x14ac:dyDescent="0.2">
      <c r="A94" s="99"/>
      <c r="B94" s="147"/>
      <c r="C94" s="99"/>
      <c r="D94" s="99"/>
    </row>
    <row r="95" spans="1:4" ht="38.25" x14ac:dyDescent="0.2">
      <c r="A95" s="98" t="s">
        <v>423</v>
      </c>
      <c r="B95" s="140" t="s">
        <v>646</v>
      </c>
      <c r="C95" s="98">
        <v>40</v>
      </c>
      <c r="D95" s="98">
        <v>40</v>
      </c>
    </row>
    <row r="96" spans="1:4" x14ac:dyDescent="0.2">
      <c r="A96" s="99"/>
      <c r="B96" s="147"/>
      <c r="C96" s="99"/>
      <c r="D96" s="99"/>
    </row>
    <row r="97" spans="1:4" x14ac:dyDescent="0.2">
      <c r="A97" s="98" t="s">
        <v>424</v>
      </c>
      <c r="B97" s="202" t="s">
        <v>800</v>
      </c>
      <c r="C97" s="98">
        <v>20</v>
      </c>
      <c r="D97" s="98">
        <v>20</v>
      </c>
    </row>
    <row r="98" spans="1:4" x14ac:dyDescent="0.2">
      <c r="A98" s="99"/>
      <c r="B98" s="147"/>
      <c r="C98" s="99"/>
      <c r="D98" s="99"/>
    </row>
    <row r="99" spans="1:4" x14ac:dyDescent="0.2">
      <c r="A99" s="98" t="s">
        <v>425</v>
      </c>
      <c r="B99" s="98" t="s">
        <v>647</v>
      </c>
      <c r="C99" s="98">
        <v>50</v>
      </c>
      <c r="D99" s="98">
        <v>100</v>
      </c>
    </row>
    <row r="100" spans="1:4" x14ac:dyDescent="0.2">
      <c r="A100" s="99"/>
      <c r="B100" s="99"/>
      <c r="C100" s="99"/>
      <c r="D100" s="99"/>
    </row>
    <row r="101" spans="1:4" ht="25.5" x14ac:dyDescent="0.2">
      <c r="A101" s="98" t="s">
        <v>960</v>
      </c>
      <c r="B101" s="140" t="s">
        <v>978</v>
      </c>
      <c r="C101" s="98">
        <v>35</v>
      </c>
      <c r="D101" s="98">
        <v>35</v>
      </c>
    </row>
    <row r="102" spans="1:4" x14ac:dyDescent="0.2">
      <c r="A102" s="99"/>
      <c r="B102" s="147"/>
      <c r="C102" s="99"/>
      <c r="D102" s="99"/>
    </row>
    <row r="103" spans="1:4" x14ac:dyDescent="0.2">
      <c r="A103" s="98" t="s">
        <v>515</v>
      </c>
      <c r="B103" s="140" t="s">
        <v>648</v>
      </c>
      <c r="C103" s="98">
        <v>20</v>
      </c>
      <c r="D103" s="98">
        <v>20</v>
      </c>
    </row>
    <row r="104" spans="1:4" x14ac:dyDescent="0.2">
      <c r="A104" s="99"/>
      <c r="B104" s="147"/>
      <c r="C104" s="99"/>
      <c r="D104" s="99"/>
    </row>
    <row r="105" spans="1:4" ht="51" x14ac:dyDescent="0.2">
      <c r="A105" s="98" t="s">
        <v>426</v>
      </c>
      <c r="B105" s="202" t="s">
        <v>649</v>
      </c>
      <c r="C105" s="98">
        <v>70</v>
      </c>
      <c r="D105" s="98">
        <v>90</v>
      </c>
    </row>
    <row r="106" spans="1:4" x14ac:dyDescent="0.2">
      <c r="A106" s="99"/>
      <c r="B106" s="147"/>
      <c r="C106" s="99"/>
      <c r="D106" s="99"/>
    </row>
    <row r="107" spans="1:4" ht="72.75" x14ac:dyDescent="0.2">
      <c r="A107" s="98" t="s">
        <v>802</v>
      </c>
      <c r="B107" s="140" t="s">
        <v>801</v>
      </c>
      <c r="C107" s="98">
        <v>40</v>
      </c>
      <c r="D107" s="98">
        <v>40</v>
      </c>
    </row>
    <row r="108" spans="1:4" x14ac:dyDescent="0.2">
      <c r="A108" s="99"/>
      <c r="B108" s="147"/>
      <c r="C108" s="99"/>
      <c r="D108" s="99"/>
    </row>
    <row r="109" spans="1:4" ht="25.5" x14ac:dyDescent="0.2">
      <c r="A109" s="98" t="s">
        <v>727</v>
      </c>
      <c r="B109" s="202" t="s">
        <v>743</v>
      </c>
      <c r="C109" s="98">
        <v>80</v>
      </c>
      <c r="D109" s="98">
        <v>100</v>
      </c>
    </row>
    <row r="110" spans="1:4" x14ac:dyDescent="0.2">
      <c r="A110" s="99"/>
      <c r="B110" s="147"/>
      <c r="C110" s="99"/>
      <c r="D110" s="99"/>
    </row>
    <row r="111" spans="1:4" ht="38.25" x14ac:dyDescent="0.2">
      <c r="A111" s="98" t="s">
        <v>427</v>
      </c>
      <c r="B111" s="140" t="s">
        <v>650</v>
      </c>
      <c r="C111" s="98">
        <v>30</v>
      </c>
      <c r="D111" s="98">
        <v>30</v>
      </c>
    </row>
    <row r="112" spans="1:4" x14ac:dyDescent="0.2">
      <c r="A112" s="99"/>
      <c r="B112" s="147"/>
      <c r="C112" s="99"/>
      <c r="D112" s="99"/>
    </row>
    <row r="113" spans="1:4" x14ac:dyDescent="0.2">
      <c r="A113" s="98" t="s">
        <v>516</v>
      </c>
      <c r="B113" s="202" t="s">
        <v>651</v>
      </c>
      <c r="C113" s="98">
        <v>70</v>
      </c>
      <c r="D113" s="98">
        <v>70</v>
      </c>
    </row>
    <row r="114" spans="1:4" x14ac:dyDescent="0.2">
      <c r="A114" s="99"/>
      <c r="B114" s="147"/>
      <c r="C114" s="99"/>
      <c r="D114" s="99"/>
    </row>
    <row r="115" spans="1:4" ht="25.5" x14ac:dyDescent="0.2">
      <c r="A115" s="98" t="s">
        <v>363</v>
      </c>
      <c r="B115" s="140" t="s">
        <v>652</v>
      </c>
      <c r="C115" s="98">
        <v>150</v>
      </c>
      <c r="D115" s="98">
        <v>175</v>
      </c>
    </row>
    <row r="116" spans="1:4" x14ac:dyDescent="0.2">
      <c r="A116" s="99"/>
      <c r="B116" s="147"/>
      <c r="C116" s="99"/>
      <c r="D116" s="99"/>
    </row>
    <row r="117" spans="1:4" ht="25.5" x14ac:dyDescent="0.2">
      <c r="A117" s="98" t="s">
        <v>364</v>
      </c>
      <c r="B117" s="202" t="s">
        <v>653</v>
      </c>
      <c r="C117" s="98">
        <v>100</v>
      </c>
      <c r="D117" s="98">
        <v>110</v>
      </c>
    </row>
    <row r="118" spans="1:4" x14ac:dyDescent="0.2">
      <c r="A118" s="99"/>
      <c r="B118" s="147"/>
      <c r="C118" s="99"/>
      <c r="D118" s="99"/>
    </row>
    <row r="119" spans="1:4" ht="25.5" x14ac:dyDescent="0.2">
      <c r="A119" s="98" t="s">
        <v>428</v>
      </c>
      <c r="B119" s="140" t="s">
        <v>803</v>
      </c>
      <c r="C119" s="98">
        <v>50</v>
      </c>
      <c r="D119" s="98">
        <v>50</v>
      </c>
    </row>
    <row r="120" spans="1:4" x14ac:dyDescent="0.2">
      <c r="A120" s="99"/>
      <c r="B120" s="147"/>
      <c r="C120" s="99"/>
      <c r="D120" s="99"/>
    </row>
    <row r="121" spans="1:4" ht="38.25" x14ac:dyDescent="0.2">
      <c r="A121" s="98" t="s">
        <v>841</v>
      </c>
      <c r="B121" s="202" t="s">
        <v>846</v>
      </c>
      <c r="C121" s="98">
        <v>50</v>
      </c>
      <c r="D121" s="98">
        <v>70</v>
      </c>
    </row>
    <row r="122" spans="1:4" x14ac:dyDescent="0.2">
      <c r="A122" s="99"/>
      <c r="B122" s="147"/>
      <c r="C122" s="99"/>
      <c r="D122" s="99"/>
    </row>
    <row r="123" spans="1:4" ht="38.25" x14ac:dyDescent="0.2">
      <c r="A123" s="98" t="s">
        <v>369</v>
      </c>
      <c r="B123" s="140" t="s">
        <v>654</v>
      </c>
      <c r="C123" s="98">
        <v>60</v>
      </c>
      <c r="D123" s="98">
        <v>60</v>
      </c>
    </row>
    <row r="124" spans="1:4" x14ac:dyDescent="0.2">
      <c r="A124" s="99"/>
      <c r="B124" s="147"/>
      <c r="C124" s="99"/>
      <c r="D124" s="99"/>
    </row>
    <row r="125" spans="1:4" x14ac:dyDescent="0.2">
      <c r="A125" s="98" t="s">
        <v>429</v>
      </c>
      <c r="B125" s="202" t="s">
        <v>655</v>
      </c>
      <c r="C125" s="98">
        <v>20</v>
      </c>
      <c r="D125" s="98">
        <v>20</v>
      </c>
    </row>
    <row r="126" spans="1:4" x14ac:dyDescent="0.2">
      <c r="A126" s="99"/>
      <c r="B126" s="147"/>
      <c r="C126" s="99"/>
      <c r="D126" s="99"/>
    </row>
    <row r="127" spans="1:4" x14ac:dyDescent="0.2">
      <c r="A127" s="98" t="s">
        <v>514</v>
      </c>
      <c r="B127" s="140" t="s">
        <v>656</v>
      </c>
      <c r="C127" s="98">
        <v>40</v>
      </c>
      <c r="D127" s="98">
        <v>40</v>
      </c>
    </row>
    <row r="128" spans="1:4" x14ac:dyDescent="0.2">
      <c r="A128" s="99"/>
      <c r="B128" s="147"/>
      <c r="C128" s="99"/>
      <c r="D128" s="99"/>
    </row>
    <row r="129" spans="1:4" x14ac:dyDescent="0.2">
      <c r="A129" s="98" t="s">
        <v>430</v>
      </c>
      <c r="B129" s="140" t="s">
        <v>449</v>
      </c>
      <c r="C129" s="98">
        <v>40</v>
      </c>
      <c r="D129" s="98">
        <v>80</v>
      </c>
    </row>
    <row r="130" spans="1:4" x14ac:dyDescent="0.2">
      <c r="A130" s="99"/>
      <c r="B130" s="147"/>
      <c r="C130" s="99"/>
      <c r="D130" s="99"/>
    </row>
    <row r="131" spans="1:4" ht="25.5" x14ac:dyDescent="0.2">
      <c r="A131" s="98" t="s">
        <v>958</v>
      </c>
      <c r="B131" s="140" t="s">
        <v>977</v>
      </c>
      <c r="C131" s="98">
        <v>60</v>
      </c>
      <c r="D131" s="98">
        <v>80</v>
      </c>
    </row>
    <row r="132" spans="1:4" x14ac:dyDescent="0.2">
      <c r="A132" s="99"/>
      <c r="B132" s="147"/>
      <c r="C132" s="99"/>
      <c r="D132" s="99"/>
    </row>
    <row r="133" spans="1:4" ht="25.5" x14ac:dyDescent="0.2">
      <c r="A133" s="98" t="s">
        <v>431</v>
      </c>
      <c r="B133" s="140" t="s">
        <v>657</v>
      </c>
      <c r="C133" s="98">
        <v>70</v>
      </c>
      <c r="D133" s="98">
        <v>90</v>
      </c>
    </row>
    <row r="134" spans="1:4" x14ac:dyDescent="0.2">
      <c r="A134" s="99"/>
      <c r="B134" s="147"/>
      <c r="C134" s="99"/>
      <c r="D134" s="99"/>
    </row>
    <row r="135" spans="1:4" ht="25.5" x14ac:dyDescent="0.2">
      <c r="A135" s="98" t="s">
        <v>432</v>
      </c>
      <c r="B135" s="140" t="s">
        <v>804</v>
      </c>
      <c r="C135" s="98">
        <v>50</v>
      </c>
      <c r="D135" s="98">
        <v>50</v>
      </c>
    </row>
    <row r="136" spans="1:4" x14ac:dyDescent="0.2">
      <c r="A136" s="99"/>
      <c r="B136" s="147"/>
      <c r="C136" s="99"/>
      <c r="D136" s="99"/>
    </row>
    <row r="137" spans="1:4" ht="25.5" x14ac:dyDescent="0.2">
      <c r="A137" s="98" t="s">
        <v>433</v>
      </c>
      <c r="B137" s="140" t="s">
        <v>805</v>
      </c>
      <c r="C137" s="98">
        <v>30</v>
      </c>
      <c r="D137" s="98">
        <v>30</v>
      </c>
    </row>
    <row r="138" spans="1:4" x14ac:dyDescent="0.2">
      <c r="A138" s="99"/>
      <c r="B138" s="147"/>
      <c r="C138" s="99"/>
      <c r="D138" s="99"/>
    </row>
    <row r="139" spans="1:4" ht="25.5" x14ac:dyDescent="0.2">
      <c r="A139" s="98" t="s">
        <v>434</v>
      </c>
      <c r="B139" s="140" t="s">
        <v>658</v>
      </c>
      <c r="C139" s="98">
        <v>50</v>
      </c>
      <c r="D139" s="98">
        <v>50</v>
      </c>
    </row>
    <row r="140" spans="1:4" x14ac:dyDescent="0.2">
      <c r="A140" s="99"/>
      <c r="B140" s="147"/>
      <c r="C140" s="99"/>
      <c r="D140" s="99"/>
    </row>
    <row r="141" spans="1:4" ht="25.5" x14ac:dyDescent="0.2">
      <c r="A141" s="98" t="s">
        <v>450</v>
      </c>
      <c r="B141" s="202" t="s">
        <v>806</v>
      </c>
      <c r="C141" s="98">
        <v>60</v>
      </c>
      <c r="D141" s="98">
        <v>120</v>
      </c>
    </row>
    <row r="142" spans="1:4" x14ac:dyDescent="0.2">
      <c r="A142" s="99"/>
      <c r="B142" s="147"/>
      <c r="C142" s="99"/>
      <c r="D142" s="99"/>
    </row>
    <row r="143" spans="1:4" x14ac:dyDescent="0.2">
      <c r="A143" s="98" t="s">
        <v>493</v>
      </c>
      <c r="B143" s="140" t="s">
        <v>523</v>
      </c>
      <c r="C143" s="98">
        <v>60</v>
      </c>
      <c r="D143" s="98">
        <v>120</v>
      </c>
    </row>
    <row r="144" spans="1:4" x14ac:dyDescent="0.2">
      <c r="A144" s="99"/>
      <c r="B144" s="147"/>
      <c r="C144" s="99"/>
      <c r="D144" s="99"/>
    </row>
    <row r="145" spans="1:4" ht="25.5" x14ac:dyDescent="0.2">
      <c r="A145" s="98" t="s">
        <v>513</v>
      </c>
      <c r="B145" s="202" t="s">
        <v>807</v>
      </c>
      <c r="C145" s="98">
        <v>50</v>
      </c>
      <c r="D145" s="98">
        <v>50</v>
      </c>
    </row>
    <row r="146" spans="1:4" x14ac:dyDescent="0.2">
      <c r="A146" s="99"/>
      <c r="B146" s="147"/>
      <c r="C146" s="99"/>
      <c r="D146" s="99"/>
    </row>
    <row r="147" spans="1:4" ht="25.5" x14ac:dyDescent="0.2">
      <c r="A147" s="98" t="s">
        <v>435</v>
      </c>
      <c r="B147" s="140" t="s">
        <v>659</v>
      </c>
      <c r="C147" s="98">
        <v>40</v>
      </c>
      <c r="D147" s="98">
        <v>40</v>
      </c>
    </row>
    <row r="148" spans="1:4" x14ac:dyDescent="0.2">
      <c r="A148" s="99"/>
      <c r="B148" s="147"/>
      <c r="C148" s="99"/>
      <c r="D148" s="99"/>
    </row>
    <row r="149" spans="1:4" ht="25.5" x14ac:dyDescent="0.2">
      <c r="A149" s="98" t="s">
        <v>952</v>
      </c>
      <c r="B149" s="202" t="s">
        <v>976</v>
      </c>
      <c r="C149" s="98">
        <v>50</v>
      </c>
      <c r="D149" s="98">
        <v>50</v>
      </c>
    </row>
    <row r="150" spans="1:4" x14ac:dyDescent="0.2">
      <c r="A150" s="99"/>
      <c r="B150" s="147"/>
      <c r="C150" s="99"/>
      <c r="D150" s="99"/>
    </row>
    <row r="151" spans="1:4" ht="25.5" x14ac:dyDescent="0.2">
      <c r="A151" s="98" t="s">
        <v>959</v>
      </c>
      <c r="B151" s="140" t="s">
        <v>979</v>
      </c>
      <c r="C151" s="98">
        <v>60</v>
      </c>
      <c r="D151" s="98">
        <v>60</v>
      </c>
    </row>
    <row r="152" spans="1:4" x14ac:dyDescent="0.2">
      <c r="A152" s="99"/>
      <c r="B152" s="147"/>
      <c r="C152" s="99"/>
      <c r="D152" s="99"/>
    </row>
    <row r="153" spans="1:4" ht="25.5" x14ac:dyDescent="0.2">
      <c r="A153" s="98" t="s">
        <v>436</v>
      </c>
      <c r="B153" s="202" t="s">
        <v>660</v>
      </c>
      <c r="C153" s="98">
        <v>50</v>
      </c>
      <c r="D153" s="98">
        <v>80</v>
      </c>
    </row>
    <row r="154" spans="1:4" x14ac:dyDescent="0.2">
      <c r="A154" s="99"/>
      <c r="B154" s="147"/>
      <c r="C154" s="99"/>
      <c r="D154" s="99"/>
    </row>
    <row r="155" spans="1:4" ht="25.5" x14ac:dyDescent="0.2">
      <c r="A155" s="98" t="s">
        <v>437</v>
      </c>
      <c r="B155" s="140" t="s">
        <v>661</v>
      </c>
      <c r="C155" s="98">
        <v>30</v>
      </c>
      <c r="D155" s="98">
        <v>30</v>
      </c>
    </row>
    <row r="156" spans="1:4" x14ac:dyDescent="0.2">
      <c r="A156" s="99"/>
      <c r="B156" s="147"/>
      <c r="C156" s="99"/>
      <c r="D156" s="99"/>
    </row>
    <row r="157" spans="1:4" ht="38.25" x14ac:dyDescent="0.2">
      <c r="A157" s="98" t="s">
        <v>517</v>
      </c>
      <c r="B157" s="202" t="s">
        <v>808</v>
      </c>
      <c r="C157" s="98">
        <v>70</v>
      </c>
      <c r="D157" s="98">
        <v>90</v>
      </c>
    </row>
    <row r="158" spans="1:4" x14ac:dyDescent="0.2">
      <c r="A158" s="99"/>
      <c r="B158" s="147"/>
      <c r="C158" s="99"/>
      <c r="D158" s="99"/>
    </row>
    <row r="159" spans="1:4" x14ac:dyDescent="0.2">
      <c r="A159" s="98" t="s">
        <v>438</v>
      </c>
      <c r="B159" s="140" t="s">
        <v>662</v>
      </c>
      <c r="C159" s="98">
        <v>30</v>
      </c>
      <c r="D159" s="98">
        <v>40</v>
      </c>
    </row>
    <row r="160" spans="1:4" x14ac:dyDescent="0.2">
      <c r="A160" s="99"/>
      <c r="B160" s="147"/>
      <c r="C160" s="99"/>
      <c r="D160" s="99"/>
    </row>
    <row r="161" spans="1:4" ht="25.5" x14ac:dyDescent="0.2">
      <c r="A161" s="98" t="s">
        <v>439</v>
      </c>
      <c r="B161" s="202" t="s">
        <v>664</v>
      </c>
      <c r="C161" s="98">
        <v>40</v>
      </c>
      <c r="D161" s="98">
        <v>80</v>
      </c>
    </row>
    <row r="162" spans="1:4" x14ac:dyDescent="0.2">
      <c r="A162" s="99"/>
      <c r="B162" s="147"/>
      <c r="C162" s="99"/>
      <c r="D162" s="99"/>
    </row>
    <row r="163" spans="1:4" ht="25.5" x14ac:dyDescent="0.2">
      <c r="A163" s="98" t="s">
        <v>440</v>
      </c>
      <c r="B163" s="140" t="s">
        <v>663</v>
      </c>
      <c r="C163" s="98">
        <v>20</v>
      </c>
      <c r="D163" s="98">
        <v>40</v>
      </c>
    </row>
    <row r="164" spans="1:4" x14ac:dyDescent="0.2">
      <c r="A164" s="99"/>
      <c r="B164" s="147"/>
      <c r="C164" s="99"/>
      <c r="D164" s="99"/>
    </row>
    <row r="165" spans="1:4" x14ac:dyDescent="0.2">
      <c r="A165" s="98" t="s">
        <v>441</v>
      </c>
      <c r="B165" s="202" t="s">
        <v>809</v>
      </c>
      <c r="C165" s="98">
        <v>30</v>
      </c>
      <c r="D165" s="98">
        <v>30</v>
      </c>
    </row>
    <row r="166" spans="1:4" x14ac:dyDescent="0.2">
      <c r="A166" s="99"/>
      <c r="B166" s="147"/>
      <c r="C166" s="99"/>
      <c r="D166" s="99"/>
    </row>
    <row r="167" spans="1:4" x14ac:dyDescent="0.2">
      <c r="A167" s="98" t="s">
        <v>442</v>
      </c>
      <c r="B167" s="98" t="s">
        <v>665</v>
      </c>
      <c r="C167" s="98">
        <v>50</v>
      </c>
      <c r="D167" s="98">
        <v>50</v>
      </c>
    </row>
    <row r="168" spans="1:4" x14ac:dyDescent="0.2">
      <c r="A168" s="99"/>
      <c r="B168" s="99"/>
      <c r="C168" s="99"/>
      <c r="D168" s="99"/>
    </row>
    <row r="169" spans="1:4" x14ac:dyDescent="0.2">
      <c r="A169" s="98" t="s">
        <v>228</v>
      </c>
      <c r="B169" s="202" t="s">
        <v>666</v>
      </c>
      <c r="C169" s="98">
        <v>40</v>
      </c>
      <c r="D169" s="98">
        <v>60</v>
      </c>
    </row>
    <row r="170" spans="1:4" x14ac:dyDescent="0.2">
      <c r="A170" s="99"/>
      <c r="B170" s="147"/>
      <c r="C170" s="99"/>
      <c r="D170" s="99"/>
    </row>
    <row r="171" spans="1:4" ht="25.5" x14ac:dyDescent="0.2">
      <c r="A171" s="98" t="s">
        <v>443</v>
      </c>
      <c r="B171" s="140" t="s">
        <v>667</v>
      </c>
      <c r="C171" s="98">
        <v>60</v>
      </c>
      <c r="D171" s="98">
        <v>80</v>
      </c>
    </row>
    <row r="172" spans="1:4" x14ac:dyDescent="0.2">
      <c r="A172" s="99"/>
      <c r="B172" s="147"/>
      <c r="C172" s="99"/>
      <c r="D172" s="99"/>
    </row>
    <row r="173" spans="1:4" ht="25.5" x14ac:dyDescent="0.2">
      <c r="A173" s="98" t="s">
        <v>444</v>
      </c>
      <c r="B173" s="202" t="s">
        <v>668</v>
      </c>
      <c r="C173" s="98">
        <v>40</v>
      </c>
      <c r="D173" s="98">
        <v>50</v>
      </c>
    </row>
    <row r="174" spans="1:4" x14ac:dyDescent="0.2">
      <c r="A174" s="99"/>
      <c r="B174" s="147"/>
      <c r="C174" s="99"/>
      <c r="D174" s="99"/>
    </row>
    <row r="175" spans="1:4" x14ac:dyDescent="0.2">
      <c r="A175" s="98" t="s">
        <v>445</v>
      </c>
      <c r="B175" s="140" t="s">
        <v>669</v>
      </c>
      <c r="C175" s="98">
        <v>20</v>
      </c>
      <c r="D175" s="98">
        <v>20</v>
      </c>
    </row>
    <row r="176" spans="1:4" x14ac:dyDescent="0.2">
      <c r="A176" s="99"/>
      <c r="B176" s="147"/>
      <c r="C176" s="99"/>
      <c r="D176" s="99"/>
    </row>
    <row r="177" spans="1:4" x14ac:dyDescent="0.2">
      <c r="A177" s="98" t="s">
        <v>519</v>
      </c>
      <c r="B177" s="202" t="s">
        <v>670</v>
      </c>
      <c r="C177" s="98">
        <v>80</v>
      </c>
      <c r="D177" s="98">
        <v>80</v>
      </c>
    </row>
    <row r="178" spans="1:4" x14ac:dyDescent="0.2">
      <c r="A178" s="99"/>
      <c r="B178" s="147"/>
      <c r="C178" s="99"/>
      <c r="D178" s="99"/>
    </row>
    <row r="179" spans="1:4" x14ac:dyDescent="0.2">
      <c r="A179" s="98" t="s">
        <v>446</v>
      </c>
      <c r="B179" s="140" t="s">
        <v>810</v>
      </c>
      <c r="C179" s="98">
        <v>100</v>
      </c>
      <c r="D179" s="98">
        <v>150</v>
      </c>
    </row>
    <row r="180" spans="1:4" x14ac:dyDescent="0.2">
      <c r="A180" s="99"/>
      <c r="B180" s="147"/>
      <c r="C180" s="99"/>
      <c r="D180" s="99"/>
    </row>
    <row r="181" spans="1:4" ht="51" x14ac:dyDescent="0.2">
      <c r="A181" s="98" t="s">
        <v>447</v>
      </c>
      <c r="B181" s="202" t="s">
        <v>811</v>
      </c>
      <c r="C181" s="98">
        <v>50</v>
      </c>
      <c r="D181" s="98">
        <v>50</v>
      </c>
    </row>
    <row r="182" spans="1:4" x14ac:dyDescent="0.2">
      <c r="A182" s="99"/>
      <c r="B182" s="147"/>
      <c r="C182" s="99"/>
      <c r="D182" s="99"/>
    </row>
    <row r="183" spans="1:4" ht="25.5" x14ac:dyDescent="0.2">
      <c r="A183" s="98" t="s">
        <v>448</v>
      </c>
      <c r="B183" s="140" t="s">
        <v>812</v>
      </c>
      <c r="C183" s="98">
        <v>50</v>
      </c>
      <c r="D183" s="98">
        <v>50</v>
      </c>
    </row>
    <row r="184" spans="1:4" x14ac:dyDescent="0.2">
      <c r="A184" s="71"/>
      <c r="B184" s="76"/>
      <c r="C184" s="72"/>
      <c r="D184" s="72"/>
    </row>
    <row r="185" spans="1:4" x14ac:dyDescent="0.2">
      <c r="A185" s="29"/>
      <c r="B185" s="29"/>
    </row>
    <row r="186" spans="1:4" x14ac:dyDescent="0.2">
      <c r="A186" s="29"/>
      <c r="B186" s="203"/>
    </row>
    <row r="187" spans="1:4" x14ac:dyDescent="0.2">
      <c r="A187" s="45"/>
      <c r="B187" s="17"/>
      <c r="C187" s="65"/>
      <c r="D187" s="65"/>
    </row>
    <row r="188" spans="1:4" x14ac:dyDescent="0.2">
      <c r="A188" s="45"/>
      <c r="B188" s="2"/>
      <c r="C188" s="41"/>
      <c r="D188" s="41"/>
    </row>
    <row r="189" spans="1:4" x14ac:dyDescent="0.2">
      <c r="A189" s="45"/>
      <c r="B189" s="150"/>
      <c r="C189" s="41"/>
      <c r="D189" s="41"/>
    </row>
    <row r="190" spans="1:4" x14ac:dyDescent="0.2">
      <c r="A190" s="45"/>
      <c r="B190" s="2"/>
      <c r="C190" s="41"/>
      <c r="D190" s="41"/>
    </row>
    <row r="191" spans="1:4" x14ac:dyDescent="0.2">
      <c r="A191" s="45"/>
      <c r="B191" s="150"/>
      <c r="C191" s="41"/>
      <c r="D191" s="41"/>
    </row>
    <row r="192" spans="1:4" x14ac:dyDescent="0.2">
      <c r="A192" s="45"/>
      <c r="B192" s="2"/>
      <c r="C192" s="41"/>
      <c r="D192" s="41"/>
    </row>
    <row r="193" spans="1:4" x14ac:dyDescent="0.2">
      <c r="A193" s="45"/>
      <c r="B193" s="150"/>
      <c r="C193" s="41"/>
      <c r="D193" s="41"/>
    </row>
    <row r="194" spans="1:4" x14ac:dyDescent="0.2">
      <c r="A194" s="45"/>
      <c r="B194" s="2"/>
      <c r="C194" s="41"/>
      <c r="D194" s="41"/>
    </row>
    <row r="195" spans="1:4" x14ac:dyDescent="0.2">
      <c r="A195" s="45"/>
      <c r="B195" s="150"/>
      <c r="C195" s="41"/>
      <c r="D195" s="41"/>
    </row>
    <row r="196" spans="1:4" x14ac:dyDescent="0.2">
      <c r="A196" s="45"/>
      <c r="B196" s="2"/>
      <c r="C196" s="41"/>
      <c r="D196" s="41"/>
    </row>
    <row r="197" spans="1:4" x14ac:dyDescent="0.2">
      <c r="A197" s="45"/>
      <c r="B197" s="150"/>
      <c r="C197" s="41"/>
      <c r="D197" s="41"/>
    </row>
    <row r="198" spans="1:4" x14ac:dyDescent="0.2">
      <c r="A198" s="45"/>
      <c r="B198" s="2"/>
      <c r="C198" s="41"/>
      <c r="D198" s="41"/>
    </row>
    <row r="199" spans="1:4" x14ac:dyDescent="0.2">
      <c r="A199" s="45"/>
      <c r="B199" s="150"/>
      <c r="C199" s="41"/>
      <c r="D199" s="41"/>
    </row>
    <row r="200" spans="1:4" x14ac:dyDescent="0.2">
      <c r="A200" s="45"/>
      <c r="B200" s="2"/>
      <c r="C200" s="41"/>
      <c r="D200" s="41"/>
    </row>
    <row r="201" spans="1:4" x14ac:dyDescent="0.2">
      <c r="A201" s="45"/>
      <c r="B201" s="150"/>
      <c r="C201" s="41"/>
      <c r="D201" s="41"/>
    </row>
    <row r="202" spans="1:4" x14ac:dyDescent="0.2">
      <c r="A202" s="45"/>
      <c r="B202" s="2"/>
      <c r="C202" s="41"/>
      <c r="D202" s="41"/>
    </row>
    <row r="203" spans="1:4" x14ac:dyDescent="0.2">
      <c r="A203" s="45"/>
      <c r="B203" s="150"/>
      <c r="C203" s="41"/>
      <c r="D203" s="41"/>
    </row>
    <row r="204" spans="1:4" x14ac:dyDescent="0.2">
      <c r="A204" s="45"/>
      <c r="B204" s="150"/>
      <c r="C204" s="41"/>
      <c r="D204" s="41"/>
    </row>
    <row r="205" spans="1:4" x14ac:dyDescent="0.2">
      <c r="A205" s="45"/>
      <c r="B205" s="150"/>
      <c r="C205" s="41"/>
      <c r="D205" s="41"/>
    </row>
    <row r="206" spans="1:4" x14ac:dyDescent="0.2">
      <c r="A206" s="45"/>
      <c r="B206" s="150"/>
      <c r="C206" s="41"/>
      <c r="D206" s="41"/>
    </row>
    <row r="207" spans="1:4" x14ac:dyDescent="0.2">
      <c r="A207" s="45"/>
      <c r="B207" s="150"/>
      <c r="C207" s="41"/>
      <c r="D207" s="41"/>
    </row>
    <row r="208" spans="1:4" x14ac:dyDescent="0.2">
      <c r="B208" s="204"/>
    </row>
    <row r="209" spans="1:5" x14ac:dyDescent="0.2">
      <c r="A209" s="71"/>
      <c r="B209" s="205"/>
      <c r="C209" s="72"/>
      <c r="D209" s="72"/>
    </row>
    <row r="210" spans="1:5" x14ac:dyDescent="0.2">
      <c r="A210" s="45"/>
      <c r="B210" s="2"/>
      <c r="C210" s="41"/>
      <c r="D210" s="41"/>
    </row>
    <row r="211" spans="1:5" x14ac:dyDescent="0.2">
      <c r="A211" s="45"/>
      <c r="B211" s="150"/>
      <c r="C211" s="41"/>
      <c r="D211" s="41"/>
    </row>
    <row r="212" spans="1:5" x14ac:dyDescent="0.2">
      <c r="A212" s="45"/>
      <c r="B212" s="2"/>
      <c r="C212" s="41"/>
      <c r="D212" s="41"/>
    </row>
    <row r="213" spans="1:5" x14ac:dyDescent="0.2">
      <c r="A213" s="45"/>
      <c r="B213" s="150"/>
      <c r="C213" s="41"/>
      <c r="D213" s="41"/>
    </row>
    <row r="214" spans="1:5" x14ac:dyDescent="0.2">
      <c r="A214" s="45"/>
      <c r="B214" s="2"/>
      <c r="C214" s="41"/>
      <c r="D214" s="41"/>
      <c r="E214" s="66"/>
    </row>
    <row r="216" spans="1:5" x14ac:dyDescent="0.2">
      <c r="B216" s="204"/>
    </row>
    <row r="218" spans="1:5" x14ac:dyDescent="0.2">
      <c r="A218" s="45"/>
      <c r="B218" s="2"/>
      <c r="C218" s="41"/>
      <c r="D218" s="41"/>
    </row>
    <row r="219" spans="1:5" x14ac:dyDescent="0.2">
      <c r="A219" s="45"/>
      <c r="B219" s="150"/>
      <c r="C219" s="41"/>
      <c r="D219" s="41"/>
    </row>
    <row r="220" spans="1:5" x14ac:dyDescent="0.2">
      <c r="A220" s="45"/>
      <c r="B220" s="2"/>
      <c r="C220" s="41"/>
      <c r="D220" s="41"/>
    </row>
    <row r="221" spans="1:5" x14ac:dyDescent="0.2">
      <c r="A221" s="45"/>
      <c r="B221" s="150"/>
      <c r="C221" s="41"/>
      <c r="D221" s="41"/>
    </row>
    <row r="222" spans="1:5" x14ac:dyDescent="0.2">
      <c r="A222" s="45"/>
      <c r="B222" s="2"/>
      <c r="C222" s="41"/>
      <c r="D222" s="41"/>
    </row>
    <row r="223" spans="1:5" x14ac:dyDescent="0.2">
      <c r="A223" s="45"/>
      <c r="B223" s="150"/>
      <c r="C223" s="41"/>
      <c r="D223" s="41"/>
    </row>
    <row r="224" spans="1:5" x14ac:dyDescent="0.2">
      <c r="A224" s="45"/>
      <c r="B224" s="2"/>
      <c r="C224" s="41"/>
      <c r="D224" s="41"/>
    </row>
    <row r="225" spans="1:4" x14ac:dyDescent="0.2">
      <c r="A225" s="45"/>
      <c r="B225" s="150"/>
      <c r="C225" s="41"/>
      <c r="D225" s="41"/>
    </row>
    <row r="226" spans="1:4" x14ac:dyDescent="0.2">
      <c r="A226" s="45"/>
      <c r="B226" s="2"/>
      <c r="C226" s="41"/>
      <c r="D226" s="41"/>
    </row>
    <row r="227" spans="1:4" x14ac:dyDescent="0.2">
      <c r="A227" s="45"/>
      <c r="B227" s="150"/>
      <c r="C227" s="41"/>
      <c r="D227" s="41"/>
    </row>
    <row r="228" spans="1:4" x14ac:dyDescent="0.2">
      <c r="A228" s="45"/>
      <c r="B228" s="2"/>
      <c r="C228" s="41"/>
      <c r="D228" s="41"/>
    </row>
    <row r="229" spans="1:4" x14ac:dyDescent="0.2">
      <c r="A229" s="45"/>
      <c r="B229" s="150"/>
      <c r="C229" s="65"/>
      <c r="D229" s="41"/>
    </row>
    <row r="230" spans="1:4" x14ac:dyDescent="0.2">
      <c r="A230" s="45"/>
      <c r="B230" s="2"/>
      <c r="C230" s="41"/>
      <c r="D230" s="41"/>
    </row>
    <row r="231" spans="1:4" x14ac:dyDescent="0.2">
      <c r="A231" s="45"/>
      <c r="B231" s="150"/>
      <c r="C231" s="41"/>
      <c r="D231" s="41"/>
    </row>
    <row r="232" spans="1:4" x14ac:dyDescent="0.2">
      <c r="A232" s="45"/>
      <c r="B232" s="2"/>
      <c r="C232" s="41"/>
      <c r="D232" s="41"/>
    </row>
    <row r="233" spans="1:4" x14ac:dyDescent="0.2">
      <c r="A233" s="45"/>
      <c r="B233" s="150"/>
      <c r="C233" s="41"/>
      <c r="D233" s="41"/>
    </row>
    <row r="234" spans="1:4" x14ac:dyDescent="0.2">
      <c r="A234" s="45"/>
      <c r="B234" s="2"/>
      <c r="C234" s="41"/>
      <c r="D234" s="41"/>
    </row>
    <row r="235" spans="1:4" x14ac:dyDescent="0.2">
      <c r="A235" s="45"/>
      <c r="B235" s="150"/>
      <c r="C235" s="41"/>
      <c r="D235" s="41"/>
    </row>
    <row r="236" spans="1:4" x14ac:dyDescent="0.2">
      <c r="A236" s="45"/>
      <c r="B236" s="2"/>
      <c r="C236" s="65"/>
      <c r="D236" s="41"/>
    </row>
    <row r="237" spans="1:4" x14ac:dyDescent="0.2">
      <c r="A237" s="45"/>
      <c r="B237" s="150"/>
      <c r="C237" s="41"/>
      <c r="D237" s="41"/>
    </row>
    <row r="238" spans="1:4" x14ac:dyDescent="0.2">
      <c r="A238" s="45"/>
      <c r="B238" s="2"/>
      <c r="C238" s="41"/>
      <c r="D238" s="41"/>
    </row>
    <row r="239" spans="1:4" x14ac:dyDescent="0.2">
      <c r="A239" s="29"/>
      <c r="B239" s="29"/>
    </row>
    <row r="240" spans="1:4" x14ac:dyDescent="0.2">
      <c r="A240" s="45"/>
      <c r="B240" s="150"/>
      <c r="C240" s="41"/>
      <c r="D240" s="41"/>
    </row>
    <row r="241" spans="1:4" x14ac:dyDescent="0.2">
      <c r="A241" s="45"/>
      <c r="B241" s="150"/>
      <c r="C241" s="41"/>
      <c r="D241" s="41"/>
    </row>
    <row r="242" spans="1:4" x14ac:dyDescent="0.2">
      <c r="A242" s="45"/>
      <c r="B242" s="150"/>
      <c r="C242" s="41"/>
      <c r="D242" s="41"/>
    </row>
    <row r="243" spans="1:4" x14ac:dyDescent="0.2">
      <c r="A243" s="45"/>
      <c r="B243" s="150"/>
      <c r="C243" s="41"/>
      <c r="D243" s="41"/>
    </row>
    <row r="244" spans="1:4" x14ac:dyDescent="0.2">
      <c r="A244" s="45"/>
      <c r="B244" s="150"/>
      <c r="C244" s="41"/>
      <c r="D244" s="41"/>
    </row>
    <row r="245" spans="1:4" x14ac:dyDescent="0.2">
      <c r="A245" s="45"/>
      <c r="B245" s="150"/>
      <c r="C245" s="41"/>
      <c r="D245" s="41"/>
    </row>
    <row r="246" spans="1:4" x14ac:dyDescent="0.2">
      <c r="A246" s="45"/>
      <c r="B246" s="150"/>
      <c r="C246" s="41"/>
      <c r="D246" s="41"/>
    </row>
    <row r="247" spans="1:4" x14ac:dyDescent="0.2">
      <c r="A247" s="45"/>
      <c r="B247" s="150"/>
      <c r="C247" s="41"/>
      <c r="D247" s="41"/>
    </row>
    <row r="248" spans="1:4" x14ac:dyDescent="0.2">
      <c r="A248" s="45"/>
      <c r="B248" s="150"/>
      <c r="C248" s="41"/>
      <c r="D248" s="41"/>
    </row>
    <row r="249" spans="1:4" x14ac:dyDescent="0.2">
      <c r="A249" s="45"/>
      <c r="B249" s="150"/>
      <c r="C249" s="41"/>
      <c r="D249" s="41"/>
    </row>
    <row r="250" spans="1:4" x14ac:dyDescent="0.2">
      <c r="A250" s="45"/>
      <c r="B250" s="150"/>
      <c r="C250" s="41"/>
      <c r="D250" s="41"/>
    </row>
    <row r="251" spans="1:4" x14ac:dyDescent="0.2">
      <c r="A251" s="45"/>
      <c r="B251" s="150"/>
      <c r="C251" s="41"/>
      <c r="D251" s="41"/>
    </row>
    <row r="252" spans="1:4" x14ac:dyDescent="0.2">
      <c r="A252" s="45"/>
      <c r="B252" s="150"/>
      <c r="C252" s="41"/>
      <c r="D252" s="41"/>
    </row>
    <row r="253" spans="1:4" x14ac:dyDescent="0.2">
      <c r="A253" s="45"/>
      <c r="B253" s="150"/>
      <c r="C253" s="41"/>
      <c r="D253" s="41"/>
    </row>
    <row r="254" spans="1:4" x14ac:dyDescent="0.2">
      <c r="A254" s="45"/>
      <c r="B254" s="150"/>
      <c r="C254" s="41"/>
      <c r="D254" s="41"/>
    </row>
    <row r="255" spans="1:4" x14ac:dyDescent="0.2">
      <c r="A255" s="45"/>
      <c r="B255" s="150"/>
      <c r="C255" s="41"/>
      <c r="D255" s="41"/>
    </row>
    <row r="256" spans="1:4" x14ac:dyDescent="0.2">
      <c r="A256" s="45"/>
      <c r="B256" s="150"/>
      <c r="C256" s="41"/>
      <c r="D256" s="41"/>
    </row>
    <row r="257" spans="1:4" x14ac:dyDescent="0.2">
      <c r="A257" s="99"/>
      <c r="B257" s="99"/>
      <c r="C257" s="99"/>
      <c r="D257" s="99"/>
    </row>
    <row r="258" spans="1:4" x14ac:dyDescent="0.2">
      <c r="A258" s="99"/>
      <c r="B258" s="99"/>
      <c r="C258" s="99"/>
      <c r="D258" s="99"/>
    </row>
    <row r="259" spans="1:4" x14ac:dyDescent="0.2">
      <c r="A259" s="99"/>
      <c r="B259" s="99"/>
      <c r="C259" s="99"/>
      <c r="D259" s="99"/>
    </row>
    <row r="260" spans="1:4" x14ac:dyDescent="0.2">
      <c r="A260" s="99"/>
      <c r="B260" s="99"/>
      <c r="C260" s="99"/>
      <c r="D260" s="99"/>
    </row>
    <row r="261" spans="1:4" x14ac:dyDescent="0.2">
      <c r="A261" s="99"/>
      <c r="B261" s="99"/>
      <c r="C261" s="99"/>
      <c r="D261" s="99"/>
    </row>
    <row r="262" spans="1:4" x14ac:dyDescent="0.2">
      <c r="A262" s="99"/>
      <c r="B262" s="99"/>
      <c r="C262" s="99"/>
      <c r="D262" s="99"/>
    </row>
    <row r="263" spans="1:4" x14ac:dyDescent="0.2">
      <c r="A263" s="99"/>
      <c r="B263" s="99"/>
      <c r="C263" s="99"/>
      <c r="D263" s="99"/>
    </row>
    <row r="264" spans="1:4" x14ac:dyDescent="0.2">
      <c r="A264" s="99"/>
      <c r="B264" s="99"/>
      <c r="C264" s="99"/>
      <c r="D264" s="99"/>
    </row>
    <row r="265" spans="1:4" x14ac:dyDescent="0.2">
      <c r="A265" s="99"/>
      <c r="B265" s="99"/>
      <c r="C265" s="99"/>
      <c r="D265" s="99"/>
    </row>
    <row r="266" spans="1:4" x14ac:dyDescent="0.2">
      <c r="A266" s="99"/>
      <c r="B266" s="99"/>
      <c r="C266" s="99"/>
      <c r="D266" s="99"/>
    </row>
    <row r="267" spans="1:4" x14ac:dyDescent="0.2">
      <c r="A267" s="99"/>
      <c r="B267" s="99"/>
      <c r="C267" s="99"/>
      <c r="D267" s="99"/>
    </row>
    <row r="268" spans="1:4" x14ac:dyDescent="0.2">
      <c r="A268" s="99"/>
      <c r="B268" s="99"/>
      <c r="C268" s="99"/>
      <c r="D268" s="99"/>
    </row>
    <row r="269" spans="1:4" x14ac:dyDescent="0.2">
      <c r="A269" s="99"/>
      <c r="B269" s="99"/>
      <c r="C269" s="99"/>
      <c r="D269" s="99"/>
    </row>
    <row r="270" spans="1:4" x14ac:dyDescent="0.2">
      <c r="A270" s="99"/>
      <c r="B270" s="99"/>
      <c r="C270" s="99"/>
      <c r="D270" s="99"/>
    </row>
    <row r="271" spans="1:4" x14ac:dyDescent="0.2">
      <c r="A271" s="99"/>
      <c r="B271" s="99"/>
      <c r="C271" s="99"/>
      <c r="D271" s="99"/>
    </row>
    <row r="272" spans="1:4" x14ac:dyDescent="0.2">
      <c r="A272" s="99"/>
      <c r="B272" s="99"/>
      <c r="C272" s="99"/>
      <c r="D272" s="99"/>
    </row>
    <row r="273" spans="1:4" x14ac:dyDescent="0.2">
      <c r="A273" s="99"/>
      <c r="B273" s="99"/>
      <c r="C273" s="99"/>
      <c r="D273" s="99"/>
    </row>
    <row r="274" spans="1:4" x14ac:dyDescent="0.2">
      <c r="A274" s="99"/>
      <c r="B274" s="99"/>
      <c r="C274" s="99"/>
      <c r="D274" s="99"/>
    </row>
    <row r="275" spans="1:4" x14ac:dyDescent="0.2">
      <c r="A275" s="45"/>
      <c r="B275" s="2"/>
      <c r="C275" s="41"/>
      <c r="D275" s="41"/>
    </row>
    <row r="276" spans="1:4" x14ac:dyDescent="0.2">
      <c r="A276" s="45"/>
      <c r="B276" s="2"/>
      <c r="C276" s="41"/>
      <c r="D276" s="41"/>
    </row>
    <row r="277" spans="1:4" x14ac:dyDescent="0.2">
      <c r="A277" s="45"/>
      <c r="B277" s="2"/>
      <c r="C277" s="41"/>
      <c r="D277" s="41"/>
    </row>
    <row r="278" spans="1:4" x14ac:dyDescent="0.2">
      <c r="A278" s="45"/>
      <c r="B278" s="2"/>
      <c r="C278" s="41"/>
      <c r="D278" s="41"/>
    </row>
    <row r="279" spans="1:4" x14ac:dyDescent="0.2">
      <c r="A279" s="45"/>
      <c r="B279" s="2"/>
      <c r="C279" s="41"/>
      <c r="D279" s="41"/>
    </row>
    <row r="280" spans="1:4" x14ac:dyDescent="0.2">
      <c r="A280" s="45"/>
      <c r="B280" s="2"/>
      <c r="C280" s="41"/>
      <c r="D280" s="41"/>
    </row>
    <row r="281" spans="1:4" x14ac:dyDescent="0.2">
      <c r="A281" s="45"/>
      <c r="B281" s="2"/>
      <c r="C281" s="41"/>
      <c r="D281" s="41"/>
    </row>
    <row r="282" spans="1:4" x14ac:dyDescent="0.2">
      <c r="A282" s="45"/>
      <c r="B282" s="2"/>
      <c r="C282" s="41"/>
      <c r="D282" s="41"/>
    </row>
    <row r="283" spans="1:4" x14ac:dyDescent="0.2">
      <c r="A283" s="45"/>
      <c r="B283" s="2"/>
      <c r="C283" s="41"/>
      <c r="D283" s="41"/>
    </row>
    <row r="284" spans="1:4" x14ac:dyDescent="0.2">
      <c r="A284" s="45"/>
      <c r="B284" s="2"/>
      <c r="C284" s="41"/>
      <c r="D284" s="41"/>
    </row>
    <row r="285" spans="1:4" x14ac:dyDescent="0.2">
      <c r="A285" s="45"/>
      <c r="B285" s="2"/>
      <c r="C285" s="41"/>
      <c r="D285" s="41"/>
    </row>
    <row r="286" spans="1:4" x14ac:dyDescent="0.2">
      <c r="A286" s="45"/>
      <c r="B286" s="2"/>
      <c r="C286" s="41"/>
      <c r="D286" s="41"/>
    </row>
    <row r="287" spans="1:4" x14ac:dyDescent="0.2">
      <c r="A287" s="45"/>
      <c r="B287" s="2"/>
      <c r="C287" s="41"/>
      <c r="D287" s="41"/>
    </row>
    <row r="288" spans="1:4" x14ac:dyDescent="0.2">
      <c r="A288" s="45"/>
      <c r="B288" s="2"/>
      <c r="C288" s="41"/>
      <c r="D288" s="41"/>
    </row>
    <row r="289" spans="1:4" x14ac:dyDescent="0.2">
      <c r="A289" s="45"/>
      <c r="B289" s="2"/>
      <c r="C289" s="41"/>
      <c r="D289" s="41"/>
    </row>
    <row r="290" spans="1:4" x14ac:dyDescent="0.2">
      <c r="A290" s="45"/>
      <c r="B290" s="2"/>
      <c r="C290" s="41"/>
      <c r="D290" s="41"/>
    </row>
    <row r="291" spans="1:4" x14ac:dyDescent="0.2">
      <c r="A291" s="45"/>
      <c r="B291" s="2"/>
      <c r="C291" s="41"/>
      <c r="D291" s="41"/>
    </row>
    <row r="292" spans="1:4" x14ac:dyDescent="0.2">
      <c r="A292" s="45"/>
      <c r="B292" s="2"/>
      <c r="C292" s="41"/>
      <c r="D292" s="41"/>
    </row>
    <row r="293" spans="1:4" x14ac:dyDescent="0.2">
      <c r="A293" s="45"/>
      <c r="B293" s="2"/>
      <c r="C293" s="41"/>
      <c r="D293" s="41"/>
    </row>
    <row r="294" spans="1:4" x14ac:dyDescent="0.2">
      <c r="A294" s="45"/>
      <c r="B294" s="2"/>
      <c r="C294" s="41"/>
      <c r="D294" s="41"/>
    </row>
    <row r="295" spans="1:4" x14ac:dyDescent="0.2">
      <c r="A295" s="45"/>
      <c r="B295" s="2"/>
      <c r="C295" s="41"/>
      <c r="D295" s="41"/>
    </row>
    <row r="296" spans="1:4" x14ac:dyDescent="0.2">
      <c r="A296" s="45"/>
      <c r="B296" s="2"/>
      <c r="C296" s="41"/>
      <c r="D296" s="41"/>
    </row>
    <row r="297" spans="1:4" x14ac:dyDescent="0.2">
      <c r="A297" s="45"/>
      <c r="B297" s="2"/>
      <c r="C297" s="41"/>
      <c r="D297" s="41"/>
    </row>
    <row r="298" spans="1:4" x14ac:dyDescent="0.2">
      <c r="A298" s="45"/>
      <c r="B298" s="2"/>
      <c r="C298" s="41"/>
      <c r="D298" s="41"/>
    </row>
    <row r="299" spans="1:4" x14ac:dyDescent="0.2">
      <c r="A299" s="45"/>
      <c r="B299" s="2"/>
      <c r="C299" s="41"/>
      <c r="D299" s="41"/>
    </row>
    <row r="300" spans="1:4" x14ac:dyDescent="0.2">
      <c r="A300" s="45"/>
      <c r="B300" s="2"/>
      <c r="C300" s="41"/>
      <c r="D300" s="41"/>
    </row>
    <row r="301" spans="1:4" x14ac:dyDescent="0.2">
      <c r="A301" s="45"/>
      <c r="B301" s="2"/>
      <c r="C301" s="41"/>
      <c r="D301" s="41"/>
    </row>
    <row r="302" spans="1:4" x14ac:dyDescent="0.2">
      <c r="A302" s="45"/>
      <c r="B302" s="2"/>
      <c r="C302" s="41"/>
      <c r="D302" s="41"/>
    </row>
    <row r="303" spans="1:4" x14ac:dyDescent="0.2">
      <c r="A303" s="45"/>
      <c r="B303" s="2"/>
      <c r="C303" s="41"/>
      <c r="D303" s="41"/>
    </row>
    <row r="304" spans="1:4" x14ac:dyDescent="0.2">
      <c r="A304" s="45"/>
      <c r="B304" s="2"/>
      <c r="C304" s="41"/>
      <c r="D304" s="41"/>
    </row>
    <row r="305" spans="1:4" x14ac:dyDescent="0.2">
      <c r="A305" s="45"/>
      <c r="B305" s="2"/>
      <c r="C305" s="41"/>
      <c r="D305" s="41"/>
    </row>
    <row r="306" spans="1:4" x14ac:dyDescent="0.2">
      <c r="A306" s="45"/>
      <c r="B306" s="2"/>
      <c r="C306" s="41"/>
      <c r="D306" s="41"/>
    </row>
    <row r="307" spans="1:4" x14ac:dyDescent="0.2">
      <c r="A307" s="45"/>
      <c r="B307" s="2"/>
      <c r="C307" s="41"/>
      <c r="D307" s="41"/>
    </row>
    <row r="308" spans="1:4" x14ac:dyDescent="0.2">
      <c r="A308" s="45"/>
      <c r="B308" s="2"/>
      <c r="C308" s="41"/>
      <c r="D308" s="41"/>
    </row>
    <row r="309" spans="1:4" x14ac:dyDescent="0.2">
      <c r="A309" s="45"/>
      <c r="B309" s="2"/>
      <c r="C309" s="41"/>
      <c r="D309" s="41"/>
    </row>
    <row r="310" spans="1:4" x14ac:dyDescent="0.2">
      <c r="A310" s="45"/>
      <c r="B310" s="2"/>
      <c r="C310" s="41"/>
      <c r="D310" s="41"/>
    </row>
    <row r="311" spans="1:4" x14ac:dyDescent="0.2">
      <c r="A311" s="45"/>
      <c r="B311" s="2"/>
      <c r="C311" s="41"/>
      <c r="D311" s="41"/>
    </row>
    <row r="312" spans="1:4" x14ac:dyDescent="0.2">
      <c r="A312" s="45"/>
      <c r="B312" s="2"/>
      <c r="C312" s="41"/>
      <c r="D312" s="41"/>
    </row>
    <row r="313" spans="1:4" x14ac:dyDescent="0.2">
      <c r="A313" s="45"/>
      <c r="B313" s="2"/>
      <c r="C313" s="41"/>
      <c r="D313" s="41"/>
    </row>
    <row r="314" spans="1:4" x14ac:dyDescent="0.2">
      <c r="A314" s="45"/>
      <c r="B314" s="2"/>
      <c r="C314" s="41"/>
      <c r="D314" s="41"/>
    </row>
    <row r="315" spans="1:4" x14ac:dyDescent="0.2">
      <c r="A315" s="45"/>
      <c r="B315" s="2"/>
      <c r="C315" s="41"/>
      <c r="D315" s="41"/>
    </row>
    <row r="316" spans="1:4" x14ac:dyDescent="0.2">
      <c r="A316" s="45"/>
      <c r="B316" s="2"/>
      <c r="C316" s="41"/>
      <c r="D316" s="41"/>
    </row>
    <row r="317" spans="1:4" x14ac:dyDescent="0.2">
      <c r="A317" s="45"/>
      <c r="B317" s="2"/>
      <c r="C317" s="41"/>
      <c r="D317" s="41"/>
    </row>
    <row r="318" spans="1:4" x14ac:dyDescent="0.2">
      <c r="A318" s="45"/>
      <c r="B318" s="2"/>
      <c r="C318" s="41"/>
      <c r="D318" s="41"/>
    </row>
    <row r="319" spans="1:4" x14ac:dyDescent="0.2">
      <c r="A319" s="45"/>
      <c r="B319" s="2"/>
      <c r="C319" s="41"/>
      <c r="D319" s="41"/>
    </row>
    <row r="320" spans="1:4" x14ac:dyDescent="0.2">
      <c r="A320" s="45"/>
      <c r="B320" s="2"/>
      <c r="C320" s="41"/>
      <c r="D320" s="41"/>
    </row>
    <row r="321" spans="1:4" x14ac:dyDescent="0.2">
      <c r="A321" s="45"/>
      <c r="B321" s="2"/>
      <c r="C321" s="41"/>
      <c r="D321" s="41"/>
    </row>
    <row r="322" spans="1:4" x14ac:dyDescent="0.2">
      <c r="A322" s="45"/>
      <c r="B322" s="2"/>
      <c r="C322" s="41"/>
      <c r="D322" s="41"/>
    </row>
    <row r="323" spans="1:4" x14ac:dyDescent="0.2">
      <c r="A323" s="45"/>
      <c r="B323" s="2"/>
      <c r="C323" s="41"/>
      <c r="D323" s="41"/>
    </row>
    <row r="324" spans="1:4" x14ac:dyDescent="0.2">
      <c r="A324" s="45"/>
      <c r="B324" s="2"/>
      <c r="C324" s="41"/>
      <c r="D324" s="41"/>
    </row>
    <row r="325" spans="1:4" x14ac:dyDescent="0.2">
      <c r="A325" s="45"/>
      <c r="B325" s="2"/>
      <c r="C325" s="41"/>
      <c r="D325" s="41"/>
    </row>
    <row r="326" spans="1:4" x14ac:dyDescent="0.2">
      <c r="A326" s="45"/>
      <c r="B326" s="2"/>
      <c r="C326" s="41"/>
      <c r="D326" s="41"/>
    </row>
    <row r="327" spans="1:4" x14ac:dyDescent="0.2">
      <c r="A327" s="45"/>
      <c r="B327" s="2"/>
      <c r="C327" s="41"/>
      <c r="D327" s="41"/>
    </row>
    <row r="328" spans="1:4" x14ac:dyDescent="0.2">
      <c r="A328" s="45"/>
      <c r="B328" s="2"/>
      <c r="C328" s="41"/>
      <c r="D328" s="41"/>
    </row>
    <row r="329" spans="1:4" x14ac:dyDescent="0.2">
      <c r="A329" s="45"/>
      <c r="B329" s="2"/>
      <c r="C329" s="41"/>
      <c r="D329" s="41"/>
    </row>
    <row r="330" spans="1:4" x14ac:dyDescent="0.2">
      <c r="A330" s="45"/>
      <c r="B330" s="2"/>
      <c r="C330" s="41"/>
      <c r="D330" s="41"/>
    </row>
    <row r="331" spans="1:4" x14ac:dyDescent="0.2">
      <c r="A331" s="45"/>
      <c r="B331" s="2"/>
      <c r="C331" s="41"/>
      <c r="D331" s="41"/>
    </row>
    <row r="332" spans="1:4" x14ac:dyDescent="0.2">
      <c r="A332" s="45"/>
      <c r="B332" s="2"/>
      <c r="C332" s="41"/>
      <c r="D332" s="41"/>
    </row>
    <row r="333" spans="1:4" x14ac:dyDescent="0.2">
      <c r="A333" s="45"/>
      <c r="B333" s="2"/>
      <c r="C333" s="41"/>
      <c r="D333" s="41"/>
    </row>
    <row r="334" spans="1:4" x14ac:dyDescent="0.2">
      <c r="A334" s="45"/>
      <c r="B334" s="2"/>
      <c r="D334" s="41"/>
    </row>
    <row r="335" spans="1:4" x14ac:dyDescent="0.2">
      <c r="A335" s="28"/>
    </row>
    <row r="336" spans="1:4" x14ac:dyDescent="0.2">
      <c r="A336" s="28"/>
    </row>
    <row r="337" spans="1:1" x14ac:dyDescent="0.2">
      <c r="A337" s="28"/>
    </row>
    <row r="338" spans="1:1" x14ac:dyDescent="0.2">
      <c r="A338" s="28"/>
    </row>
    <row r="339" spans="1:1" x14ac:dyDescent="0.2">
      <c r="A339" s="28"/>
    </row>
    <row r="340" spans="1:1" x14ac:dyDescent="0.2">
      <c r="A340" s="28"/>
    </row>
    <row r="341" spans="1:1" x14ac:dyDescent="0.2">
      <c r="A341" s="28"/>
    </row>
  </sheetData>
  <sheetProtection selectLockedCells="1" selectUnlockedCells="1"/>
  <sortState ref="A3:D183">
    <sortCondition ref="A3"/>
  </sortState>
  <customSheetViews>
    <customSheetView guid="{5F7E442B-9104-458B-9892-4194DBB06FCD}" topLeftCell="A146">
      <selection activeCell="F155" sqref="F155"/>
      <pageMargins left="0.511811024" right="0.511811024" top="0.78740157499999996" bottom="0.78740157499999996" header="0.31496062000000002" footer="0.31496062000000002"/>
      <pageSetup paperSize="9" orientation="portrait" horizontalDpi="300" verticalDpi="300" r:id="rId1"/>
    </customSheetView>
  </customSheetViews>
  <mergeCells count="4">
    <mergeCell ref="A1:A2"/>
    <mergeCell ref="B1:B2"/>
    <mergeCell ref="C1:C2"/>
    <mergeCell ref="D1:D2"/>
  </mergeCells>
  <pageMargins left="0.511811024" right="0.511811024" top="0.78740157499999996" bottom="0.78740157499999996" header="0.31496062000000002" footer="0.31496062000000002"/>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9">
    <tabColor theme="6" tint="-0.499984740745262"/>
  </sheetPr>
  <dimension ref="B1:O76"/>
  <sheetViews>
    <sheetView showGridLines="0" zoomScale="85" zoomScaleNormal="85" workbookViewId="0">
      <selection activeCell="F14" sqref="F14"/>
    </sheetView>
  </sheetViews>
  <sheetFormatPr defaultColWidth="9.140625" defaultRowHeight="14.25" x14ac:dyDescent="0.25"/>
  <cols>
    <col min="1" max="1" width="2.42578125" style="30" customWidth="1"/>
    <col min="2" max="2" width="20.85546875" style="30" bestFit="1" customWidth="1"/>
    <col min="3" max="3" width="16.140625" style="30" customWidth="1"/>
    <col min="4" max="4" width="24.7109375" style="30" bestFit="1" customWidth="1"/>
    <col min="5" max="5" width="9.140625" style="30"/>
    <col min="6" max="7" width="16.140625" style="30" customWidth="1"/>
    <col min="8" max="8" width="9.140625" style="30"/>
    <col min="9" max="9" width="11.42578125" style="30" customWidth="1"/>
    <col min="10" max="10" width="16.140625" style="30" customWidth="1"/>
    <col min="11" max="11" width="9.140625" style="30"/>
    <col min="12" max="13" width="16.140625" style="30" customWidth="1"/>
    <col min="14" max="14" width="12.42578125" style="30" customWidth="1"/>
    <col min="15" max="15" width="11.28515625" style="30" customWidth="1"/>
    <col min="16" max="16384" width="9.140625" style="30"/>
  </cols>
  <sheetData>
    <row r="1" spans="2:15" ht="15" customHeight="1" x14ac:dyDescent="0.25">
      <c r="B1" s="337" t="s">
        <v>673</v>
      </c>
      <c r="C1" s="337"/>
      <c r="D1" s="337"/>
      <c r="F1" s="337" t="s">
        <v>675</v>
      </c>
      <c r="G1" s="337"/>
      <c r="H1" s="337"/>
      <c r="L1" s="338" t="s">
        <v>675</v>
      </c>
      <c r="M1" s="338"/>
      <c r="N1" s="338"/>
      <c r="O1" s="47"/>
    </row>
    <row r="2" spans="2:15" x14ac:dyDescent="0.25">
      <c r="B2" s="337"/>
      <c r="C2" s="337"/>
      <c r="D2" s="337"/>
      <c r="F2" s="344"/>
      <c r="G2" s="344"/>
      <c r="H2" s="344"/>
      <c r="I2" s="92"/>
      <c r="J2" s="92"/>
      <c r="K2" s="92"/>
      <c r="L2" s="339"/>
      <c r="M2" s="339"/>
      <c r="N2" s="339"/>
      <c r="O2" s="48"/>
    </row>
    <row r="3" spans="2:15" ht="16.5" x14ac:dyDescent="0.3">
      <c r="B3" s="49" t="s">
        <v>324</v>
      </c>
      <c r="C3" s="49" t="s">
        <v>12</v>
      </c>
      <c r="D3" s="49" t="s">
        <v>521</v>
      </c>
      <c r="F3" s="31" t="s">
        <v>75</v>
      </c>
      <c r="G3" s="349" t="s">
        <v>565</v>
      </c>
      <c r="H3" s="350"/>
      <c r="I3" s="93"/>
      <c r="J3" s="347" t="s">
        <v>672</v>
      </c>
      <c r="K3" s="347"/>
      <c r="L3" s="88" t="s">
        <v>75</v>
      </c>
      <c r="M3" s="340" t="s">
        <v>565</v>
      </c>
      <c r="N3" s="341"/>
      <c r="O3" s="46"/>
    </row>
    <row r="4" spans="2:15" ht="16.5" x14ac:dyDescent="0.3">
      <c r="B4" s="98" t="s">
        <v>936</v>
      </c>
      <c r="C4" s="186" t="s">
        <v>4</v>
      </c>
      <c r="D4" s="100" t="s">
        <v>7</v>
      </c>
      <c r="F4" s="98" t="s">
        <v>82</v>
      </c>
      <c r="G4" s="348" t="s">
        <v>2</v>
      </c>
      <c r="H4" s="348"/>
      <c r="I4" s="31"/>
      <c r="L4" s="89" t="s">
        <v>82</v>
      </c>
      <c r="M4" s="342" t="s">
        <v>2</v>
      </c>
      <c r="N4" s="343"/>
      <c r="O4" s="46"/>
    </row>
    <row r="5" spans="2:15" ht="16.5" x14ac:dyDescent="0.3">
      <c r="B5" s="98" t="s">
        <v>140</v>
      </c>
      <c r="C5" s="186" t="s">
        <v>0</v>
      </c>
      <c r="D5" s="100" t="s">
        <v>5</v>
      </c>
      <c r="F5" s="98" t="s">
        <v>83</v>
      </c>
      <c r="G5" s="348" t="s">
        <v>4</v>
      </c>
      <c r="H5" s="348"/>
      <c r="I5" s="77"/>
      <c r="J5" s="98" t="s">
        <v>471</v>
      </c>
      <c r="K5" s="96" t="s">
        <v>138</v>
      </c>
      <c r="L5" s="89" t="s">
        <v>83</v>
      </c>
      <c r="M5" s="342" t="s">
        <v>4</v>
      </c>
      <c r="N5" s="343"/>
      <c r="O5" s="46"/>
    </row>
    <row r="6" spans="2:15" ht="16.5" x14ac:dyDescent="0.3">
      <c r="B6" s="188" t="s">
        <v>915</v>
      </c>
      <c r="C6" s="186" t="s">
        <v>4</v>
      </c>
      <c r="D6" s="100" t="s">
        <v>6</v>
      </c>
      <c r="F6" s="98" t="s">
        <v>84</v>
      </c>
      <c r="G6" s="348" t="s">
        <v>2</v>
      </c>
      <c r="H6" s="348"/>
      <c r="I6" s="77"/>
      <c r="J6" s="98" t="s">
        <v>472</v>
      </c>
      <c r="K6" s="96" t="s">
        <v>142</v>
      </c>
      <c r="L6" s="89" t="s">
        <v>84</v>
      </c>
      <c r="M6" s="342" t="s">
        <v>2</v>
      </c>
      <c r="N6" s="343"/>
      <c r="O6" s="46"/>
    </row>
    <row r="7" spans="2:15" ht="16.5" x14ac:dyDescent="0.3">
      <c r="B7" s="188" t="s">
        <v>144</v>
      </c>
      <c r="C7" s="186" t="s">
        <v>2</v>
      </c>
      <c r="D7" s="100" t="s">
        <v>5</v>
      </c>
      <c r="F7" s="98" t="s">
        <v>85</v>
      </c>
      <c r="G7" s="348" t="s">
        <v>0</v>
      </c>
      <c r="H7" s="348"/>
      <c r="I7" s="77"/>
      <c r="J7" s="98" t="s">
        <v>473</v>
      </c>
      <c r="K7" s="96" t="s">
        <v>156</v>
      </c>
      <c r="L7" s="89" t="s">
        <v>85</v>
      </c>
      <c r="M7" s="342" t="s">
        <v>0</v>
      </c>
      <c r="N7" s="343"/>
      <c r="O7" s="46"/>
    </row>
    <row r="8" spans="2:15" ht="16.5" x14ac:dyDescent="0.3">
      <c r="B8" s="188" t="s">
        <v>145</v>
      </c>
      <c r="C8" s="186" t="s">
        <v>4</v>
      </c>
      <c r="D8" s="100" t="s">
        <v>5</v>
      </c>
      <c r="F8" s="98" t="s">
        <v>86</v>
      </c>
      <c r="G8" s="348" t="s">
        <v>3</v>
      </c>
      <c r="H8" s="348"/>
      <c r="I8" s="77"/>
      <c r="J8" s="98" t="s">
        <v>474</v>
      </c>
      <c r="K8" s="96" t="s">
        <v>152</v>
      </c>
      <c r="L8" s="89" t="s">
        <v>86</v>
      </c>
      <c r="M8" s="342" t="s">
        <v>3</v>
      </c>
      <c r="N8" s="343"/>
      <c r="O8" s="46"/>
    </row>
    <row r="9" spans="2:15" ht="16.5" x14ac:dyDescent="0.3">
      <c r="B9" s="188" t="s">
        <v>146</v>
      </c>
      <c r="C9" s="186" t="s">
        <v>0</v>
      </c>
      <c r="D9" s="100" t="s">
        <v>5</v>
      </c>
      <c r="F9" s="98" t="s">
        <v>87</v>
      </c>
      <c r="G9" s="348" t="s">
        <v>3</v>
      </c>
      <c r="H9" s="348"/>
      <c r="I9" s="77"/>
      <c r="J9" s="345"/>
      <c r="K9" s="346"/>
      <c r="L9" s="89" t="s">
        <v>87</v>
      </c>
      <c r="M9" s="342" t="s">
        <v>3</v>
      </c>
      <c r="N9" s="343"/>
      <c r="O9" s="46"/>
    </row>
    <row r="10" spans="2:15" ht="16.5" x14ac:dyDescent="0.3">
      <c r="B10" s="188" t="s">
        <v>147</v>
      </c>
      <c r="C10" s="186" t="s">
        <v>2</v>
      </c>
      <c r="D10" s="100" t="s">
        <v>6</v>
      </c>
      <c r="F10" s="98" t="s">
        <v>88</v>
      </c>
      <c r="G10" s="348" t="s">
        <v>0</v>
      </c>
      <c r="H10" s="348"/>
      <c r="I10" s="77"/>
      <c r="J10" s="345"/>
      <c r="K10" s="346"/>
      <c r="L10" s="89" t="s">
        <v>88</v>
      </c>
      <c r="M10" s="342" t="s">
        <v>0</v>
      </c>
      <c r="N10" s="343"/>
      <c r="O10" s="46"/>
    </row>
    <row r="11" spans="2:15" ht="16.5" x14ac:dyDescent="0.3">
      <c r="B11" s="188" t="s">
        <v>148</v>
      </c>
      <c r="C11" s="187" t="s">
        <v>3</v>
      </c>
      <c r="D11" s="100" t="s">
        <v>5</v>
      </c>
      <c r="F11" s="98" t="s">
        <v>89</v>
      </c>
      <c r="G11" s="348" t="s">
        <v>0</v>
      </c>
      <c r="H11" s="348"/>
      <c r="I11" s="77"/>
      <c r="J11" s="337" t="s">
        <v>671</v>
      </c>
      <c r="K11" s="337"/>
      <c r="L11" s="89" t="s">
        <v>89</v>
      </c>
      <c r="M11" s="342" t="s">
        <v>0</v>
      </c>
      <c r="N11" s="343"/>
      <c r="O11" s="46"/>
    </row>
    <row r="12" spans="2:15" ht="16.5" x14ac:dyDescent="0.3">
      <c r="B12" s="188" t="s">
        <v>980</v>
      </c>
      <c r="C12" s="186" t="s">
        <v>0</v>
      </c>
      <c r="D12" s="100" t="s">
        <v>7</v>
      </c>
      <c r="F12" s="98" t="s">
        <v>90</v>
      </c>
      <c r="G12" s="348" t="s">
        <v>1</v>
      </c>
      <c r="H12" s="348"/>
      <c r="I12" s="77"/>
      <c r="J12" s="344"/>
      <c r="K12" s="344"/>
      <c r="L12" s="89" t="s">
        <v>90</v>
      </c>
      <c r="M12" s="342" t="s">
        <v>1</v>
      </c>
      <c r="N12" s="343"/>
      <c r="O12" s="46"/>
    </row>
    <row r="13" spans="2:15" ht="16.5" x14ac:dyDescent="0.3">
      <c r="B13" s="188" t="s">
        <v>910</v>
      </c>
      <c r="C13" s="186" t="s">
        <v>2</v>
      </c>
      <c r="D13" s="100" t="s">
        <v>6</v>
      </c>
      <c r="F13" s="98" t="s">
        <v>91</v>
      </c>
      <c r="G13" s="348" t="s">
        <v>1</v>
      </c>
      <c r="H13" s="348"/>
      <c r="I13" s="77"/>
      <c r="J13" s="87" t="s">
        <v>325</v>
      </c>
      <c r="K13" s="31" t="s">
        <v>14</v>
      </c>
      <c r="L13" s="89" t="s">
        <v>91</v>
      </c>
      <c r="M13" s="342" t="s">
        <v>1</v>
      </c>
      <c r="N13" s="343"/>
      <c r="O13" s="46"/>
    </row>
    <row r="14" spans="2:15" ht="16.5" x14ac:dyDescent="0.3">
      <c r="B14" s="188" t="s">
        <v>150</v>
      </c>
      <c r="C14" s="186" t="s">
        <v>1</v>
      </c>
      <c r="D14" s="100" t="s">
        <v>5</v>
      </c>
      <c r="F14" s="98" t="s">
        <v>92</v>
      </c>
      <c r="G14" s="348" t="s">
        <v>3</v>
      </c>
      <c r="H14" s="348"/>
      <c r="I14" s="77"/>
      <c r="J14" s="98" t="s">
        <v>184</v>
      </c>
      <c r="K14" s="96" t="s">
        <v>395</v>
      </c>
      <c r="L14" s="89" t="s">
        <v>92</v>
      </c>
      <c r="M14" s="342" t="s">
        <v>3</v>
      </c>
      <c r="N14" s="343"/>
      <c r="O14" s="46"/>
    </row>
    <row r="15" spans="2:15" ht="16.5" x14ac:dyDescent="0.3">
      <c r="B15" s="188" t="s">
        <v>926</v>
      </c>
      <c r="C15" s="186" t="s">
        <v>2</v>
      </c>
      <c r="D15" s="100" t="s">
        <v>7</v>
      </c>
      <c r="F15" s="98" t="s">
        <v>93</v>
      </c>
      <c r="G15" s="348" t="s">
        <v>2</v>
      </c>
      <c r="H15" s="348"/>
      <c r="I15" s="77"/>
      <c r="J15" s="98" t="s">
        <v>315</v>
      </c>
      <c r="K15" s="96" t="s">
        <v>395</v>
      </c>
      <c r="L15" s="89" t="s">
        <v>93</v>
      </c>
      <c r="M15" s="342" t="s">
        <v>2</v>
      </c>
      <c r="N15" s="343"/>
      <c r="O15" s="46"/>
    </row>
    <row r="16" spans="2:15" ht="16.5" x14ac:dyDescent="0.3">
      <c r="B16" s="188" t="s">
        <v>151</v>
      </c>
      <c r="C16" s="186" t="s">
        <v>0</v>
      </c>
      <c r="D16" s="100" t="s">
        <v>5</v>
      </c>
      <c r="F16" s="98" t="s">
        <v>94</v>
      </c>
      <c r="G16" s="348" t="s">
        <v>2</v>
      </c>
      <c r="H16" s="348"/>
      <c r="I16" s="77"/>
      <c r="J16" s="98" t="s">
        <v>182</v>
      </c>
      <c r="K16" s="96" t="s">
        <v>395</v>
      </c>
      <c r="L16" s="89" t="s">
        <v>94</v>
      </c>
      <c r="M16" s="342" t="s">
        <v>2</v>
      </c>
      <c r="N16" s="343"/>
      <c r="O16" s="46"/>
    </row>
    <row r="17" spans="2:15" ht="16.899999999999999" customHeight="1" x14ac:dyDescent="0.3">
      <c r="B17" s="207" t="s">
        <v>153</v>
      </c>
      <c r="C17" s="186" t="s">
        <v>4</v>
      </c>
      <c r="D17" s="100" t="s">
        <v>6</v>
      </c>
      <c r="F17" s="98" t="s">
        <v>95</v>
      </c>
      <c r="G17" s="348" t="s">
        <v>1</v>
      </c>
      <c r="H17" s="348"/>
      <c r="I17" s="77"/>
      <c r="J17" s="98" t="s">
        <v>9</v>
      </c>
      <c r="K17" s="96" t="s">
        <v>316</v>
      </c>
      <c r="L17" s="89" t="s">
        <v>95</v>
      </c>
      <c r="M17" s="342" t="s">
        <v>1</v>
      </c>
      <c r="N17" s="343"/>
      <c r="O17" s="46"/>
    </row>
    <row r="18" spans="2:15" ht="16.899999999999999" customHeight="1" x14ac:dyDescent="0.3">
      <c r="B18" s="207" t="s">
        <v>154</v>
      </c>
      <c r="C18" s="187" t="s">
        <v>3</v>
      </c>
      <c r="D18" s="100" t="s">
        <v>6</v>
      </c>
      <c r="F18" s="98" t="s">
        <v>96</v>
      </c>
      <c r="G18" s="348" t="s">
        <v>0</v>
      </c>
      <c r="H18" s="348"/>
      <c r="I18" s="77"/>
      <c r="J18" s="98" t="s">
        <v>181</v>
      </c>
      <c r="K18" s="96" t="s">
        <v>316</v>
      </c>
      <c r="L18" s="89" t="s">
        <v>96</v>
      </c>
      <c r="M18" s="342" t="s">
        <v>0</v>
      </c>
      <c r="N18" s="343"/>
      <c r="O18" s="46"/>
    </row>
    <row r="19" spans="2:15" ht="16.5" x14ac:dyDescent="0.3">
      <c r="B19" s="188" t="s">
        <v>155</v>
      </c>
      <c r="C19" s="186" t="s">
        <v>4</v>
      </c>
      <c r="D19" s="100" t="s">
        <v>6</v>
      </c>
      <c r="F19" s="98" t="s">
        <v>97</v>
      </c>
      <c r="G19" s="348" t="s">
        <v>1</v>
      </c>
      <c r="H19" s="348"/>
      <c r="I19" s="77"/>
      <c r="J19" s="345"/>
      <c r="K19" s="346"/>
      <c r="L19" s="89" t="s">
        <v>97</v>
      </c>
      <c r="M19" s="342" t="s">
        <v>1</v>
      </c>
      <c r="N19" s="343"/>
      <c r="O19" s="46"/>
    </row>
    <row r="20" spans="2:15" ht="16.5" x14ac:dyDescent="0.3">
      <c r="B20" s="188" t="s">
        <v>994</v>
      </c>
      <c r="C20" s="186" t="s">
        <v>2</v>
      </c>
      <c r="D20" s="100" t="s">
        <v>5</v>
      </c>
      <c r="F20" s="98" t="s">
        <v>98</v>
      </c>
      <c r="G20" s="348" t="s">
        <v>4</v>
      </c>
      <c r="H20" s="348"/>
      <c r="I20" s="77"/>
      <c r="J20" s="345"/>
      <c r="K20" s="346"/>
      <c r="L20" s="89" t="s">
        <v>98</v>
      </c>
      <c r="M20" s="342" t="s">
        <v>4</v>
      </c>
      <c r="N20" s="343"/>
      <c r="O20" s="46"/>
    </row>
    <row r="21" spans="2:15" ht="16.5" x14ac:dyDescent="0.3">
      <c r="B21" s="188" t="s">
        <v>909</v>
      </c>
      <c r="C21" s="186" t="s">
        <v>2</v>
      </c>
      <c r="D21" s="100" t="s">
        <v>6</v>
      </c>
      <c r="F21" s="98" t="s">
        <v>99</v>
      </c>
      <c r="G21" s="348" t="s">
        <v>4</v>
      </c>
      <c r="H21" s="348"/>
      <c r="I21" s="77"/>
      <c r="J21" s="345"/>
      <c r="K21" s="346"/>
      <c r="L21" s="89" t="s">
        <v>99</v>
      </c>
      <c r="M21" s="342" t="s">
        <v>4</v>
      </c>
      <c r="N21" s="343"/>
      <c r="O21" s="46"/>
    </row>
    <row r="22" spans="2:15" ht="16.5" x14ac:dyDescent="0.3">
      <c r="B22" s="188" t="s">
        <v>905</v>
      </c>
      <c r="C22" s="186" t="s">
        <v>0</v>
      </c>
      <c r="D22" s="100" t="s">
        <v>6</v>
      </c>
      <c r="F22" s="98" t="s">
        <v>100</v>
      </c>
      <c r="G22" s="348" t="s">
        <v>3</v>
      </c>
      <c r="H22" s="348"/>
      <c r="I22" s="77"/>
      <c r="J22" s="345"/>
      <c r="K22" s="346"/>
      <c r="L22" s="89" t="s">
        <v>100</v>
      </c>
      <c r="M22" s="342" t="s">
        <v>3</v>
      </c>
      <c r="N22" s="343"/>
      <c r="O22" s="46"/>
    </row>
    <row r="23" spans="2:15" ht="16.5" x14ac:dyDescent="0.3">
      <c r="B23" s="188" t="s">
        <v>157</v>
      </c>
      <c r="C23" s="186" t="s">
        <v>2</v>
      </c>
      <c r="D23" s="100" t="s">
        <v>6</v>
      </c>
      <c r="F23" s="98" t="s">
        <v>101</v>
      </c>
      <c r="G23" s="348" t="s">
        <v>4</v>
      </c>
      <c r="H23" s="348"/>
      <c r="I23" s="77"/>
      <c r="J23" s="345"/>
      <c r="K23" s="346"/>
      <c r="L23" s="89" t="s">
        <v>101</v>
      </c>
      <c r="M23" s="342" t="s">
        <v>4</v>
      </c>
      <c r="N23" s="343"/>
      <c r="O23" s="46"/>
    </row>
    <row r="24" spans="2:15" ht="15" customHeight="1" x14ac:dyDescent="0.25">
      <c r="B24" s="188" t="s">
        <v>158</v>
      </c>
      <c r="C24" s="186" t="s">
        <v>0</v>
      </c>
      <c r="D24" s="100" t="s">
        <v>5</v>
      </c>
      <c r="F24" s="77"/>
      <c r="G24" s="78"/>
      <c r="I24" s="77"/>
      <c r="J24" s="345"/>
      <c r="K24" s="351"/>
    </row>
    <row r="25" spans="2:15" x14ac:dyDescent="0.25">
      <c r="B25" s="188" t="s">
        <v>916</v>
      </c>
      <c r="C25" s="187" t="s">
        <v>3</v>
      </c>
      <c r="D25" s="100" t="s">
        <v>6</v>
      </c>
      <c r="F25" s="337" t="s">
        <v>323</v>
      </c>
      <c r="G25" s="337"/>
      <c r="H25" s="337" t="s">
        <v>322</v>
      </c>
      <c r="I25" s="337"/>
      <c r="J25" s="95"/>
    </row>
    <row r="26" spans="2:15" x14ac:dyDescent="0.25">
      <c r="B26" s="188" t="s">
        <v>941</v>
      </c>
      <c r="C26" s="187" t="s">
        <v>3</v>
      </c>
      <c r="D26" s="100" t="s">
        <v>7</v>
      </c>
      <c r="F26" s="337"/>
      <c r="G26" s="337"/>
      <c r="H26" s="337"/>
      <c r="I26" s="337"/>
      <c r="J26" s="93"/>
      <c r="L26" s="338" t="s">
        <v>323</v>
      </c>
      <c r="M26" s="338"/>
      <c r="N26" s="338" t="s">
        <v>322</v>
      </c>
      <c r="O26" s="338"/>
    </row>
    <row r="27" spans="2:15" ht="15" customHeight="1" x14ac:dyDescent="0.25">
      <c r="B27" s="188" t="s">
        <v>159</v>
      </c>
      <c r="C27" s="186" t="s">
        <v>4</v>
      </c>
      <c r="D27" s="100" t="s">
        <v>5</v>
      </c>
      <c r="F27" s="344"/>
      <c r="G27" s="344"/>
      <c r="H27" s="344"/>
      <c r="I27" s="344"/>
      <c r="J27" s="31"/>
      <c r="L27" s="338"/>
      <c r="M27" s="338"/>
      <c r="N27" s="338"/>
      <c r="O27" s="338"/>
    </row>
    <row r="28" spans="2:15" x14ac:dyDescent="0.25">
      <c r="B28" s="188" t="s">
        <v>922</v>
      </c>
      <c r="C28" s="186" t="s">
        <v>4</v>
      </c>
      <c r="D28" s="100" t="s">
        <v>5</v>
      </c>
      <c r="F28" s="87" t="s">
        <v>326</v>
      </c>
      <c r="G28" s="31" t="s">
        <v>327</v>
      </c>
      <c r="H28" s="87" t="s">
        <v>326</v>
      </c>
      <c r="I28" s="31" t="s">
        <v>327</v>
      </c>
      <c r="J28" s="78"/>
      <c r="L28" s="339"/>
      <c r="M28" s="339"/>
      <c r="N28" s="339"/>
      <c r="O28" s="339"/>
    </row>
    <row r="29" spans="2:15" x14ac:dyDescent="0.25">
      <c r="B29" s="188" t="s">
        <v>160</v>
      </c>
      <c r="C29" s="186" t="s">
        <v>4</v>
      </c>
      <c r="D29" s="100" t="s">
        <v>5</v>
      </c>
      <c r="F29" s="98" t="s">
        <v>317</v>
      </c>
      <c r="G29" s="96">
        <v>5</v>
      </c>
      <c r="H29" s="98" t="s">
        <v>317</v>
      </c>
      <c r="I29" s="96">
        <v>10</v>
      </c>
      <c r="J29" s="78"/>
      <c r="L29" s="91" t="s">
        <v>326</v>
      </c>
      <c r="M29" s="88" t="s">
        <v>327</v>
      </c>
      <c r="N29" s="91" t="s">
        <v>326</v>
      </c>
      <c r="O29" s="88" t="s">
        <v>327</v>
      </c>
    </row>
    <row r="30" spans="2:15" x14ac:dyDescent="0.25">
      <c r="B30" s="188" t="s">
        <v>914</v>
      </c>
      <c r="C30" s="186" t="s">
        <v>4</v>
      </c>
      <c r="D30" s="100" t="s">
        <v>6</v>
      </c>
      <c r="F30" s="98" t="s">
        <v>318</v>
      </c>
      <c r="G30" s="96">
        <v>7</v>
      </c>
      <c r="H30" s="98" t="s">
        <v>318</v>
      </c>
      <c r="I30" s="96">
        <v>14</v>
      </c>
      <c r="J30" s="78"/>
      <c r="L30" s="89" t="s">
        <v>317</v>
      </c>
      <c r="M30" s="90">
        <v>5</v>
      </c>
      <c r="N30" s="89" t="s">
        <v>317</v>
      </c>
      <c r="O30" s="90">
        <v>10</v>
      </c>
    </row>
    <row r="31" spans="2:15" x14ac:dyDescent="0.25">
      <c r="B31" s="188" t="s">
        <v>918</v>
      </c>
      <c r="C31" s="187" t="s">
        <v>3</v>
      </c>
      <c r="D31" s="100" t="s">
        <v>6</v>
      </c>
      <c r="F31" s="98" t="s">
        <v>319</v>
      </c>
      <c r="G31" s="96">
        <v>8</v>
      </c>
      <c r="H31" s="98" t="s">
        <v>319</v>
      </c>
      <c r="I31" s="96">
        <v>18</v>
      </c>
      <c r="J31" s="78"/>
      <c r="L31" s="89" t="s">
        <v>318</v>
      </c>
      <c r="M31" s="90">
        <v>7</v>
      </c>
      <c r="N31" s="89" t="s">
        <v>318</v>
      </c>
      <c r="O31" s="90">
        <v>14</v>
      </c>
    </row>
    <row r="32" spans="2:15" x14ac:dyDescent="0.25">
      <c r="B32" s="188" t="s">
        <v>919</v>
      </c>
      <c r="C32" s="186" t="s">
        <v>2</v>
      </c>
      <c r="D32" s="100" t="s">
        <v>5</v>
      </c>
      <c r="F32" s="98" t="s">
        <v>320</v>
      </c>
      <c r="G32" s="96">
        <v>9</v>
      </c>
      <c r="H32" s="98" t="s">
        <v>320</v>
      </c>
      <c r="I32" s="96">
        <v>20</v>
      </c>
      <c r="J32" s="78"/>
      <c r="L32" s="89" t="s">
        <v>319</v>
      </c>
      <c r="M32" s="90">
        <v>8</v>
      </c>
      <c r="N32" s="89" t="s">
        <v>319</v>
      </c>
      <c r="O32" s="90">
        <v>18</v>
      </c>
    </row>
    <row r="33" spans="2:15" x14ac:dyDescent="0.25">
      <c r="B33" s="188" t="s">
        <v>929</v>
      </c>
      <c r="C33" s="186" t="s">
        <v>2</v>
      </c>
      <c r="D33" s="100" t="s">
        <v>7</v>
      </c>
      <c r="I33" s="77"/>
      <c r="J33" s="78"/>
      <c r="L33" s="89" t="s">
        <v>320</v>
      </c>
      <c r="M33" s="90">
        <v>9</v>
      </c>
      <c r="N33" s="89" t="s">
        <v>320</v>
      </c>
      <c r="O33" s="90">
        <v>20</v>
      </c>
    </row>
    <row r="34" spans="2:15" x14ac:dyDescent="0.25">
      <c r="B34" s="188" t="s">
        <v>933</v>
      </c>
      <c r="C34" s="186" t="s">
        <v>1</v>
      </c>
      <c r="D34" s="100" t="s">
        <v>7</v>
      </c>
      <c r="F34" s="347"/>
      <c r="G34" s="347"/>
      <c r="I34" s="338" t="s">
        <v>323</v>
      </c>
      <c r="J34" s="338"/>
      <c r="K34" s="338" t="s">
        <v>322</v>
      </c>
      <c r="L34" s="338"/>
    </row>
    <row r="35" spans="2:15" ht="15" customHeight="1" x14ac:dyDescent="0.25">
      <c r="B35" s="188" t="s">
        <v>934</v>
      </c>
      <c r="C35" s="186" t="s">
        <v>4</v>
      </c>
      <c r="D35" s="100" t="s">
        <v>7</v>
      </c>
      <c r="I35" s="338"/>
      <c r="J35" s="338"/>
      <c r="K35" s="338"/>
      <c r="L35" s="338"/>
    </row>
    <row r="36" spans="2:15" x14ac:dyDescent="0.25">
      <c r="B36" s="188" t="s">
        <v>923</v>
      </c>
      <c r="C36" s="186" t="s">
        <v>0</v>
      </c>
      <c r="D36" s="100" t="s">
        <v>7</v>
      </c>
      <c r="F36" s="94"/>
      <c r="G36" s="78"/>
      <c r="I36" s="339"/>
      <c r="J36" s="339"/>
      <c r="K36" s="339"/>
      <c r="L36" s="339"/>
    </row>
    <row r="37" spans="2:15" ht="15" customHeight="1" x14ac:dyDescent="0.25">
      <c r="B37" s="188" t="s">
        <v>995</v>
      </c>
      <c r="C37" s="186" t="s">
        <v>0</v>
      </c>
      <c r="D37" s="100" t="s">
        <v>7</v>
      </c>
      <c r="F37" s="94"/>
      <c r="G37" s="78"/>
      <c r="I37" s="91" t="s">
        <v>326</v>
      </c>
      <c r="J37" s="88" t="s">
        <v>327</v>
      </c>
      <c r="K37" s="91" t="s">
        <v>326</v>
      </c>
      <c r="L37" s="88" t="s">
        <v>327</v>
      </c>
    </row>
    <row r="38" spans="2:15" x14ac:dyDescent="0.25">
      <c r="B38" s="188" t="s">
        <v>931</v>
      </c>
      <c r="C38" s="186" t="s">
        <v>1</v>
      </c>
      <c r="D38" s="100" t="s">
        <v>7</v>
      </c>
      <c r="F38" s="94"/>
      <c r="G38" s="78"/>
      <c r="I38" s="89" t="s">
        <v>317</v>
      </c>
      <c r="J38" s="90">
        <v>5</v>
      </c>
      <c r="K38" s="89" t="s">
        <v>317</v>
      </c>
      <c r="L38" s="90">
        <v>10</v>
      </c>
    </row>
    <row r="39" spans="2:15" x14ac:dyDescent="0.25">
      <c r="B39" s="188" t="s">
        <v>939</v>
      </c>
      <c r="C39" s="187" t="s">
        <v>3</v>
      </c>
      <c r="D39" s="100" t="s">
        <v>7</v>
      </c>
      <c r="F39" s="94"/>
      <c r="G39" s="78"/>
      <c r="I39" s="89" t="s">
        <v>318</v>
      </c>
      <c r="J39" s="90">
        <v>7</v>
      </c>
      <c r="K39" s="89" t="s">
        <v>318</v>
      </c>
      <c r="L39" s="90">
        <v>14</v>
      </c>
    </row>
    <row r="40" spans="2:15" x14ac:dyDescent="0.25">
      <c r="B40" s="188" t="s">
        <v>161</v>
      </c>
      <c r="C40" s="186" t="s">
        <v>1</v>
      </c>
      <c r="D40" s="100" t="s">
        <v>6</v>
      </c>
      <c r="I40" s="89" t="s">
        <v>319</v>
      </c>
      <c r="J40" s="90">
        <v>8</v>
      </c>
      <c r="K40" s="89" t="s">
        <v>319</v>
      </c>
      <c r="L40" s="90">
        <v>18</v>
      </c>
    </row>
    <row r="41" spans="2:15" x14ac:dyDescent="0.25">
      <c r="B41" s="188" t="s">
        <v>921</v>
      </c>
      <c r="C41" s="186" t="s">
        <v>1</v>
      </c>
      <c r="D41" s="100" t="s">
        <v>5</v>
      </c>
      <c r="I41" s="89" t="s">
        <v>320</v>
      </c>
      <c r="J41" s="90">
        <v>9</v>
      </c>
      <c r="K41" s="89" t="s">
        <v>320</v>
      </c>
      <c r="L41" s="90">
        <v>20</v>
      </c>
    </row>
    <row r="42" spans="2:15" x14ac:dyDescent="0.25">
      <c r="B42" s="188" t="s">
        <v>938</v>
      </c>
      <c r="C42" s="187" t="s">
        <v>3</v>
      </c>
      <c r="D42" s="100" t="s">
        <v>7</v>
      </c>
    </row>
    <row r="43" spans="2:15" x14ac:dyDescent="0.25">
      <c r="B43" s="188" t="s">
        <v>162</v>
      </c>
      <c r="C43" s="186" t="s">
        <v>2</v>
      </c>
      <c r="D43" s="100" t="s">
        <v>5</v>
      </c>
    </row>
    <row r="44" spans="2:15" x14ac:dyDescent="0.25">
      <c r="B44" s="188" t="s">
        <v>930</v>
      </c>
      <c r="C44" s="186" t="s">
        <v>1</v>
      </c>
      <c r="D44" s="100" t="s">
        <v>7</v>
      </c>
      <c r="F44" s="338" t="s">
        <v>674</v>
      </c>
      <c r="G44" s="338"/>
    </row>
    <row r="45" spans="2:15" x14ac:dyDescent="0.25">
      <c r="B45" s="188" t="s">
        <v>907</v>
      </c>
      <c r="C45" s="186" t="s">
        <v>0</v>
      </c>
      <c r="D45" s="100" t="s">
        <v>6</v>
      </c>
      <c r="F45" s="339"/>
      <c r="G45" s="339"/>
    </row>
    <row r="46" spans="2:15" x14ac:dyDescent="0.25">
      <c r="B46" s="188" t="s">
        <v>163</v>
      </c>
      <c r="C46" s="187" t="s">
        <v>3</v>
      </c>
      <c r="D46" s="100" t="s">
        <v>5</v>
      </c>
      <c r="F46" s="88" t="s">
        <v>314</v>
      </c>
      <c r="G46" s="88" t="s">
        <v>14</v>
      </c>
    </row>
    <row r="47" spans="2:15" x14ac:dyDescent="0.25">
      <c r="B47" s="188" t="s">
        <v>920</v>
      </c>
      <c r="C47" s="186" t="s">
        <v>1</v>
      </c>
      <c r="D47" s="100" t="s">
        <v>5</v>
      </c>
      <c r="F47" s="89" t="s">
        <v>103</v>
      </c>
      <c r="G47" s="90" t="s">
        <v>0</v>
      </c>
    </row>
    <row r="48" spans="2:15" x14ac:dyDescent="0.25">
      <c r="B48" s="188" t="s">
        <v>912</v>
      </c>
      <c r="C48" s="186" t="s">
        <v>1</v>
      </c>
      <c r="D48" s="100" t="s">
        <v>6</v>
      </c>
      <c r="F48" s="89" t="s">
        <v>105</v>
      </c>
      <c r="G48" s="90" t="s">
        <v>2</v>
      </c>
    </row>
    <row r="49" spans="2:7" x14ac:dyDescent="0.25">
      <c r="B49" s="188" t="s">
        <v>911</v>
      </c>
      <c r="C49" s="186" t="s">
        <v>1</v>
      </c>
      <c r="D49" s="100" t="s">
        <v>6</v>
      </c>
      <c r="F49" s="89" t="s">
        <v>107</v>
      </c>
      <c r="G49" s="90" t="s">
        <v>3</v>
      </c>
    </row>
    <row r="50" spans="2:7" x14ac:dyDescent="0.25">
      <c r="B50" s="188" t="s">
        <v>164</v>
      </c>
      <c r="C50" s="187" t="s">
        <v>3</v>
      </c>
      <c r="D50" s="100" t="s">
        <v>5</v>
      </c>
      <c r="F50" s="89" t="s">
        <v>109</v>
      </c>
      <c r="G50" s="90" t="s">
        <v>1</v>
      </c>
    </row>
    <row r="51" spans="2:7" x14ac:dyDescent="0.25">
      <c r="B51" s="188" t="s">
        <v>932</v>
      </c>
      <c r="C51" s="186" t="s">
        <v>1</v>
      </c>
      <c r="D51" s="100" t="s">
        <v>7</v>
      </c>
      <c r="F51" s="89" t="s">
        <v>111</v>
      </c>
      <c r="G51" s="90" t="s">
        <v>2</v>
      </c>
    </row>
    <row r="52" spans="2:7" x14ac:dyDescent="0.25">
      <c r="B52" s="188" t="s">
        <v>165</v>
      </c>
      <c r="C52" s="186" t="s">
        <v>1</v>
      </c>
      <c r="D52" s="100" t="s">
        <v>5</v>
      </c>
      <c r="F52" s="89" t="s">
        <v>112</v>
      </c>
      <c r="G52" s="90" t="s">
        <v>4</v>
      </c>
    </row>
    <row r="53" spans="2:7" x14ac:dyDescent="0.25">
      <c r="B53" s="188" t="s">
        <v>940</v>
      </c>
      <c r="C53" s="187" t="s">
        <v>3</v>
      </c>
      <c r="D53" s="100" t="s">
        <v>7</v>
      </c>
      <c r="F53" s="89" t="s">
        <v>114</v>
      </c>
      <c r="G53" s="90" t="s">
        <v>4</v>
      </c>
    </row>
    <row r="54" spans="2:7" x14ac:dyDescent="0.25">
      <c r="B54" s="188" t="s">
        <v>924</v>
      </c>
      <c r="C54" s="186" t="s">
        <v>0</v>
      </c>
      <c r="D54" s="100" t="s">
        <v>7</v>
      </c>
      <c r="F54" s="89" t="s">
        <v>115</v>
      </c>
      <c r="G54" s="90" t="s">
        <v>4</v>
      </c>
    </row>
    <row r="55" spans="2:7" x14ac:dyDescent="0.25">
      <c r="B55" s="188" t="s">
        <v>906</v>
      </c>
      <c r="C55" s="186" t="s">
        <v>0</v>
      </c>
      <c r="D55" s="100" t="s">
        <v>6</v>
      </c>
      <c r="F55" s="89" t="s">
        <v>116</v>
      </c>
      <c r="G55" s="90" t="s">
        <v>3</v>
      </c>
    </row>
    <row r="56" spans="2:7" x14ac:dyDescent="0.25">
      <c r="B56" s="188" t="s">
        <v>166</v>
      </c>
      <c r="C56" s="187" t="s">
        <v>3</v>
      </c>
      <c r="D56" s="100" t="s">
        <v>5</v>
      </c>
      <c r="F56" s="89" t="s">
        <v>117</v>
      </c>
      <c r="G56" s="90" t="s">
        <v>2</v>
      </c>
    </row>
    <row r="57" spans="2:7" x14ac:dyDescent="0.25">
      <c r="B57" s="188" t="s">
        <v>908</v>
      </c>
      <c r="C57" s="186" t="s">
        <v>0</v>
      </c>
      <c r="D57" s="100" t="s">
        <v>6</v>
      </c>
      <c r="F57" s="89" t="s">
        <v>118</v>
      </c>
      <c r="G57" s="90" t="s">
        <v>1</v>
      </c>
    </row>
    <row r="58" spans="2:7" x14ac:dyDescent="0.25">
      <c r="B58" s="188" t="s">
        <v>935</v>
      </c>
      <c r="C58" s="186" t="s">
        <v>4</v>
      </c>
      <c r="D58" s="100" t="s">
        <v>7</v>
      </c>
      <c r="F58" s="89" t="s">
        <v>119</v>
      </c>
      <c r="G58" s="90" t="s">
        <v>3</v>
      </c>
    </row>
    <row r="59" spans="2:7" x14ac:dyDescent="0.25">
      <c r="B59" s="188" t="s">
        <v>928</v>
      </c>
      <c r="C59" s="186" t="s">
        <v>2</v>
      </c>
      <c r="D59" s="100" t="s">
        <v>7</v>
      </c>
      <c r="F59" s="89" t="s">
        <v>120</v>
      </c>
      <c r="G59" s="90" t="s">
        <v>1</v>
      </c>
    </row>
    <row r="60" spans="2:7" x14ac:dyDescent="0.25">
      <c r="B60" s="188" t="s">
        <v>913</v>
      </c>
      <c r="C60" s="186" t="s">
        <v>1</v>
      </c>
      <c r="D60" s="100" t="s">
        <v>6</v>
      </c>
      <c r="F60" s="89" t="s">
        <v>121</v>
      </c>
      <c r="G60" s="90" t="s">
        <v>2</v>
      </c>
    </row>
    <row r="61" spans="2:7" x14ac:dyDescent="0.25">
      <c r="B61" s="188" t="s">
        <v>927</v>
      </c>
      <c r="C61" s="186" t="s">
        <v>2</v>
      </c>
      <c r="D61" s="100" t="s">
        <v>7</v>
      </c>
      <c r="F61" s="89" t="s">
        <v>122</v>
      </c>
      <c r="G61" s="90" t="s">
        <v>3</v>
      </c>
    </row>
    <row r="62" spans="2:7" x14ac:dyDescent="0.25">
      <c r="B62" s="188" t="s">
        <v>917</v>
      </c>
      <c r="C62" s="187" t="s">
        <v>3</v>
      </c>
      <c r="D62" s="100" t="s">
        <v>6</v>
      </c>
      <c r="F62" s="89" t="s">
        <v>123</v>
      </c>
      <c r="G62" s="90" t="s">
        <v>3</v>
      </c>
    </row>
    <row r="63" spans="2:7" x14ac:dyDescent="0.25">
      <c r="B63" s="188" t="s">
        <v>937</v>
      </c>
      <c r="C63" s="186" t="s">
        <v>4</v>
      </c>
      <c r="D63" s="100" t="s">
        <v>7</v>
      </c>
      <c r="F63" s="89" t="s">
        <v>124</v>
      </c>
      <c r="G63" s="90" t="s">
        <v>1</v>
      </c>
    </row>
    <row r="64" spans="2:7" x14ac:dyDescent="0.25">
      <c r="F64" s="89" t="s">
        <v>125</v>
      </c>
      <c r="G64" s="90" t="s">
        <v>1</v>
      </c>
    </row>
    <row r="65" spans="6:7" x14ac:dyDescent="0.25">
      <c r="F65" s="89" t="s">
        <v>126</v>
      </c>
      <c r="G65" s="90" t="s">
        <v>4</v>
      </c>
    </row>
    <row r="66" spans="6:7" x14ac:dyDescent="0.25">
      <c r="F66" s="89" t="s">
        <v>127</v>
      </c>
      <c r="G66" s="90" t="s">
        <v>0</v>
      </c>
    </row>
    <row r="67" spans="6:7" x14ac:dyDescent="0.25">
      <c r="F67" s="89" t="s">
        <v>128</v>
      </c>
      <c r="G67" s="90" t="s">
        <v>2</v>
      </c>
    </row>
    <row r="68" spans="6:7" x14ac:dyDescent="0.25">
      <c r="F68" s="89" t="s">
        <v>129</v>
      </c>
      <c r="G68" s="90" t="s">
        <v>0</v>
      </c>
    </row>
    <row r="69" spans="6:7" x14ac:dyDescent="0.25">
      <c r="F69" s="89" t="s">
        <v>130</v>
      </c>
      <c r="G69" s="90" t="s">
        <v>4</v>
      </c>
    </row>
    <row r="70" spans="6:7" x14ac:dyDescent="0.25">
      <c r="F70" s="89" t="s">
        <v>131</v>
      </c>
      <c r="G70" s="90" t="s">
        <v>1</v>
      </c>
    </row>
    <row r="71" spans="6:7" x14ac:dyDescent="0.25">
      <c r="F71" s="89" t="s">
        <v>132</v>
      </c>
      <c r="G71" s="90" t="s">
        <v>0</v>
      </c>
    </row>
    <row r="72" spans="6:7" x14ac:dyDescent="0.25">
      <c r="F72" s="89" t="s">
        <v>133</v>
      </c>
      <c r="G72" s="90" t="s">
        <v>2</v>
      </c>
    </row>
    <row r="73" spans="6:7" x14ac:dyDescent="0.25">
      <c r="F73" s="89" t="s">
        <v>134</v>
      </c>
      <c r="G73" s="90" t="s">
        <v>3</v>
      </c>
    </row>
    <row r="74" spans="6:7" x14ac:dyDescent="0.25">
      <c r="F74" s="89" t="s">
        <v>135</v>
      </c>
      <c r="G74" s="90" t="s">
        <v>0</v>
      </c>
    </row>
    <row r="75" spans="6:7" x14ac:dyDescent="0.25">
      <c r="F75" s="89" t="s">
        <v>136</v>
      </c>
      <c r="G75" s="90" t="s">
        <v>0</v>
      </c>
    </row>
    <row r="76" spans="6:7" x14ac:dyDescent="0.25">
      <c r="F76" s="89" t="s">
        <v>137</v>
      </c>
      <c r="G76" s="90" t="s">
        <v>4</v>
      </c>
    </row>
  </sheetData>
  <sheetProtection algorithmName="SHA-512" hashValue="clBMokvSnDeRH7tkPAdE8n1SNTovwaSSmESk/CGdNeZf6Vezzlch2mLlLX2oBX8Int+TlJjUOhzBOM3RPo48xw==" saltValue="LrgS5o4m6zjQgV5UZkv61A==" spinCount="100000" sheet="1" objects="1" scenarios="1" selectLockedCells="1" selectUnlockedCells="1"/>
  <sortState ref="B4:D22">
    <sortCondition ref="B4:B22"/>
  </sortState>
  <customSheetViews>
    <customSheetView guid="{5F7E442B-9104-458B-9892-4194DBB06FCD}">
      <selection activeCell="I12" sqref="I12"/>
      <pageMargins left="0.511811024" right="0.511811024" top="0.78740157499999996" bottom="0.78740157499999996" header="0.31496062000000002" footer="0.31496062000000002"/>
      <pageSetup paperSize="9" orientation="portrait" r:id="rId1"/>
    </customSheetView>
  </customSheetViews>
  <mergeCells count="63">
    <mergeCell ref="J24:K24"/>
    <mergeCell ref="G19:H19"/>
    <mergeCell ref="G20:H20"/>
    <mergeCell ref="G21:H21"/>
    <mergeCell ref="J22:K22"/>
    <mergeCell ref="J23:K23"/>
    <mergeCell ref="F44:G45"/>
    <mergeCell ref="G4:H4"/>
    <mergeCell ref="G5:H5"/>
    <mergeCell ref="G6:H6"/>
    <mergeCell ref="G7:H7"/>
    <mergeCell ref="G8:H8"/>
    <mergeCell ref="G9:H9"/>
    <mergeCell ref="G10:H10"/>
    <mergeCell ref="G11:H11"/>
    <mergeCell ref="G12:H12"/>
    <mergeCell ref="G13:H13"/>
    <mergeCell ref="G14:H14"/>
    <mergeCell ref="G15:H15"/>
    <mergeCell ref="G16:H16"/>
    <mergeCell ref="F34:G34"/>
    <mergeCell ref="F25:G27"/>
    <mergeCell ref="L1:N2"/>
    <mergeCell ref="I34:J36"/>
    <mergeCell ref="K34:L36"/>
    <mergeCell ref="J9:K9"/>
    <mergeCell ref="J10:K10"/>
    <mergeCell ref="J19:K19"/>
    <mergeCell ref="J20:K20"/>
    <mergeCell ref="J21:K21"/>
    <mergeCell ref="J3:K3"/>
    <mergeCell ref="J11:K12"/>
    <mergeCell ref="H25:I27"/>
    <mergeCell ref="G22:H22"/>
    <mergeCell ref="G23:H23"/>
    <mergeCell ref="G3:H3"/>
    <mergeCell ref="G17:H17"/>
    <mergeCell ref="G18:H18"/>
    <mergeCell ref="M18:N18"/>
    <mergeCell ref="M19:N19"/>
    <mergeCell ref="M20:N20"/>
    <mergeCell ref="M21:N21"/>
    <mergeCell ref="M11:N11"/>
    <mergeCell ref="M12:N12"/>
    <mergeCell ref="M13:N13"/>
    <mergeCell ref="M14:N14"/>
    <mergeCell ref="M15:N15"/>
    <mergeCell ref="B1:D2"/>
    <mergeCell ref="L26:M28"/>
    <mergeCell ref="N26:O28"/>
    <mergeCell ref="M3:N3"/>
    <mergeCell ref="M4:N4"/>
    <mergeCell ref="M5:N5"/>
    <mergeCell ref="M6:N6"/>
    <mergeCell ref="M7:N7"/>
    <mergeCell ref="M8:N8"/>
    <mergeCell ref="M9:N9"/>
    <mergeCell ref="M10:N10"/>
    <mergeCell ref="F1:H2"/>
    <mergeCell ref="M16:N16"/>
    <mergeCell ref="M22:N22"/>
    <mergeCell ref="M23:N23"/>
    <mergeCell ref="M17:N17"/>
  </mergeCell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10</vt:i4>
      </vt:variant>
      <vt:variant>
        <vt:lpstr>Intervalos Nomeados</vt:lpstr>
      </vt:variant>
      <vt:variant>
        <vt:i4>57</vt:i4>
      </vt:variant>
    </vt:vector>
  </HeadingPairs>
  <TitlesOfParts>
    <vt:vector size="67" baseType="lpstr">
      <vt:lpstr>Database</vt:lpstr>
      <vt:lpstr>Histórico Pessoal</vt:lpstr>
      <vt:lpstr>Informações Gerais</vt:lpstr>
      <vt:lpstr>Especificações</vt:lpstr>
      <vt:lpstr>Personalização</vt:lpstr>
      <vt:lpstr>Calculadora</vt:lpstr>
      <vt:lpstr>Efeitos +</vt:lpstr>
      <vt:lpstr>Efeitos -</vt:lpstr>
      <vt:lpstr>Bonificações</vt:lpstr>
      <vt:lpstr>BD</vt:lpstr>
      <vt:lpstr>aptbonus</vt:lpstr>
      <vt:lpstr>aptidão</vt:lpstr>
      <vt:lpstr>arteebônus</vt:lpstr>
      <vt:lpstr>artes</vt:lpstr>
      <vt:lpstr>artesplus</vt:lpstr>
      <vt:lpstr>Bakudou</vt:lpstr>
      <vt:lpstr>bakudoulist</vt:lpstr>
      <vt:lpstr>BD!bleach_game_rpg</vt:lpstr>
      <vt:lpstr>bônus</vt:lpstr>
      <vt:lpstr>bônusatributo</vt:lpstr>
      <vt:lpstr>bônusmeio</vt:lpstr>
      <vt:lpstr>CalculadoraHabilidade</vt:lpstr>
      <vt:lpstr>classes</vt:lpstr>
      <vt:lpstr>classesebônus</vt:lpstr>
      <vt:lpstr>cores</vt:lpstr>
      <vt:lpstr>divisões</vt:lpstr>
      <vt:lpstr>Efeitosnegativos</vt:lpstr>
      <vt:lpstr>Efeitospositivos</vt:lpstr>
      <vt:lpstr>Especiais</vt:lpstr>
      <vt:lpstr>especiaislist</vt:lpstr>
      <vt:lpstr>especialização</vt:lpstr>
      <vt:lpstr>essênciaebônus</vt:lpstr>
      <vt:lpstr>essências</vt:lpstr>
      <vt:lpstr>FichaToda</vt:lpstr>
      <vt:lpstr>Hadou</vt:lpstr>
      <vt:lpstr>hadoulist</vt:lpstr>
      <vt:lpstr>hohou</vt:lpstr>
      <vt:lpstr>hohoutec</vt:lpstr>
      <vt:lpstr>Hollow</vt:lpstr>
      <vt:lpstr>hollowlist</vt:lpstr>
      <vt:lpstr>lenda</vt:lpstr>
      <vt:lpstr>Lendario</vt:lpstr>
      <vt:lpstr>listanomes</vt:lpstr>
      <vt:lpstr>multiplicadores</vt:lpstr>
      <vt:lpstr>Name</vt:lpstr>
      <vt:lpstr>Parentesco</vt:lpstr>
      <vt:lpstr>patente</vt:lpstr>
      <vt:lpstr>Posto</vt:lpstr>
      <vt:lpstr>PostoCerto</vt:lpstr>
      <vt:lpstr>postoebônus</vt:lpstr>
      <vt:lpstr>PPCerto</vt:lpstr>
      <vt:lpstr>PPCerto2</vt:lpstr>
      <vt:lpstr>pplista</vt:lpstr>
      <vt:lpstr>procvessencias</vt:lpstr>
      <vt:lpstr>qlbônus</vt:lpstr>
      <vt:lpstr>raça</vt:lpstr>
      <vt:lpstr>redutores</vt:lpstr>
      <vt:lpstr>Senha</vt:lpstr>
      <vt:lpstr>SenhaCerta</vt:lpstr>
      <vt:lpstr>sexo</vt:lpstr>
      <vt:lpstr>status1</vt:lpstr>
      <vt:lpstr>status2</vt:lpstr>
      <vt:lpstr>Synder</vt:lpstr>
      <vt:lpstr>tbônus</vt:lpstr>
      <vt:lpstr>zeroàcinco</vt:lpstr>
      <vt:lpstr>zeroàdez</vt:lpstr>
      <vt:lpstr>zeroàvinte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Ícaro Mainarte</dc:creator>
  <cp:keywords>11</cp:keywords>
  <cp:lastModifiedBy>Francisco Tavares</cp:lastModifiedBy>
  <dcterms:created xsi:type="dcterms:W3CDTF">2011-07-15T14:49:14Z</dcterms:created>
  <dcterms:modified xsi:type="dcterms:W3CDTF">2019-01-14T04:04:42Z</dcterms:modified>
  <cp:category>Ficha de Personagem 4.1.2</cp:category>
  <cp:contentStatus>Fechado</cp:contentStatus>
</cp:coreProperties>
</file>