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edu-my.sharepoint.com/personal/fsanchez2858_uta_edu_ec/Documents/Proyecto Moviles 2023/"/>
    </mc:Choice>
  </mc:AlternateContent>
  <xr:revisionPtr revIDLastSave="90" documentId="8_{979D5EAD-C61F-4A74-8321-1D51C67FE38E}" xr6:coauthVersionLast="47" xr6:coauthVersionMax="47" xr10:uidLastSave="{9B1D7429-C3AA-4EA2-86B8-AAFEE72C1C9F}"/>
  <bookViews>
    <workbookView xWindow="-120" yWindow="-120" windowWidth="29040" windowHeight="15840" activeTab="4" xr2:uid="{54C31D5D-E64C-4AE5-9EC1-1267E7C37256}"/>
  </bookViews>
  <sheets>
    <sheet name="Df, R(s), g" sheetId="1" r:id="rId1"/>
    <sheet name="Demanda futura" sheetId="2" r:id="rId2"/>
    <sheet name="Ingenieria de trafico" sheetId="4" r:id="rId3"/>
    <sheet name="Equipos" sheetId="7" r:id="rId4"/>
    <sheet name="Backup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H7" i="8"/>
  <c r="H3" i="8"/>
  <c r="H4" i="8"/>
  <c r="H5" i="8"/>
  <c r="H6" i="8"/>
  <c r="H2" i="8"/>
  <c r="C7" i="8"/>
  <c r="D7" i="8"/>
  <c r="E7" i="8"/>
  <c r="F7" i="8"/>
  <c r="G7" i="8"/>
  <c r="B7" i="8"/>
  <c r="G3" i="8"/>
  <c r="G4" i="8"/>
  <c r="G5" i="8"/>
  <c r="G6" i="8"/>
  <c r="G2" i="8"/>
  <c r="E3" i="8"/>
  <c r="E4" i="8"/>
  <c r="E5" i="8"/>
  <c r="E6" i="8"/>
  <c r="E2" i="8"/>
  <c r="C3" i="8"/>
  <c r="C4" i="8"/>
  <c r="C5" i="8"/>
  <c r="C6" i="8"/>
  <c r="C2" i="8"/>
  <c r="F22" i="2"/>
  <c r="F2" i="2"/>
  <c r="F4" i="2" s="1"/>
  <c r="E2" i="2"/>
  <c r="E5" i="2" s="1"/>
  <c r="D2" i="2"/>
  <c r="D7" i="2" s="1"/>
  <c r="C2" i="2"/>
  <c r="C4" i="2" s="1"/>
  <c r="B2" i="2"/>
  <c r="B4" i="2" s="1"/>
  <c r="G6" i="1"/>
  <c r="D16" i="7"/>
  <c r="D14" i="7"/>
  <c r="D15" i="7"/>
  <c r="D13" i="7"/>
  <c r="G6" i="4"/>
  <c r="F6" i="4"/>
  <c r="E6" i="4"/>
  <c r="D6" i="4"/>
  <c r="C6" i="4"/>
  <c r="B9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E5" i="4"/>
  <c r="F5" i="4"/>
  <c r="G5" i="4"/>
  <c r="D5" i="4"/>
  <c r="C5" i="4"/>
  <c r="C3" i="1"/>
  <c r="D3" i="1" s="1"/>
  <c r="E3" i="1" s="1"/>
  <c r="F3" i="1" s="1"/>
  <c r="G3" i="1" s="1"/>
  <c r="C4" i="1"/>
  <c r="D4" i="1" s="1"/>
  <c r="E4" i="1" s="1"/>
  <c r="F4" i="1" s="1"/>
  <c r="G4" i="1" s="1"/>
  <c r="C5" i="1"/>
  <c r="D5" i="1" s="1"/>
  <c r="E5" i="1" s="1"/>
  <c r="C6" i="1"/>
  <c r="D6" i="1" s="1"/>
  <c r="E6" i="1" s="1"/>
  <c r="F6" i="1" s="1"/>
  <c r="C2" i="1"/>
  <c r="D2" i="1" s="1"/>
  <c r="E2" i="1" s="1"/>
  <c r="F2" i="1" s="1"/>
  <c r="G2" i="1" s="1"/>
  <c r="F19" i="2"/>
  <c r="F3" i="2"/>
  <c r="E12" i="2"/>
  <c r="E16" i="2"/>
  <c r="E20" i="2"/>
  <c r="D18" i="2"/>
  <c r="D22" i="2"/>
  <c r="C7" i="2"/>
  <c r="C11" i="2"/>
  <c r="C15" i="2"/>
  <c r="C19" i="2"/>
  <c r="C3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7" i="1"/>
  <c r="F18" i="2" l="1"/>
  <c r="F14" i="2"/>
  <c r="F10" i="2"/>
  <c r="F6" i="2"/>
  <c r="F15" i="2"/>
  <c r="F11" i="2"/>
  <c r="F7" i="2"/>
  <c r="F21" i="2"/>
  <c r="F17" i="2"/>
  <c r="F13" i="2"/>
  <c r="F9" i="2"/>
  <c r="F5" i="2"/>
  <c r="F20" i="2"/>
  <c r="F16" i="2"/>
  <c r="F12" i="2"/>
  <c r="F8" i="2"/>
  <c r="E3" i="2"/>
  <c r="E19" i="2"/>
  <c r="E15" i="2"/>
  <c r="E11" i="2"/>
  <c r="E7" i="2"/>
  <c r="E8" i="2"/>
  <c r="E4" i="2"/>
  <c r="E22" i="2"/>
  <c r="E18" i="2"/>
  <c r="E14" i="2"/>
  <c r="E10" i="2"/>
  <c r="E6" i="2"/>
  <c r="E21" i="2"/>
  <c r="E17" i="2"/>
  <c r="E13" i="2"/>
  <c r="E9" i="2"/>
  <c r="D20" i="2"/>
  <c r="D16" i="2"/>
  <c r="D12" i="2"/>
  <c r="D8" i="2"/>
  <c r="D4" i="2"/>
  <c r="D14" i="2"/>
  <c r="D10" i="2"/>
  <c r="D6" i="2"/>
  <c r="D21" i="2"/>
  <c r="D17" i="2"/>
  <c r="D13" i="2"/>
  <c r="D9" i="2"/>
  <c r="D5" i="2"/>
  <c r="D3" i="2"/>
  <c r="D19" i="2"/>
  <c r="D15" i="2"/>
  <c r="D11" i="2"/>
  <c r="C22" i="2"/>
  <c r="C18" i="2"/>
  <c r="C14" i="2"/>
  <c r="C10" i="2"/>
  <c r="C6" i="2"/>
  <c r="C21" i="2"/>
  <c r="C17" i="2"/>
  <c r="C13" i="2"/>
  <c r="C9" i="2"/>
  <c r="C5" i="2"/>
  <c r="C20" i="2"/>
  <c r="C16" i="2"/>
  <c r="C12" i="2"/>
  <c r="C8" i="2"/>
  <c r="B9" i="2"/>
  <c r="B5" i="2"/>
  <c r="F5" i="1"/>
  <c r="G5" i="1" s="1"/>
  <c r="D9" i="4"/>
  <c r="E9" i="4"/>
  <c r="G9" i="4"/>
  <c r="F9" i="4"/>
  <c r="C9" i="4"/>
  <c r="E7" i="1"/>
  <c r="D7" i="1"/>
  <c r="C7" i="1"/>
  <c r="F7" i="1" l="1"/>
  <c r="G7" i="1" s="1"/>
</calcChain>
</file>

<file path=xl/sharedStrings.xml><?xml version="1.0" encoding="utf-8"?>
<sst xmlns="http://schemas.openxmlformats.org/spreadsheetml/2006/main" count="111" uniqueCount="85">
  <si>
    <t>Edificio</t>
  </si>
  <si>
    <t>Demanda año 2023</t>
  </si>
  <si>
    <t>Demanda año 2028</t>
  </si>
  <si>
    <t>Demanda año 2033</t>
  </si>
  <si>
    <t>Demanda año 2038</t>
  </si>
  <si>
    <t>Matriz</t>
  </si>
  <si>
    <t>Sucursal 1</t>
  </si>
  <si>
    <t>Sucursal 2</t>
  </si>
  <si>
    <t>Sucursal 3</t>
  </si>
  <si>
    <t>Sucursal 4</t>
  </si>
  <si>
    <t>Total</t>
  </si>
  <si>
    <t>Año</t>
  </si>
  <si>
    <t>Capacidad de la red secundaria R(s)</t>
  </si>
  <si>
    <t>Grado de ocupación actual de la red - g</t>
  </si>
  <si>
    <t>General Browsing and Email</t>
  </si>
  <si>
    <t>File Downloading</t>
  </si>
  <si>
    <t>Social Media</t>
  </si>
  <si>
    <t>Streaming High Definition (HD) Video</t>
  </si>
  <si>
    <t>Uso General</t>
  </si>
  <si>
    <t>Ancho de banda minimo (Mbps)</t>
  </si>
  <si>
    <t xml:space="preserve">HD Personal Video Call </t>
  </si>
  <si>
    <t>VOIP</t>
  </si>
  <si>
    <t>Security Cameras</t>
  </si>
  <si>
    <t>Modelo:</t>
  </si>
  <si>
    <t>AMO-5G13</t>
  </si>
  <si>
    <t>5.45 – 5.85 GHz</t>
  </si>
  <si>
    <t>13 dBi</t>
  </si>
  <si>
    <t>Lineal Dual</t>
  </si>
  <si>
    <t>1.5:1</t>
  </si>
  <si>
    <t>7°</t>
  </si>
  <si>
    <t>799 x 90 x 65 mm</t>
  </si>
  <si>
    <t>AM-2G15-120</t>
  </si>
  <si>
    <t>2.3 GHz a 2.7 GHz</t>
  </si>
  <si>
    <t>15 dBi</t>
  </si>
  <si>
    <t>9°</t>
  </si>
  <si>
    <t>4°</t>
  </si>
  <si>
    <t>700 x 145 x 93 mm</t>
  </si>
  <si>
    <t>AM-5G19-120</t>
  </si>
  <si>
    <t>5.15 GHz - 5.85 GHz</t>
  </si>
  <si>
    <t>19 dBi</t>
  </si>
  <si>
    <t>2°</t>
  </si>
  <si>
    <t>700 x 135 x 73 mm</t>
  </si>
  <si>
    <t>AF-5G30-S45</t>
  </si>
  <si>
    <t>4.9-5.9 GHz</t>
  </si>
  <si>
    <t>Dual</t>
  </si>
  <si>
    <t>650 x 650 x 386 mm (25.6 x 25.6 x 15.2″)</t>
  </si>
  <si>
    <t>1.6:1</t>
  </si>
  <si>
    <t>5.8°</t>
  </si>
  <si>
    <t xml:space="preserve">Max VSWR </t>
  </si>
  <si>
    <t>Rango de Frecuencias</t>
  </si>
  <si>
    <t>Ganancia</t>
  </si>
  <si>
    <t>Polarización</t>
  </si>
  <si>
    <t>Polarización Horizontal</t>
  </si>
  <si>
    <t>Polarización Vertical</t>
  </si>
  <si>
    <t>Dimensiones</t>
  </si>
  <si>
    <t>Costo</t>
  </si>
  <si>
    <t>Modelo</t>
  </si>
  <si>
    <t>Potencia TX</t>
  </si>
  <si>
    <t>Frecuencia de operación</t>
  </si>
  <si>
    <t>Alcance</t>
  </si>
  <si>
    <t>RocketM2 Ubiquiti Radiobase airMAX M2</t>
  </si>
  <si>
    <t>28dbm</t>
  </si>
  <si>
    <t>2.4GHz</t>
  </si>
  <si>
    <t>50Km</t>
  </si>
  <si>
    <t>RocketM5 Ubiquiti Radiobase airMAX M5</t>
  </si>
  <si>
    <t>27dbm</t>
  </si>
  <si>
    <t>5GHz</t>
  </si>
  <si>
    <t>Rocket 5AC-Lite</t>
  </si>
  <si>
    <t>-</t>
  </si>
  <si>
    <t>Equipo</t>
  </si>
  <si>
    <t>Cantidad</t>
  </si>
  <si>
    <t>Costo unitario</t>
  </si>
  <si>
    <t>Costo Total</t>
  </si>
  <si>
    <t>26 dBi (4.9 GHz)     30 dBi (5-5.9 GHz)</t>
  </si>
  <si>
    <t>Enlace</t>
  </si>
  <si>
    <t>Distancia</t>
  </si>
  <si>
    <t>Matriz – Sucursal 1</t>
  </si>
  <si>
    <t>Matriz – Sucursal 2</t>
  </si>
  <si>
    <t>Matriz – Sucursal 3</t>
  </si>
  <si>
    <t>Matriz – Sucursal 4</t>
  </si>
  <si>
    <t>Matriz – CNT</t>
  </si>
  <si>
    <t>empalmes</t>
  </si>
  <si>
    <t>Perdidas por distancia</t>
  </si>
  <si>
    <t>perdida de empalme</t>
  </si>
  <si>
    <t>conectores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</si>
</sst>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212529"/>
      <name val="Times New Roman"/>
      <family val="1"/>
    </font>
    <font>
      <sz val="10.5"/>
      <color rgb="FF212529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333333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5" xfId="0" applyNumberFormat="1" applyBorder="1"/>
    <xf numFmtId="0" fontId="0" fillId="0" borderId="5" xfId="0" applyBorder="1"/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18" xfId="0" applyNumberFormat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9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1" fontId="0" fillId="0" borderId="16" xfId="0" applyNumberFormat="1" applyBorder="1"/>
    <xf numFmtId="1" fontId="0" fillId="0" borderId="19" xfId="0" applyNumberFormat="1" applyBorder="1"/>
    <xf numFmtId="1" fontId="0" fillId="0" borderId="6" xfId="0" applyNumberFormat="1" applyBorder="1"/>
    <xf numFmtId="1" fontId="0" fillId="0" borderId="17" xfId="0" applyNumberFormat="1" applyBorder="1"/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Demanda Futura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3547275728796912E-2"/>
          <c:y val="0.12330640567602337"/>
          <c:w val="0.90779600999158616"/>
          <c:h val="0.74421107033805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'Demanda futura'!$B$1</c:f>
              <c:strCache>
                <c:ptCount val="1"/>
                <c:pt idx="0">
                  <c:v>Matriz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futura'!$B$2:$B$22</c:f>
              <c:numCache>
                <c:formatCode>0</c:formatCode>
                <c:ptCount val="21"/>
                <c:pt idx="0" formatCode="General">
                  <c:v>37</c:v>
                </c:pt>
                <c:pt idx="1">
                  <c:v>38.85</c:v>
                </c:pt>
                <c:pt idx="2">
                  <c:v>40.792500000000004</c:v>
                </c:pt>
                <c:pt idx="3">
                  <c:v>42.832125000000005</c:v>
                </c:pt>
                <c:pt idx="4">
                  <c:v>44.97373125</c:v>
                </c:pt>
                <c:pt idx="5">
                  <c:v>47.222417812500005</c:v>
                </c:pt>
                <c:pt idx="6">
                  <c:v>49.583538703125001</c:v>
                </c:pt>
                <c:pt idx="7">
                  <c:v>52.062715638281261</c:v>
                </c:pt>
                <c:pt idx="8">
                  <c:v>54.665851420195317</c:v>
                </c:pt>
                <c:pt idx="9">
                  <c:v>57.399143991205086</c:v>
                </c:pt>
                <c:pt idx="10">
                  <c:v>60.26910119076534</c:v>
                </c:pt>
                <c:pt idx="11">
                  <c:v>63.282556250303607</c:v>
                </c:pt>
                <c:pt idx="12">
                  <c:v>66.446684062818775</c:v>
                </c:pt>
                <c:pt idx="13">
                  <c:v>69.76901826595973</c:v>
                </c:pt>
                <c:pt idx="14">
                  <c:v>73.257469179257697</c:v>
                </c:pt>
                <c:pt idx="15">
                  <c:v>76.920342638220617</c:v>
                </c:pt>
                <c:pt idx="16">
                  <c:v>80.766359770131629</c:v>
                </c:pt>
                <c:pt idx="17">
                  <c:v>84.804677758638221</c:v>
                </c:pt>
                <c:pt idx="18">
                  <c:v>89.044911646570142</c:v>
                </c:pt>
                <c:pt idx="19">
                  <c:v>93.497157228898644</c:v>
                </c:pt>
                <c:pt idx="20">
                  <c:v>98.172015090343578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8-40CB-9296-07590E72EF71}"/>
            </c:ext>
          </c:extLst>
        </c:ser>
        <c:ser>
          <c:idx val="1"/>
          <c:order val="1"/>
          <c:tx>
            <c:strRef>
              <c:f>'Demanda futura'!$C$1</c:f>
              <c:strCache>
                <c:ptCount val="1"/>
                <c:pt idx="0">
                  <c:v>Sucursal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futura'!$C$2:$C$22</c:f>
              <c:numCache>
                <c:formatCode>0</c:formatCode>
                <c:ptCount val="21"/>
                <c:pt idx="0" formatCode="General">
                  <c:v>13</c:v>
                </c:pt>
                <c:pt idx="1">
                  <c:v>13.65</c:v>
                </c:pt>
                <c:pt idx="2">
                  <c:v>14.3325</c:v>
                </c:pt>
                <c:pt idx="3">
                  <c:v>15.049125000000002</c:v>
                </c:pt>
                <c:pt idx="4">
                  <c:v>15.80158125</c:v>
                </c:pt>
                <c:pt idx="5">
                  <c:v>16.5916603125</c:v>
                </c:pt>
                <c:pt idx="6">
                  <c:v>17.421243328125001</c:v>
                </c:pt>
                <c:pt idx="7">
                  <c:v>18.292305494531252</c:v>
                </c:pt>
                <c:pt idx="8">
                  <c:v>19.206920769257813</c:v>
                </c:pt>
                <c:pt idx="9">
                  <c:v>20.167266807720704</c:v>
                </c:pt>
                <c:pt idx="10">
                  <c:v>21.175630148106741</c:v>
                </c:pt>
                <c:pt idx="11">
                  <c:v>22.23441165551208</c:v>
                </c:pt>
                <c:pt idx="12">
                  <c:v>23.34613223828768</c:v>
                </c:pt>
                <c:pt idx="13">
                  <c:v>24.513438850202068</c:v>
                </c:pt>
                <c:pt idx="14">
                  <c:v>25.739110792712165</c:v>
                </c:pt>
                <c:pt idx="15">
                  <c:v>27.026066332347781</c:v>
                </c:pt>
                <c:pt idx="16">
                  <c:v>28.377369648965168</c:v>
                </c:pt>
                <c:pt idx="17">
                  <c:v>29.796238131413432</c:v>
                </c:pt>
                <c:pt idx="18">
                  <c:v>31.286050037984101</c:v>
                </c:pt>
                <c:pt idx="19">
                  <c:v>32.85035253988331</c:v>
                </c:pt>
                <c:pt idx="20">
                  <c:v>34.492870166877474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8-40CB-9296-07590E72EF71}"/>
            </c:ext>
          </c:extLst>
        </c:ser>
        <c:ser>
          <c:idx val="2"/>
          <c:order val="2"/>
          <c:tx>
            <c:strRef>
              <c:f>'Demanda futura'!$D$1</c:f>
              <c:strCache>
                <c:ptCount val="1"/>
                <c:pt idx="0">
                  <c:v>Sucursal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futura'!$D$2:$D$22</c:f>
              <c:numCache>
                <c:formatCode>0</c:formatCode>
                <c:ptCount val="21"/>
                <c:pt idx="0" formatCode="General">
                  <c:v>19</c:v>
                </c:pt>
                <c:pt idx="1">
                  <c:v>19.95</c:v>
                </c:pt>
                <c:pt idx="2">
                  <c:v>20.947500000000002</c:v>
                </c:pt>
                <c:pt idx="3">
                  <c:v>21.994875000000004</c:v>
                </c:pt>
                <c:pt idx="4">
                  <c:v>23.094618749999999</c:v>
                </c:pt>
                <c:pt idx="5">
                  <c:v>24.249349687500004</c:v>
                </c:pt>
                <c:pt idx="6">
                  <c:v>25.461817171874998</c:v>
                </c:pt>
                <c:pt idx="7">
                  <c:v>26.734908030468755</c:v>
                </c:pt>
                <c:pt idx="8">
                  <c:v>28.071653431992189</c:v>
                </c:pt>
                <c:pt idx="9">
                  <c:v>29.475236103591801</c:v>
                </c:pt>
                <c:pt idx="10">
                  <c:v>30.948997908771389</c:v>
                </c:pt>
                <c:pt idx="11">
                  <c:v>32.496447804209964</c:v>
                </c:pt>
                <c:pt idx="12">
                  <c:v>34.121270194420454</c:v>
                </c:pt>
                <c:pt idx="13">
                  <c:v>35.827333704141481</c:v>
                </c:pt>
                <c:pt idx="14">
                  <c:v>37.618700389348547</c:v>
                </c:pt>
                <c:pt idx="15">
                  <c:v>39.49963540881599</c:v>
                </c:pt>
                <c:pt idx="16">
                  <c:v>41.474617179256782</c:v>
                </c:pt>
                <c:pt idx="17">
                  <c:v>43.548348038219629</c:v>
                </c:pt>
                <c:pt idx="18">
                  <c:v>45.725765440130608</c:v>
                </c:pt>
                <c:pt idx="19">
                  <c:v>48.012053712137138</c:v>
                </c:pt>
                <c:pt idx="20">
                  <c:v>50.412656397743994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08-40CB-9296-07590E72EF71}"/>
            </c:ext>
          </c:extLst>
        </c:ser>
        <c:ser>
          <c:idx val="3"/>
          <c:order val="3"/>
          <c:tx>
            <c:strRef>
              <c:f>'Demanda futura'!$E$1</c:f>
              <c:strCache>
                <c:ptCount val="1"/>
                <c:pt idx="0">
                  <c:v>Sucursal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futura'!$E$2:$E$22</c:f>
              <c:numCache>
                <c:formatCode>0</c:formatCode>
                <c:ptCount val="21"/>
                <c:pt idx="0" formatCode="General">
                  <c:v>10</c:v>
                </c:pt>
                <c:pt idx="1">
                  <c:v>10.5</c:v>
                </c:pt>
                <c:pt idx="2">
                  <c:v>11.025</c:v>
                </c:pt>
                <c:pt idx="3">
                  <c:v>11.576250000000002</c:v>
                </c:pt>
                <c:pt idx="4">
                  <c:v>12.1550625</c:v>
                </c:pt>
                <c:pt idx="5">
                  <c:v>12.762815625000002</c:v>
                </c:pt>
                <c:pt idx="6">
                  <c:v>13.40095640625</c:v>
                </c:pt>
                <c:pt idx="7">
                  <c:v>14.071004226562502</c:v>
                </c:pt>
                <c:pt idx="8">
                  <c:v>14.774554437890625</c:v>
                </c:pt>
                <c:pt idx="9">
                  <c:v>15.513282159785158</c:v>
                </c:pt>
                <c:pt idx="10">
                  <c:v>16.288946267774417</c:v>
                </c:pt>
                <c:pt idx="11">
                  <c:v>17.103393581163139</c:v>
                </c:pt>
                <c:pt idx="12">
                  <c:v>17.958563260221293</c:v>
                </c:pt>
                <c:pt idx="13">
                  <c:v>18.856491423232359</c:v>
                </c:pt>
                <c:pt idx="14">
                  <c:v>19.799315994393972</c:v>
                </c:pt>
                <c:pt idx="15">
                  <c:v>20.789281794113677</c:v>
                </c:pt>
                <c:pt idx="16">
                  <c:v>21.828745883819359</c:v>
                </c:pt>
                <c:pt idx="17">
                  <c:v>22.920183178010333</c:v>
                </c:pt>
                <c:pt idx="18">
                  <c:v>24.066192336910849</c:v>
                </c:pt>
                <c:pt idx="19">
                  <c:v>25.269501953756389</c:v>
                </c:pt>
                <c:pt idx="20">
                  <c:v>26.53297705144421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8-40CB-9296-07590E72EF71}"/>
            </c:ext>
          </c:extLst>
        </c:ser>
        <c:ser>
          <c:idx val="4"/>
          <c:order val="4"/>
          <c:tx>
            <c:strRef>
              <c:f>'Demanda futura'!$F$1</c:f>
              <c:strCache>
                <c:ptCount val="1"/>
                <c:pt idx="0">
                  <c:v>Sucursal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futura'!$F$2:$F$22</c:f>
              <c:numCache>
                <c:formatCode>0</c:formatCode>
                <c:ptCount val="21"/>
                <c:pt idx="0" formatCode="General">
                  <c:v>27</c:v>
                </c:pt>
                <c:pt idx="1">
                  <c:v>28.35</c:v>
                </c:pt>
                <c:pt idx="2">
                  <c:v>29.767500000000002</c:v>
                </c:pt>
                <c:pt idx="3">
                  <c:v>31.255875000000003</c:v>
                </c:pt>
                <c:pt idx="4">
                  <c:v>32.818668750000001</c:v>
                </c:pt>
                <c:pt idx="5">
                  <c:v>34.459602187500003</c:v>
                </c:pt>
                <c:pt idx="6">
                  <c:v>36.182582296874997</c:v>
                </c:pt>
                <c:pt idx="7">
                  <c:v>37.991711411718754</c:v>
                </c:pt>
                <c:pt idx="8">
                  <c:v>39.891296982304688</c:v>
                </c:pt>
                <c:pt idx="9">
                  <c:v>41.885861831419923</c:v>
                </c:pt>
                <c:pt idx="10">
                  <c:v>43.98015492299092</c:v>
                </c:pt>
                <c:pt idx="11">
                  <c:v>46.179162669140474</c:v>
                </c:pt>
                <c:pt idx="12">
                  <c:v>48.488120802597486</c:v>
                </c:pt>
                <c:pt idx="13">
                  <c:v>50.912526842727374</c:v>
                </c:pt>
                <c:pt idx="14">
                  <c:v>53.458153184863725</c:v>
                </c:pt>
                <c:pt idx="15">
                  <c:v>56.131060844106933</c:v>
                </c:pt>
                <c:pt idx="16">
                  <c:v>58.93761388631227</c:v>
                </c:pt>
                <c:pt idx="17">
                  <c:v>61.884494580627894</c:v>
                </c:pt>
                <c:pt idx="18">
                  <c:v>64.978719309659283</c:v>
                </c:pt>
                <c:pt idx="19">
                  <c:v>68.227655275142254</c:v>
                </c:pt>
                <c:pt idx="20">
                  <c:v>71.639038038899358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08-40CB-9296-07590E7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6799"/>
        <c:axId val="1059098783"/>
      </c:scatterChart>
      <c:valAx>
        <c:axId val="8953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9098783"/>
        <c:crosses val="autoZero"/>
        <c:crossBetween val="midCat"/>
      </c:valAx>
      <c:valAx>
        <c:axId val="10590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9538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33337</xdr:rowOff>
    </xdr:from>
    <xdr:to>
      <xdr:col>15</xdr:col>
      <xdr:colOff>619125</xdr:colOff>
      <xdr:row>21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22087F-915C-5AF1-DB8C-232F9F24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BF8F-0B3C-42A4-8D66-D42E7226B030}">
  <dimension ref="A1:G7"/>
  <sheetViews>
    <sheetView workbookViewId="0">
      <selection activeCell="C27" sqref="C27"/>
    </sheetView>
  </sheetViews>
  <sheetFormatPr baseColWidth="10" defaultRowHeight="15" x14ac:dyDescent="0.25"/>
  <cols>
    <col min="2" max="2" width="9.42578125" bestFit="1" customWidth="1"/>
    <col min="3" max="3" width="11.5703125" bestFit="1" customWidth="1"/>
    <col min="4" max="5" width="9.42578125" bestFit="1" customWidth="1"/>
    <col min="6" max="6" width="14.7109375" bestFit="1" customWidth="1"/>
    <col min="7" max="7" width="18.7109375" bestFit="1" customWidth="1"/>
  </cols>
  <sheetData>
    <row r="1" spans="1:7" s="20" customFormat="1" ht="45.75" thickBot="1" x14ac:dyDescent="0.3">
      <c r="A1" s="27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12</v>
      </c>
      <c r="G1" s="26" t="s">
        <v>13</v>
      </c>
    </row>
    <row r="2" spans="1:7" x14ac:dyDescent="0.25">
      <c r="A2" s="28" t="s">
        <v>5</v>
      </c>
      <c r="B2" s="33">
        <v>37</v>
      </c>
      <c r="C2" s="34">
        <f>B2*(1+0.05)^5</f>
        <v>47.222417812500005</v>
      </c>
      <c r="D2" s="34">
        <f t="shared" ref="D2" si="0">C2*(1+0.05)^5</f>
        <v>60.269101190765348</v>
      </c>
      <c r="E2" s="34">
        <f>D2*(1+0.05)^5</f>
        <v>76.920342638220617</v>
      </c>
      <c r="F2" s="35">
        <f>0.9*E2</f>
        <v>69.228308374398551</v>
      </c>
      <c r="G2" s="36">
        <f>ROUND(B2,0)/ROUND(F2,0)</f>
        <v>0.53623188405797106</v>
      </c>
    </row>
    <row r="3" spans="1:7" x14ac:dyDescent="0.25">
      <c r="A3" s="29" t="s">
        <v>6</v>
      </c>
      <c r="B3" s="37">
        <v>13</v>
      </c>
      <c r="C3" s="38">
        <f t="shared" ref="C3:E6" si="1">B3*(1+0.05)^5</f>
        <v>16.5916603125</v>
      </c>
      <c r="D3" s="38">
        <f t="shared" si="1"/>
        <v>21.175630148106741</v>
      </c>
      <c r="E3" s="38">
        <f t="shared" si="1"/>
        <v>27.026066332347781</v>
      </c>
      <c r="F3" s="39">
        <f t="shared" ref="F3:F6" si="2">0.9*E3</f>
        <v>24.323459699113005</v>
      </c>
      <c r="G3" s="40">
        <f t="shared" ref="G3:G7" si="3">ROUND(B3,0)/ROUND(F3,0)</f>
        <v>0.54166666666666663</v>
      </c>
    </row>
    <row r="4" spans="1:7" x14ac:dyDescent="0.25">
      <c r="A4" s="29" t="s">
        <v>7</v>
      </c>
      <c r="B4" s="37">
        <v>19</v>
      </c>
      <c r="C4" s="38">
        <f t="shared" si="1"/>
        <v>24.249349687500004</v>
      </c>
      <c r="D4" s="38">
        <f t="shared" si="1"/>
        <v>30.948997908771396</v>
      </c>
      <c r="E4" s="38">
        <f t="shared" si="1"/>
        <v>39.499635408815998</v>
      </c>
      <c r="F4" s="39">
        <f t="shared" si="2"/>
        <v>35.5496718679344</v>
      </c>
      <c r="G4" s="40">
        <f t="shared" si="3"/>
        <v>0.52777777777777779</v>
      </c>
    </row>
    <row r="5" spans="1:7" x14ac:dyDescent="0.25">
      <c r="A5" s="29" t="s">
        <v>8</v>
      </c>
      <c r="B5" s="37">
        <v>10</v>
      </c>
      <c r="C5" s="38">
        <f t="shared" si="1"/>
        <v>12.762815625000002</v>
      </c>
      <c r="D5" s="38">
        <f t="shared" si="1"/>
        <v>16.288946267774417</v>
      </c>
      <c r="E5" s="38">
        <f t="shared" si="1"/>
        <v>20.789281794113677</v>
      </c>
      <c r="F5" s="39">
        <f t="shared" si="2"/>
        <v>18.71035361470231</v>
      </c>
      <c r="G5" s="40">
        <f t="shared" si="3"/>
        <v>0.52631578947368418</v>
      </c>
    </row>
    <row r="6" spans="1:7" x14ac:dyDescent="0.25">
      <c r="A6" s="29" t="s">
        <v>9</v>
      </c>
      <c r="B6" s="37">
        <v>27</v>
      </c>
      <c r="C6" s="38">
        <f t="shared" si="1"/>
        <v>34.459602187500003</v>
      </c>
      <c r="D6" s="38">
        <f t="shared" si="1"/>
        <v>43.980154922990927</v>
      </c>
      <c r="E6" s="38">
        <f t="shared" si="1"/>
        <v>56.131060844106933</v>
      </c>
      <c r="F6" s="39">
        <f t="shared" si="2"/>
        <v>50.517954759696238</v>
      </c>
      <c r="G6" s="40">
        <f t="shared" si="3"/>
        <v>0.52941176470588236</v>
      </c>
    </row>
    <row r="7" spans="1:7" ht="15.75" thickBot="1" x14ac:dyDescent="0.3">
      <c r="A7" s="30" t="s">
        <v>10</v>
      </c>
      <c r="B7" s="41">
        <f>B6+B5+B4+B3+B2</f>
        <v>106</v>
      </c>
      <c r="C7" s="42">
        <f t="shared" ref="C7:E7" si="4">C6+C5+C4+C3+C2</f>
        <v>135.28584562500001</v>
      </c>
      <c r="D7" s="42">
        <f t="shared" si="4"/>
        <v>172.66283043840883</v>
      </c>
      <c r="E7" s="42">
        <f t="shared" si="4"/>
        <v>220.36638701760501</v>
      </c>
      <c r="F7" s="43">
        <f>0.9*E7</f>
        <v>198.32974831584451</v>
      </c>
      <c r="G7" s="44">
        <f t="shared" si="3"/>
        <v>0.53535353535353536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B9D9-233A-4166-A9FB-5BE3AD4DB8CB}">
  <dimension ref="A1:F22"/>
  <sheetViews>
    <sheetView workbookViewId="0">
      <selection activeCell="G27" sqref="G27"/>
    </sheetView>
  </sheetViews>
  <sheetFormatPr baseColWidth="10" defaultRowHeight="15" x14ac:dyDescent="0.25"/>
  <cols>
    <col min="1" max="1" width="5" bestFit="1" customWidth="1"/>
    <col min="2" max="2" width="8" bestFit="1" customWidth="1"/>
    <col min="3" max="6" width="9.7109375" bestFit="1" customWidth="1"/>
  </cols>
  <sheetData>
    <row r="1" spans="1:6" ht="15.75" thickBot="1" x14ac:dyDescent="0.3">
      <c r="A1" s="15" t="s">
        <v>11</v>
      </c>
      <c r="B1" s="86" t="s">
        <v>5</v>
      </c>
      <c r="C1" s="87" t="s">
        <v>6</v>
      </c>
      <c r="D1" s="87" t="s">
        <v>7</v>
      </c>
      <c r="E1" s="87" t="s">
        <v>8</v>
      </c>
      <c r="F1" s="88" t="s">
        <v>9</v>
      </c>
    </row>
    <row r="2" spans="1:6" x14ac:dyDescent="0.25">
      <c r="A2" s="24">
        <v>2023</v>
      </c>
      <c r="B2" s="25">
        <f>'Df, R(s), g'!B2</f>
        <v>37</v>
      </c>
      <c r="C2" s="84">
        <f>'Df, R(s), g'!B3</f>
        <v>13</v>
      </c>
      <c r="D2" s="84">
        <f>'Df, R(s), g'!B4</f>
        <v>19</v>
      </c>
      <c r="E2" s="84">
        <f>'Df, R(s), g'!B5</f>
        <v>10</v>
      </c>
      <c r="F2" s="85">
        <f>'Df, R(s), g'!B6</f>
        <v>27</v>
      </c>
    </row>
    <row r="3" spans="1:6" x14ac:dyDescent="0.25">
      <c r="A3" s="22">
        <v>2024</v>
      </c>
      <c r="B3" s="82">
        <f>$B$2*(1+0.05)^(A3-$A$2)</f>
        <v>38.85</v>
      </c>
      <c r="C3" s="2">
        <f>$C$2*(1+0.05)^(A3-$A$2)</f>
        <v>13.65</v>
      </c>
      <c r="D3" s="2">
        <f>$D$2*(1+0.05)^(A3-$A$2)</f>
        <v>19.95</v>
      </c>
      <c r="E3" s="2">
        <f>$E$2*(1+0.05)^(A3-$A$2)</f>
        <v>10.5</v>
      </c>
      <c r="F3" s="80">
        <f>$F$2*(1+0.05)^(A3-$A$2)</f>
        <v>28.35</v>
      </c>
    </row>
    <row r="4" spans="1:6" x14ac:dyDescent="0.25">
      <c r="A4" s="22">
        <f t="shared" ref="A4:A12" si="0">A3+1</f>
        <v>2025</v>
      </c>
      <c r="B4" s="82">
        <f t="shared" ref="B4:B22" si="1">$B$2*(1+0.05)^(A4-$A$2)</f>
        <v>40.792500000000004</v>
      </c>
      <c r="C4" s="2">
        <f t="shared" ref="C4:C22" si="2">$C$2*(1+0.05)^(A4-$A$2)</f>
        <v>14.3325</v>
      </c>
      <c r="D4" s="2">
        <f t="shared" ref="D4:D22" si="3">$D$2*(1+0.05)^(A4-$A$2)</f>
        <v>20.947500000000002</v>
      </c>
      <c r="E4" s="2">
        <f t="shared" ref="E4:E22" si="4">$E$2*(1+0.05)^(A4-$A$2)</f>
        <v>11.025</v>
      </c>
      <c r="F4" s="80">
        <f t="shared" ref="F4:F21" si="5">$F$2*(1+0.05)^(A4-$A$2)</f>
        <v>29.767500000000002</v>
      </c>
    </row>
    <row r="5" spans="1:6" x14ac:dyDescent="0.25">
      <c r="A5" s="22">
        <f t="shared" si="0"/>
        <v>2026</v>
      </c>
      <c r="B5" s="82">
        <f t="shared" si="1"/>
        <v>42.832125000000005</v>
      </c>
      <c r="C5" s="2">
        <f t="shared" si="2"/>
        <v>15.049125000000002</v>
      </c>
      <c r="D5" s="2">
        <f t="shared" si="3"/>
        <v>21.994875000000004</v>
      </c>
      <c r="E5" s="2">
        <f t="shared" si="4"/>
        <v>11.576250000000002</v>
      </c>
      <c r="F5" s="80">
        <f t="shared" si="5"/>
        <v>31.255875000000003</v>
      </c>
    </row>
    <row r="6" spans="1:6" x14ac:dyDescent="0.25">
      <c r="A6" s="22">
        <f t="shared" si="0"/>
        <v>2027</v>
      </c>
      <c r="B6" s="82">
        <f t="shared" si="1"/>
        <v>44.97373125</v>
      </c>
      <c r="C6" s="2">
        <f t="shared" si="2"/>
        <v>15.80158125</v>
      </c>
      <c r="D6" s="2">
        <f t="shared" si="3"/>
        <v>23.094618749999999</v>
      </c>
      <c r="E6" s="2">
        <f t="shared" si="4"/>
        <v>12.1550625</v>
      </c>
      <c r="F6" s="80">
        <f t="shared" si="5"/>
        <v>32.818668750000001</v>
      </c>
    </row>
    <row r="7" spans="1:6" x14ac:dyDescent="0.25">
      <c r="A7" s="22">
        <f t="shared" si="0"/>
        <v>2028</v>
      </c>
      <c r="B7" s="82">
        <f t="shared" si="1"/>
        <v>47.222417812500005</v>
      </c>
      <c r="C7" s="2">
        <f t="shared" si="2"/>
        <v>16.5916603125</v>
      </c>
      <c r="D7" s="2">
        <f t="shared" si="3"/>
        <v>24.249349687500004</v>
      </c>
      <c r="E7" s="2">
        <f t="shared" si="4"/>
        <v>12.762815625000002</v>
      </c>
      <c r="F7" s="80">
        <f t="shared" si="5"/>
        <v>34.459602187500003</v>
      </c>
    </row>
    <row r="8" spans="1:6" x14ac:dyDescent="0.25">
      <c r="A8" s="22">
        <f t="shared" si="0"/>
        <v>2029</v>
      </c>
      <c r="B8" s="82">
        <f t="shared" si="1"/>
        <v>49.583538703125001</v>
      </c>
      <c r="C8" s="2">
        <f t="shared" si="2"/>
        <v>17.421243328125001</v>
      </c>
      <c r="D8" s="2">
        <f t="shared" si="3"/>
        <v>25.461817171874998</v>
      </c>
      <c r="E8" s="2">
        <f t="shared" si="4"/>
        <v>13.40095640625</v>
      </c>
      <c r="F8" s="80">
        <f t="shared" si="5"/>
        <v>36.182582296874997</v>
      </c>
    </row>
    <row r="9" spans="1:6" x14ac:dyDescent="0.25">
      <c r="A9" s="22">
        <f t="shared" si="0"/>
        <v>2030</v>
      </c>
      <c r="B9" s="82">
        <f t="shared" si="1"/>
        <v>52.062715638281261</v>
      </c>
      <c r="C9" s="2">
        <f t="shared" si="2"/>
        <v>18.292305494531252</v>
      </c>
      <c r="D9" s="2">
        <f t="shared" si="3"/>
        <v>26.734908030468755</v>
      </c>
      <c r="E9" s="2">
        <f t="shared" si="4"/>
        <v>14.071004226562502</v>
      </c>
      <c r="F9" s="80">
        <f t="shared" si="5"/>
        <v>37.991711411718754</v>
      </c>
    </row>
    <row r="10" spans="1:6" x14ac:dyDescent="0.25">
      <c r="A10" s="22">
        <f t="shared" si="0"/>
        <v>2031</v>
      </c>
      <c r="B10" s="82">
        <f t="shared" si="1"/>
        <v>54.665851420195317</v>
      </c>
      <c r="C10" s="2">
        <f t="shared" si="2"/>
        <v>19.206920769257813</v>
      </c>
      <c r="D10" s="2">
        <f t="shared" si="3"/>
        <v>28.071653431992189</v>
      </c>
      <c r="E10" s="2">
        <f t="shared" si="4"/>
        <v>14.774554437890625</v>
      </c>
      <c r="F10" s="80">
        <f t="shared" si="5"/>
        <v>39.891296982304688</v>
      </c>
    </row>
    <row r="11" spans="1:6" x14ac:dyDescent="0.25">
      <c r="A11" s="22">
        <f t="shared" si="0"/>
        <v>2032</v>
      </c>
      <c r="B11" s="82">
        <f t="shared" si="1"/>
        <v>57.399143991205086</v>
      </c>
      <c r="C11" s="2">
        <f t="shared" si="2"/>
        <v>20.167266807720704</v>
      </c>
      <c r="D11" s="2">
        <f t="shared" si="3"/>
        <v>29.475236103591801</v>
      </c>
      <c r="E11" s="2">
        <f t="shared" si="4"/>
        <v>15.513282159785158</v>
      </c>
      <c r="F11" s="80">
        <f t="shared" si="5"/>
        <v>41.885861831419923</v>
      </c>
    </row>
    <row r="12" spans="1:6" x14ac:dyDescent="0.25">
      <c r="A12" s="22">
        <f t="shared" si="0"/>
        <v>2033</v>
      </c>
      <c r="B12" s="82">
        <f t="shared" si="1"/>
        <v>60.26910119076534</v>
      </c>
      <c r="C12" s="2">
        <f t="shared" si="2"/>
        <v>21.175630148106741</v>
      </c>
      <c r="D12" s="2">
        <f t="shared" si="3"/>
        <v>30.948997908771389</v>
      </c>
      <c r="E12" s="2">
        <f t="shared" si="4"/>
        <v>16.288946267774417</v>
      </c>
      <c r="F12" s="80">
        <f t="shared" si="5"/>
        <v>43.98015492299092</v>
      </c>
    </row>
    <row r="13" spans="1:6" x14ac:dyDescent="0.25">
      <c r="A13" s="22">
        <f t="shared" ref="A13:A21" si="6">A12+1</f>
        <v>2034</v>
      </c>
      <c r="B13" s="82">
        <f t="shared" si="1"/>
        <v>63.282556250303607</v>
      </c>
      <c r="C13" s="2">
        <f t="shared" si="2"/>
        <v>22.23441165551208</v>
      </c>
      <c r="D13" s="2">
        <f t="shared" si="3"/>
        <v>32.496447804209964</v>
      </c>
      <c r="E13" s="2">
        <f t="shared" si="4"/>
        <v>17.103393581163139</v>
      </c>
      <c r="F13" s="80">
        <f t="shared" si="5"/>
        <v>46.179162669140474</v>
      </c>
    </row>
    <row r="14" spans="1:6" x14ac:dyDescent="0.25">
      <c r="A14" s="22">
        <f t="shared" si="6"/>
        <v>2035</v>
      </c>
      <c r="B14" s="82">
        <f t="shared" si="1"/>
        <v>66.446684062818775</v>
      </c>
      <c r="C14" s="2">
        <f t="shared" si="2"/>
        <v>23.34613223828768</v>
      </c>
      <c r="D14" s="2">
        <f t="shared" si="3"/>
        <v>34.121270194420454</v>
      </c>
      <c r="E14" s="2">
        <f t="shared" si="4"/>
        <v>17.958563260221293</v>
      </c>
      <c r="F14" s="80">
        <f t="shared" si="5"/>
        <v>48.488120802597486</v>
      </c>
    </row>
    <row r="15" spans="1:6" x14ac:dyDescent="0.25">
      <c r="A15" s="22">
        <f t="shared" si="6"/>
        <v>2036</v>
      </c>
      <c r="B15" s="82">
        <f t="shared" si="1"/>
        <v>69.76901826595973</v>
      </c>
      <c r="C15" s="2">
        <f t="shared" si="2"/>
        <v>24.513438850202068</v>
      </c>
      <c r="D15" s="2">
        <f t="shared" si="3"/>
        <v>35.827333704141481</v>
      </c>
      <c r="E15" s="2">
        <f t="shared" si="4"/>
        <v>18.856491423232359</v>
      </c>
      <c r="F15" s="80">
        <f t="shared" si="5"/>
        <v>50.912526842727374</v>
      </c>
    </row>
    <row r="16" spans="1:6" x14ac:dyDescent="0.25">
      <c r="A16" s="22">
        <f t="shared" si="6"/>
        <v>2037</v>
      </c>
      <c r="B16" s="82">
        <f t="shared" si="1"/>
        <v>73.257469179257697</v>
      </c>
      <c r="C16" s="2">
        <f t="shared" si="2"/>
        <v>25.739110792712165</v>
      </c>
      <c r="D16" s="2">
        <f t="shared" si="3"/>
        <v>37.618700389348547</v>
      </c>
      <c r="E16" s="2">
        <f t="shared" si="4"/>
        <v>19.799315994393972</v>
      </c>
      <c r="F16" s="80">
        <f t="shared" si="5"/>
        <v>53.458153184863725</v>
      </c>
    </row>
    <row r="17" spans="1:6" x14ac:dyDescent="0.25">
      <c r="A17" s="22">
        <f t="shared" si="6"/>
        <v>2038</v>
      </c>
      <c r="B17" s="82">
        <f t="shared" si="1"/>
        <v>76.920342638220617</v>
      </c>
      <c r="C17" s="2">
        <f t="shared" si="2"/>
        <v>27.026066332347781</v>
      </c>
      <c r="D17" s="2">
        <f t="shared" si="3"/>
        <v>39.49963540881599</v>
      </c>
      <c r="E17" s="2">
        <f t="shared" si="4"/>
        <v>20.789281794113677</v>
      </c>
      <c r="F17" s="80">
        <f t="shared" si="5"/>
        <v>56.131060844106933</v>
      </c>
    </row>
    <row r="18" spans="1:6" x14ac:dyDescent="0.25">
      <c r="A18" s="22">
        <f t="shared" si="6"/>
        <v>2039</v>
      </c>
      <c r="B18" s="82">
        <f t="shared" si="1"/>
        <v>80.766359770131629</v>
      </c>
      <c r="C18" s="2">
        <f t="shared" si="2"/>
        <v>28.377369648965168</v>
      </c>
      <c r="D18" s="2">
        <f t="shared" si="3"/>
        <v>41.474617179256782</v>
      </c>
      <c r="E18" s="2">
        <f t="shared" si="4"/>
        <v>21.828745883819359</v>
      </c>
      <c r="F18" s="80">
        <f t="shared" si="5"/>
        <v>58.93761388631227</v>
      </c>
    </row>
    <row r="19" spans="1:6" x14ac:dyDescent="0.25">
      <c r="A19" s="22">
        <f>A18+1</f>
        <v>2040</v>
      </c>
      <c r="B19" s="82">
        <f t="shared" si="1"/>
        <v>84.804677758638221</v>
      </c>
      <c r="C19" s="2">
        <f t="shared" si="2"/>
        <v>29.796238131413432</v>
      </c>
      <c r="D19" s="2">
        <f t="shared" si="3"/>
        <v>43.548348038219629</v>
      </c>
      <c r="E19" s="2">
        <f t="shared" si="4"/>
        <v>22.920183178010333</v>
      </c>
      <c r="F19" s="80">
        <f t="shared" si="5"/>
        <v>61.884494580627894</v>
      </c>
    </row>
    <row r="20" spans="1:6" x14ac:dyDescent="0.25">
      <c r="A20" s="22">
        <f t="shared" si="6"/>
        <v>2041</v>
      </c>
      <c r="B20" s="82">
        <f t="shared" si="1"/>
        <v>89.044911646570142</v>
      </c>
      <c r="C20" s="2">
        <f t="shared" si="2"/>
        <v>31.286050037984101</v>
      </c>
      <c r="D20" s="2">
        <f t="shared" si="3"/>
        <v>45.725765440130608</v>
      </c>
      <c r="E20" s="2">
        <f t="shared" si="4"/>
        <v>24.066192336910849</v>
      </c>
      <c r="F20" s="80">
        <f t="shared" si="5"/>
        <v>64.978719309659283</v>
      </c>
    </row>
    <row r="21" spans="1:6" x14ac:dyDescent="0.25">
      <c r="A21" s="22">
        <f t="shared" si="6"/>
        <v>2042</v>
      </c>
      <c r="B21" s="82">
        <f t="shared" si="1"/>
        <v>93.497157228898644</v>
      </c>
      <c r="C21" s="2">
        <f t="shared" si="2"/>
        <v>32.85035253988331</v>
      </c>
      <c r="D21" s="2">
        <f t="shared" si="3"/>
        <v>48.012053712137138</v>
      </c>
      <c r="E21" s="2">
        <f t="shared" si="4"/>
        <v>25.269501953756389</v>
      </c>
      <c r="F21" s="80">
        <f t="shared" si="5"/>
        <v>68.227655275142254</v>
      </c>
    </row>
    <row r="22" spans="1:6" ht="15.75" thickBot="1" x14ac:dyDescent="0.3">
      <c r="A22" s="23">
        <f>A21+1</f>
        <v>2043</v>
      </c>
      <c r="B22" s="83">
        <f t="shared" si="1"/>
        <v>98.172015090343578</v>
      </c>
      <c r="C22" s="21">
        <f t="shared" si="2"/>
        <v>34.492870166877474</v>
      </c>
      <c r="D22" s="21">
        <f t="shared" si="3"/>
        <v>50.412656397743994</v>
      </c>
      <c r="E22" s="21">
        <f t="shared" si="4"/>
        <v>26.53297705144421</v>
      </c>
      <c r="F22" s="81">
        <f>$F$2*(1+0.05)^(A22-$A$2)</f>
        <v>71.639038038899358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B199-9058-444E-BCA1-792BF503B8A3}">
  <dimension ref="A1:G9"/>
  <sheetViews>
    <sheetView workbookViewId="0">
      <selection sqref="A1:G9"/>
    </sheetView>
  </sheetViews>
  <sheetFormatPr baseColWidth="10" defaultRowHeight="15" x14ac:dyDescent="0.25"/>
  <cols>
    <col min="1" max="1" width="19.85546875" customWidth="1"/>
    <col min="2" max="2" width="13.7109375" customWidth="1"/>
    <col min="3" max="3" width="6.5703125" bestFit="1" customWidth="1"/>
    <col min="4" max="7" width="9.7109375" bestFit="1" customWidth="1"/>
  </cols>
  <sheetData>
    <row r="1" spans="1:7" ht="41.25" thickBot="1" x14ac:dyDescent="0.3">
      <c r="A1" s="7" t="s">
        <v>18</v>
      </c>
      <c r="B1" s="46" t="s">
        <v>19</v>
      </c>
      <c r="C1" s="56" t="s">
        <v>5</v>
      </c>
      <c r="D1" s="56" t="s">
        <v>6</v>
      </c>
      <c r="E1" s="1" t="s">
        <v>7</v>
      </c>
      <c r="F1" s="10" t="s">
        <v>8</v>
      </c>
      <c r="G1" s="10" t="s">
        <v>9</v>
      </c>
    </row>
    <row r="2" spans="1:7" ht="27" x14ac:dyDescent="0.25">
      <c r="A2" s="6" t="s">
        <v>14</v>
      </c>
      <c r="B2" s="47">
        <v>1</v>
      </c>
      <c r="C2" s="57">
        <f>$B2*'Df, R(s), g'!$B2</f>
        <v>37</v>
      </c>
      <c r="D2" s="57">
        <f>$B2*'Df, R(s), g'!$B$3</f>
        <v>13</v>
      </c>
      <c r="E2" s="61">
        <f>$B2*'Df, R(s), g'!$B$4</f>
        <v>19</v>
      </c>
      <c r="F2" s="52">
        <f>$B2*'Df, R(s), g'!$B$5</f>
        <v>10</v>
      </c>
      <c r="G2" s="52">
        <f>$B2*'Df, R(s), g'!$B$6</f>
        <v>27</v>
      </c>
    </row>
    <row r="3" spans="1:7" x14ac:dyDescent="0.25">
      <c r="A3" s="5" t="s">
        <v>15</v>
      </c>
      <c r="B3" s="48">
        <v>10</v>
      </c>
      <c r="C3" s="58">
        <f>$B3*'Df, R(s), g'!$B$2</f>
        <v>370</v>
      </c>
      <c r="D3" s="58">
        <f>$B3*'Df, R(s), g'!$B$3</f>
        <v>130</v>
      </c>
      <c r="E3" s="62">
        <f>$B3*'Df, R(s), g'!$B$4</f>
        <v>190</v>
      </c>
      <c r="F3" s="53">
        <f>$B3*'Df, R(s), g'!$B$5</f>
        <v>100</v>
      </c>
      <c r="G3" s="53">
        <f>$B3*'Df, R(s), g'!$B$6</f>
        <v>270</v>
      </c>
    </row>
    <row r="4" spans="1:7" x14ac:dyDescent="0.25">
      <c r="A4" s="5" t="s">
        <v>16</v>
      </c>
      <c r="B4" s="48">
        <v>1</v>
      </c>
      <c r="C4" s="58">
        <f>$B4*'Df, R(s), g'!$B$2</f>
        <v>37</v>
      </c>
      <c r="D4" s="58">
        <f>$B4*'Df, R(s), g'!$B$3</f>
        <v>13</v>
      </c>
      <c r="E4" s="62">
        <f>$B4*'Df, R(s), g'!$B$4</f>
        <v>19</v>
      </c>
      <c r="F4" s="53">
        <f>$B4*'Df, R(s), g'!$B$5</f>
        <v>10</v>
      </c>
      <c r="G4" s="53">
        <f>$B4*'Df, R(s), g'!$B$6</f>
        <v>27</v>
      </c>
    </row>
    <row r="5" spans="1:7" ht="27" x14ac:dyDescent="0.25">
      <c r="A5" s="5" t="s">
        <v>20</v>
      </c>
      <c r="B5" s="48">
        <v>1.5</v>
      </c>
      <c r="C5" s="58">
        <f>$B5*'Df, R(s), g'!$B$2</f>
        <v>55.5</v>
      </c>
      <c r="D5" s="58">
        <f>$B5*'Df, R(s), g'!$B$3</f>
        <v>19.5</v>
      </c>
      <c r="E5" s="62">
        <f>$B5*'Df, R(s), g'!$B$4</f>
        <v>28.5</v>
      </c>
      <c r="F5" s="53">
        <f>$B5*'Df, R(s), g'!$B$5</f>
        <v>15</v>
      </c>
      <c r="G5" s="53">
        <f>$B5*'Df, R(s), g'!$B$6</f>
        <v>40.5</v>
      </c>
    </row>
    <row r="6" spans="1:7" ht="27.75" x14ac:dyDescent="0.25">
      <c r="A6" s="9" t="s">
        <v>17</v>
      </c>
      <c r="B6" s="49">
        <v>4</v>
      </c>
      <c r="C6" s="58">
        <f>$B6*'Df, R(s), g'!$B$2</f>
        <v>148</v>
      </c>
      <c r="D6" s="58">
        <f>$B6*'Df, R(s), g'!$B$3</f>
        <v>52</v>
      </c>
      <c r="E6" s="62">
        <f>$B6*'Df, R(s), g'!$B$4</f>
        <v>76</v>
      </c>
      <c r="F6" s="53">
        <f>$B6*'Df, R(s), g'!$B$5</f>
        <v>40</v>
      </c>
      <c r="G6" s="53">
        <f>$B6*'Df, R(s), g'!$B$6</f>
        <v>108</v>
      </c>
    </row>
    <row r="7" spans="1:7" x14ac:dyDescent="0.25">
      <c r="A7" s="8" t="s">
        <v>22</v>
      </c>
      <c r="B7" s="48"/>
      <c r="C7" s="58">
        <v>35</v>
      </c>
      <c r="D7" s="58">
        <v>18</v>
      </c>
      <c r="E7" s="62">
        <v>22</v>
      </c>
      <c r="F7" s="53">
        <v>18</v>
      </c>
      <c r="G7" s="53">
        <v>26</v>
      </c>
    </row>
    <row r="8" spans="1:7" ht="15.75" thickBot="1" x14ac:dyDescent="0.3">
      <c r="A8" s="8" t="s">
        <v>21</v>
      </c>
      <c r="B8" s="50">
        <v>0.14399999999999999</v>
      </c>
      <c r="C8" s="59">
        <v>0.14399999999999999</v>
      </c>
      <c r="D8" s="59">
        <v>0.14399999999999999</v>
      </c>
      <c r="E8" s="63">
        <v>0.14399999999999999</v>
      </c>
      <c r="F8" s="54">
        <v>0.14399999999999999</v>
      </c>
      <c r="G8" s="54">
        <v>0.14399999999999999</v>
      </c>
    </row>
    <row r="9" spans="1:7" ht="15.75" thickBot="1" x14ac:dyDescent="0.3">
      <c r="A9" s="45" t="s">
        <v>10</v>
      </c>
      <c r="B9" s="51">
        <f t="shared" ref="B9:G9" si="0">SUM(B2:B8)</f>
        <v>17.643999999999998</v>
      </c>
      <c r="C9" s="60">
        <f t="shared" si="0"/>
        <v>682.64400000000001</v>
      </c>
      <c r="D9" s="60">
        <f t="shared" si="0"/>
        <v>245.64400000000001</v>
      </c>
      <c r="E9" s="64">
        <f t="shared" si="0"/>
        <v>354.64400000000001</v>
      </c>
      <c r="F9" s="55">
        <f t="shared" si="0"/>
        <v>193.14400000000001</v>
      </c>
      <c r="G9" s="55">
        <f t="shared" si="0"/>
        <v>498.64400000000001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CA30-29D6-4F3B-A57F-C6AA23B82BC7}">
  <dimension ref="A1:I16"/>
  <sheetViews>
    <sheetView workbookViewId="0">
      <selection activeCell="H14" sqref="H14"/>
    </sheetView>
  </sheetViews>
  <sheetFormatPr baseColWidth="10" defaultRowHeight="15" x14ac:dyDescent="0.25"/>
  <cols>
    <col min="1" max="1" width="15.28515625" customWidth="1"/>
    <col min="2" max="2" width="15.42578125" customWidth="1"/>
    <col min="3" max="3" width="14.5703125" customWidth="1"/>
    <col min="5" max="5" width="10.5703125" bestFit="1" customWidth="1"/>
    <col min="8" max="8" width="15.85546875" customWidth="1"/>
  </cols>
  <sheetData>
    <row r="1" spans="1:9" ht="26.25" thickBot="1" x14ac:dyDescent="0.3">
      <c r="A1" s="11" t="s">
        <v>23</v>
      </c>
      <c r="B1" s="12" t="s">
        <v>49</v>
      </c>
      <c r="C1" s="13" t="s">
        <v>50</v>
      </c>
      <c r="D1" s="13" t="s">
        <v>51</v>
      </c>
      <c r="E1" s="13" t="s">
        <v>48</v>
      </c>
      <c r="F1" s="13" t="s">
        <v>52</v>
      </c>
      <c r="G1" s="13" t="s">
        <v>53</v>
      </c>
      <c r="H1" s="13" t="s">
        <v>54</v>
      </c>
      <c r="I1" s="14" t="s">
        <v>55</v>
      </c>
    </row>
    <row r="2" spans="1:9" ht="15.75" thickBot="1" x14ac:dyDescent="0.3">
      <c r="A2" s="65" t="s">
        <v>24</v>
      </c>
      <c r="B2" s="68" t="s">
        <v>25</v>
      </c>
      <c r="C2" s="69" t="s">
        <v>26</v>
      </c>
      <c r="D2" s="69" t="s">
        <v>27</v>
      </c>
      <c r="E2" s="69" t="s">
        <v>28</v>
      </c>
      <c r="F2" s="69" t="s">
        <v>29</v>
      </c>
      <c r="G2" s="69" t="s">
        <v>29</v>
      </c>
      <c r="H2" s="69" t="s">
        <v>30</v>
      </c>
      <c r="I2" s="70">
        <v>269.95</v>
      </c>
    </row>
    <row r="3" spans="1:9" ht="15.75" thickBot="1" x14ac:dyDescent="0.3">
      <c r="A3" s="66" t="s">
        <v>31</v>
      </c>
      <c r="B3" s="71" t="s">
        <v>32</v>
      </c>
      <c r="C3" s="72" t="s">
        <v>33</v>
      </c>
      <c r="D3" s="72" t="s">
        <v>27</v>
      </c>
      <c r="E3" s="72" t="s">
        <v>28</v>
      </c>
      <c r="F3" s="72" t="s">
        <v>34</v>
      </c>
      <c r="G3" s="72" t="s">
        <v>35</v>
      </c>
      <c r="H3" s="72" t="s">
        <v>36</v>
      </c>
      <c r="I3" s="70">
        <v>139</v>
      </c>
    </row>
    <row r="4" spans="1:9" ht="26.25" thickBot="1" x14ac:dyDescent="0.3">
      <c r="A4" s="66" t="s">
        <v>37</v>
      </c>
      <c r="B4" s="71" t="s">
        <v>38</v>
      </c>
      <c r="C4" s="72" t="s">
        <v>39</v>
      </c>
      <c r="D4" s="72" t="s">
        <v>27</v>
      </c>
      <c r="E4" s="72" t="s">
        <v>28</v>
      </c>
      <c r="F4" s="72" t="s">
        <v>35</v>
      </c>
      <c r="G4" s="72" t="s">
        <v>40</v>
      </c>
      <c r="H4" s="72" t="s">
        <v>41</v>
      </c>
      <c r="I4" s="70">
        <v>156.94999999999999</v>
      </c>
    </row>
    <row r="5" spans="1:9" ht="26.25" thickBot="1" x14ac:dyDescent="0.3">
      <c r="A5" s="67" t="s">
        <v>42</v>
      </c>
      <c r="B5" s="73" t="s">
        <v>43</v>
      </c>
      <c r="C5" s="74" t="s">
        <v>73</v>
      </c>
      <c r="D5" s="74" t="s">
        <v>44</v>
      </c>
      <c r="E5" s="74" t="s">
        <v>46</v>
      </c>
      <c r="F5" s="74" t="s">
        <v>47</v>
      </c>
      <c r="G5" s="74" t="s">
        <v>47</v>
      </c>
      <c r="H5" s="74" t="s">
        <v>45</v>
      </c>
      <c r="I5" s="70">
        <v>179.95</v>
      </c>
    </row>
    <row r="6" spans="1:9" ht="15.75" thickBot="1" x14ac:dyDescent="0.3">
      <c r="A6" s="4"/>
      <c r="B6" s="4"/>
      <c r="C6" s="4"/>
      <c r="D6" s="4"/>
      <c r="E6" s="4"/>
      <c r="F6" s="4"/>
      <c r="G6" s="4"/>
      <c r="H6" s="4"/>
      <c r="I6" s="4"/>
    </row>
    <row r="7" spans="1:9" ht="26.25" thickBot="1" x14ac:dyDescent="0.3">
      <c r="A7" s="75" t="s">
        <v>56</v>
      </c>
      <c r="B7" s="76" t="s">
        <v>57</v>
      </c>
      <c r="C7" s="76" t="s">
        <v>58</v>
      </c>
      <c r="D7" s="76" t="s">
        <v>59</v>
      </c>
      <c r="E7" s="76" t="s">
        <v>55</v>
      </c>
      <c r="F7" s="4"/>
      <c r="G7" s="4"/>
      <c r="H7" s="4"/>
      <c r="I7" s="4"/>
    </row>
    <row r="8" spans="1:9" ht="51.75" thickBot="1" x14ac:dyDescent="0.3">
      <c r="A8" s="77" t="s">
        <v>60</v>
      </c>
      <c r="B8" s="78" t="s">
        <v>61</v>
      </c>
      <c r="C8" s="79" t="s">
        <v>62</v>
      </c>
      <c r="D8" s="78" t="s">
        <v>63</v>
      </c>
      <c r="E8" s="78">
        <v>106.95</v>
      </c>
      <c r="F8" s="4"/>
      <c r="G8" s="4"/>
      <c r="H8" s="4"/>
      <c r="I8" s="4"/>
    </row>
    <row r="9" spans="1:9" ht="51.75" thickBot="1" x14ac:dyDescent="0.3">
      <c r="A9" s="77" t="s">
        <v>64</v>
      </c>
      <c r="B9" s="78" t="s">
        <v>65</v>
      </c>
      <c r="C9" s="79" t="s">
        <v>66</v>
      </c>
      <c r="D9" s="78" t="s">
        <v>63</v>
      </c>
      <c r="E9" s="78">
        <v>129.94999999999999</v>
      </c>
      <c r="F9" s="4"/>
      <c r="G9" s="4"/>
      <c r="H9" s="4"/>
      <c r="I9" s="4"/>
    </row>
    <row r="10" spans="1:9" ht="15.75" thickBot="1" x14ac:dyDescent="0.3">
      <c r="A10" s="77" t="s">
        <v>67</v>
      </c>
      <c r="B10" s="78" t="s">
        <v>65</v>
      </c>
      <c r="C10" s="79" t="s">
        <v>66</v>
      </c>
      <c r="D10" s="78" t="s">
        <v>68</v>
      </c>
      <c r="E10" s="78">
        <v>157.94999999999999</v>
      </c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ht="25.5" x14ac:dyDescent="0.25">
      <c r="A12" s="16" t="s">
        <v>69</v>
      </c>
      <c r="B12" s="16" t="s">
        <v>70</v>
      </c>
      <c r="C12" s="16" t="s">
        <v>71</v>
      </c>
      <c r="D12" s="16" t="s">
        <v>72</v>
      </c>
    </row>
    <row r="13" spans="1:9" ht="51" x14ac:dyDescent="0.25">
      <c r="A13" s="17" t="s">
        <v>64</v>
      </c>
      <c r="B13" s="16">
        <v>5</v>
      </c>
      <c r="C13" s="17">
        <v>129.94999999999999</v>
      </c>
      <c r="D13" s="16">
        <f>B13*C13</f>
        <v>649.75</v>
      </c>
    </row>
    <row r="14" spans="1:9" x14ac:dyDescent="0.25">
      <c r="A14" s="18" t="s">
        <v>24</v>
      </c>
      <c r="B14" s="16">
        <v>1</v>
      </c>
      <c r="C14" s="19">
        <v>269.95</v>
      </c>
      <c r="D14" s="16">
        <f t="shared" ref="D14:D15" si="0">B14*C14</f>
        <v>269.95</v>
      </c>
    </row>
    <row r="15" spans="1:9" x14ac:dyDescent="0.25">
      <c r="A15" s="18" t="s">
        <v>37</v>
      </c>
      <c r="B15" s="16">
        <v>4</v>
      </c>
      <c r="C15" s="19">
        <v>156.94999999999999</v>
      </c>
      <c r="D15" s="16">
        <f t="shared" si="0"/>
        <v>627.79999999999995</v>
      </c>
    </row>
    <row r="16" spans="1:9" x14ac:dyDescent="0.25">
      <c r="A16" s="89" t="s">
        <v>10</v>
      </c>
      <c r="B16" s="89"/>
      <c r="C16" s="89"/>
      <c r="D16" s="3">
        <f>SUM(D13:D15)</f>
        <v>1547.5</v>
      </c>
    </row>
  </sheetData>
  <mergeCells count="1">
    <mergeCell ref="A16:C1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0025-EE90-4D0B-BDA6-D7C5C26E3883}">
  <dimension ref="A1:H12"/>
  <sheetViews>
    <sheetView tabSelected="1" workbookViewId="0">
      <selection activeCell="C13" sqref="C13"/>
    </sheetView>
  </sheetViews>
  <sheetFormatPr baseColWidth="10" defaultRowHeight="15" x14ac:dyDescent="0.25"/>
  <cols>
    <col min="1" max="1" width="19.140625" customWidth="1"/>
    <col min="3" max="3" width="32.7109375" customWidth="1"/>
    <col min="4" max="4" width="17.5703125" customWidth="1"/>
    <col min="5" max="5" width="19.42578125" customWidth="1"/>
  </cols>
  <sheetData>
    <row r="1" spans="1:8" ht="30" x14ac:dyDescent="0.25">
      <c r="A1" s="90" t="s">
        <v>74</v>
      </c>
      <c r="B1" s="90" t="s">
        <v>75</v>
      </c>
      <c r="C1" s="90" t="s">
        <v>82</v>
      </c>
      <c r="D1" s="91" t="s">
        <v>81</v>
      </c>
      <c r="E1" s="91" t="s">
        <v>83</v>
      </c>
      <c r="F1" s="92" t="s">
        <v>84</v>
      </c>
      <c r="G1" s="92"/>
    </row>
    <row r="2" spans="1:8" x14ac:dyDescent="0.25">
      <c r="A2" s="90" t="s">
        <v>76</v>
      </c>
      <c r="B2" s="90">
        <v>2.83</v>
      </c>
      <c r="C2" s="90">
        <f>0.35*B2</f>
        <v>0.99049999999999994</v>
      </c>
      <c r="D2" s="92">
        <v>1</v>
      </c>
      <c r="E2" s="92">
        <f>D2*0.1</f>
        <v>0.1</v>
      </c>
      <c r="F2" s="92">
        <v>2</v>
      </c>
      <c r="G2" s="92">
        <f>0.25*F2</f>
        <v>0.5</v>
      </c>
      <c r="H2">
        <f>0.3*B2</f>
        <v>0.84899999999999998</v>
      </c>
    </row>
    <row r="3" spans="1:8" x14ac:dyDescent="0.25">
      <c r="A3" s="90" t="s">
        <v>77</v>
      </c>
      <c r="B3" s="90">
        <v>2.12</v>
      </c>
      <c r="C3" s="90">
        <f t="shared" ref="C3:C6" si="0">0.35*B3</f>
        <v>0.74199999999999999</v>
      </c>
      <c r="D3" s="92">
        <v>1</v>
      </c>
      <c r="E3" s="92">
        <f t="shared" ref="E3:E6" si="1">D3*0.1</f>
        <v>0.1</v>
      </c>
      <c r="F3" s="92">
        <v>2</v>
      </c>
      <c r="G3" s="92">
        <f t="shared" ref="G3:G6" si="2">0.25*F3</f>
        <v>0.5</v>
      </c>
      <c r="H3">
        <f t="shared" ref="H3:H6" si="3">0.3*B3</f>
        <v>0.63600000000000001</v>
      </c>
    </row>
    <row r="4" spans="1:8" x14ac:dyDescent="0.25">
      <c r="A4" s="90" t="s">
        <v>78</v>
      </c>
      <c r="B4" s="90">
        <v>2.66</v>
      </c>
      <c r="C4" s="90">
        <f t="shared" si="0"/>
        <v>0.93099999999999994</v>
      </c>
      <c r="D4" s="92">
        <v>1</v>
      </c>
      <c r="E4" s="92">
        <f t="shared" si="1"/>
        <v>0.1</v>
      </c>
      <c r="F4" s="92">
        <v>2</v>
      </c>
      <c r="G4" s="92">
        <f t="shared" si="2"/>
        <v>0.5</v>
      </c>
      <c r="H4">
        <f t="shared" si="3"/>
        <v>0.79800000000000004</v>
      </c>
    </row>
    <row r="5" spans="1:8" x14ac:dyDescent="0.25">
      <c r="A5" s="90" t="s">
        <v>79</v>
      </c>
      <c r="B5" s="90">
        <v>1.1000000000000001</v>
      </c>
      <c r="C5" s="90">
        <f t="shared" si="0"/>
        <v>0.38500000000000001</v>
      </c>
      <c r="D5" s="92">
        <v>1</v>
      </c>
      <c r="E5" s="92">
        <f t="shared" si="1"/>
        <v>0.1</v>
      </c>
      <c r="F5" s="92">
        <v>2</v>
      </c>
      <c r="G5" s="92">
        <f t="shared" si="2"/>
        <v>0.5</v>
      </c>
      <c r="H5">
        <f t="shared" si="3"/>
        <v>0.33</v>
      </c>
    </row>
    <row r="6" spans="1:8" x14ac:dyDescent="0.25">
      <c r="A6" s="90" t="s">
        <v>80</v>
      </c>
      <c r="B6" s="90">
        <v>0.74</v>
      </c>
      <c r="C6" s="90">
        <f t="shared" si="0"/>
        <v>0.25900000000000001</v>
      </c>
      <c r="D6" s="92">
        <v>12</v>
      </c>
      <c r="E6" s="92">
        <f t="shared" si="1"/>
        <v>1.2000000000000002</v>
      </c>
      <c r="F6" s="92">
        <v>13</v>
      </c>
      <c r="G6" s="92">
        <f t="shared" si="2"/>
        <v>3.25</v>
      </c>
      <c r="H6">
        <f t="shared" si="3"/>
        <v>0.222</v>
      </c>
    </row>
    <row r="7" spans="1:8" x14ac:dyDescent="0.25">
      <c r="B7">
        <f>B2+B3+B4+B5+B6</f>
        <v>9.4500000000000011</v>
      </c>
      <c r="C7">
        <f t="shared" ref="C7:H7" si="4">C2+C3+C4+C5+C6</f>
        <v>3.3074999999999997</v>
      </c>
      <c r="D7">
        <f t="shared" si="4"/>
        <v>16</v>
      </c>
      <c r="E7">
        <f t="shared" si="4"/>
        <v>1.6</v>
      </c>
      <c r="F7">
        <f t="shared" si="4"/>
        <v>21</v>
      </c>
      <c r="G7">
        <f t="shared" si="4"/>
        <v>5.25</v>
      </c>
      <c r="H7">
        <f t="shared" si="4"/>
        <v>2.835</v>
      </c>
    </row>
    <row r="12" spans="1:8" x14ac:dyDescent="0.25">
      <c r="C12">
        <f>C7+E7+G7+H7</f>
        <v>12.9925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Df, R(s), g</vt:lpstr>
      <vt:lpstr>Demanda futura</vt:lpstr>
      <vt:lpstr>Ingenieria de trafico</vt:lpstr>
      <vt:lpstr>Equipos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Sánchez</dc:creator>
  <cp:lastModifiedBy>Francis Sánchez</cp:lastModifiedBy>
  <dcterms:created xsi:type="dcterms:W3CDTF">2023-10-21T14:12:25Z</dcterms:created>
  <dcterms:modified xsi:type="dcterms:W3CDTF">2023-10-27T23:07:02Z</dcterms:modified>
</cp:coreProperties>
</file>