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fran\Downloads\Proyecto\Cotizacion\"/>
    </mc:Choice>
  </mc:AlternateContent>
  <bookViews>
    <workbookView xWindow="0" yWindow="0" windowWidth="17280" windowHeight="9060" activeTab="4"/>
  </bookViews>
  <sheets>
    <sheet name="Lista" sheetId="1" r:id="rId1"/>
    <sheet name="Equipos" sheetId="2" r:id="rId2"/>
    <sheet name="Software" sheetId="3" r:id="rId3"/>
    <sheet name="Materiales" sheetId="4" r:id="rId4"/>
    <sheet name="Herramientas" sheetId="5" r:id="rId5"/>
    <sheet name="Servicios" sheetId="6" r:id="rId6"/>
    <sheet name="Cloud" sheetId="7" r:id="rId7"/>
    <sheet name="Azure" sheetId="8" r:id="rId8"/>
    <sheet name="Total" sheetId="9" r:id="rId9"/>
  </sheets>
  <calcPr calcId="162913"/>
  <extLst>
    <ext uri="GoogleSheetsCustomDataVersion1">
      <go:sheetsCustomData xmlns:go="http://customooxmlschemas.google.com/" r:id="rId13" roundtripDataSignature="AMtx7mgWmVOcX/9swaOroaQ8FzRLDXzn/g=="/>
    </ext>
  </extLst>
</workbook>
</file>

<file path=xl/calcChain.xml><?xml version="1.0" encoding="utf-8"?>
<calcChain xmlns="http://schemas.openxmlformats.org/spreadsheetml/2006/main">
  <c r="O18" i="8" l="1"/>
  <c r="O19" i="8" s="1"/>
  <c r="I26" i="7"/>
  <c r="J26" i="7" s="1"/>
  <c r="Q24" i="7" s="1"/>
  <c r="Q26" i="7" s="1"/>
  <c r="H26" i="7"/>
  <c r="Q23" i="7"/>
  <c r="J23" i="7"/>
  <c r="J22" i="7"/>
  <c r="Q22" i="7" s="1"/>
  <c r="I20" i="7"/>
  <c r="J20" i="7" s="1"/>
  <c r="Q20" i="7" s="1"/>
  <c r="I14" i="7"/>
  <c r="J14" i="7" s="1"/>
  <c r="Q14" i="7" s="1"/>
  <c r="Q12" i="7"/>
  <c r="Q10" i="7"/>
  <c r="J10" i="7"/>
  <c r="I9" i="7"/>
  <c r="J9" i="7" s="1"/>
  <c r="Q9" i="7" s="1"/>
  <c r="J8" i="7"/>
  <c r="Q8" i="7" s="1"/>
  <c r="C5" i="7"/>
  <c r="Q28" i="7" s="1"/>
  <c r="D5" i="9" s="1"/>
  <c r="D7" i="9" s="1"/>
  <c r="C21" i="6"/>
  <c r="C20" i="6"/>
  <c r="C19" i="6"/>
  <c r="M18" i="6"/>
  <c r="L18" i="6"/>
  <c r="K18" i="6"/>
  <c r="J18" i="6"/>
  <c r="C18" i="6"/>
  <c r="M17" i="6"/>
  <c r="L17" i="6"/>
  <c r="J17" i="6"/>
  <c r="C17" i="6"/>
  <c r="M16" i="6"/>
  <c r="L16" i="6"/>
  <c r="J16" i="6"/>
  <c r="C16" i="6"/>
  <c r="M15" i="6"/>
  <c r="L15" i="6"/>
  <c r="K15" i="6"/>
  <c r="J15" i="6"/>
  <c r="C15" i="6"/>
  <c r="L14" i="6"/>
  <c r="K14" i="6"/>
  <c r="C14" i="6"/>
  <c r="K13" i="6"/>
  <c r="J13" i="6"/>
  <c r="J30" i="6" s="1"/>
  <c r="C13" i="6"/>
  <c r="J12" i="6"/>
  <c r="J29" i="6" s="1"/>
  <c r="C12" i="6"/>
  <c r="K17" i="6" s="1"/>
  <c r="C11" i="6"/>
  <c r="K16" i="6" s="1"/>
  <c r="K10" i="6"/>
  <c r="C10" i="6"/>
  <c r="K9" i="6"/>
  <c r="J9" i="6"/>
  <c r="J26" i="6" s="1"/>
  <c r="C9" i="6"/>
  <c r="B9" i="6"/>
  <c r="J14" i="6" s="1"/>
  <c r="E8" i="6"/>
  <c r="F8" i="6" s="1"/>
  <c r="L13" i="6" s="1"/>
  <c r="C8" i="6"/>
  <c r="B8" i="6"/>
  <c r="E7" i="6"/>
  <c r="F7" i="6" s="1"/>
  <c r="L12" i="6" s="1"/>
  <c r="C7" i="6"/>
  <c r="K12" i="6" s="1"/>
  <c r="B7" i="6"/>
  <c r="E6" i="6"/>
  <c r="F6" i="6" s="1"/>
  <c r="L11" i="6" s="1"/>
  <c r="C6" i="6"/>
  <c r="K11" i="6" s="1"/>
  <c r="B6" i="6"/>
  <c r="J11" i="6" s="1"/>
  <c r="J28" i="6" s="1"/>
  <c r="B5" i="6"/>
  <c r="J10" i="6" s="1"/>
  <c r="J27" i="6" s="1"/>
  <c r="B4" i="6"/>
  <c r="F2" i="6"/>
  <c r="D5" i="6" s="1"/>
  <c r="E5" i="6" s="1"/>
  <c r="F5" i="6" s="1"/>
  <c r="L10" i="6" s="1"/>
  <c r="E2" i="6"/>
  <c r="E1" i="6"/>
  <c r="F1" i="6" s="1"/>
  <c r="D4" i="6" s="1"/>
  <c r="E4" i="6" s="1"/>
  <c r="F4" i="6" s="1"/>
  <c r="L9" i="6" s="1"/>
  <c r="F18" i="5"/>
  <c r="F19" i="5" s="1"/>
  <c r="F17" i="5"/>
  <c r="F16" i="5"/>
  <c r="F15" i="5"/>
  <c r="F14" i="5"/>
  <c r="F9" i="5"/>
  <c r="F8" i="5"/>
  <c r="F7" i="5"/>
  <c r="F6" i="5"/>
  <c r="F5" i="5"/>
  <c r="C21" i="4"/>
  <c r="C20" i="4"/>
  <c r="K19" i="4"/>
  <c r="C19" i="4"/>
  <c r="C18" i="4"/>
  <c r="C17" i="4"/>
  <c r="C16" i="4"/>
  <c r="L15" i="4"/>
  <c r="K15" i="4"/>
  <c r="J15" i="4"/>
  <c r="C15" i="4"/>
  <c r="K14" i="4"/>
  <c r="J14" i="4"/>
  <c r="C14" i="4"/>
  <c r="K13" i="4"/>
  <c r="J13" i="4"/>
  <c r="C13" i="4"/>
  <c r="K18" i="4" s="1"/>
  <c r="K12" i="4"/>
  <c r="J12" i="4"/>
  <c r="C12" i="4"/>
  <c r="K17" i="4" s="1"/>
  <c r="K11" i="4"/>
  <c r="J11" i="4"/>
  <c r="C11" i="4"/>
  <c r="K16" i="4" s="1"/>
  <c r="K10" i="4"/>
  <c r="J10" i="4"/>
  <c r="C10" i="4"/>
  <c r="K9" i="4"/>
  <c r="J9" i="4"/>
  <c r="E9" i="4"/>
  <c r="F9" i="4" s="1"/>
  <c r="E8" i="4"/>
  <c r="F8" i="4" s="1"/>
  <c r="E7" i="4"/>
  <c r="F7" i="4" s="1"/>
  <c r="F6" i="4"/>
  <c r="G6" i="4" s="1"/>
  <c r="M11" i="4" s="1"/>
  <c r="E6" i="4"/>
  <c r="F5" i="4"/>
  <c r="L10" i="4" s="1"/>
  <c r="E4" i="4"/>
  <c r="F4" i="4" s="1"/>
  <c r="B2" i="4"/>
  <c r="K30" i="3"/>
  <c r="K29" i="3"/>
  <c r="J29" i="3"/>
  <c r="J28" i="3"/>
  <c r="K26" i="3"/>
  <c r="J24" i="3"/>
  <c r="C19" i="3"/>
  <c r="C18" i="3"/>
  <c r="C17" i="3"/>
  <c r="K16" i="3"/>
  <c r="K31" i="3" s="1"/>
  <c r="J16" i="3"/>
  <c r="J31" i="3" s="1"/>
  <c r="C16" i="3"/>
  <c r="K15" i="3"/>
  <c r="J15" i="3"/>
  <c r="J30" i="3" s="1"/>
  <c r="C15" i="3"/>
  <c r="K14" i="3"/>
  <c r="J14" i="3"/>
  <c r="C14" i="3"/>
  <c r="K13" i="3"/>
  <c r="K28" i="3" s="1"/>
  <c r="J13" i="3"/>
  <c r="C13" i="3"/>
  <c r="K12" i="3"/>
  <c r="K27" i="3" s="1"/>
  <c r="J12" i="3"/>
  <c r="J27" i="3" s="1"/>
  <c r="C12" i="3"/>
  <c r="K17" i="3" s="1"/>
  <c r="K11" i="3"/>
  <c r="J11" i="3"/>
  <c r="J26" i="3" s="1"/>
  <c r="K10" i="3"/>
  <c r="K25" i="3" s="1"/>
  <c r="J10" i="3"/>
  <c r="J25" i="3" s="1"/>
  <c r="K9" i="3"/>
  <c r="K24" i="3" s="1"/>
  <c r="J9" i="3"/>
  <c r="B2" i="3"/>
  <c r="E11" i="3" s="1"/>
  <c r="F11" i="3" s="1"/>
  <c r="K33" i="2"/>
  <c r="K32" i="2"/>
  <c r="C22" i="2"/>
  <c r="C21" i="2"/>
  <c r="C20" i="2"/>
  <c r="C19" i="2"/>
  <c r="C18" i="2"/>
  <c r="K17" i="2"/>
  <c r="C17" i="2"/>
  <c r="C16" i="2"/>
  <c r="K15" i="2"/>
  <c r="J15" i="2"/>
  <c r="J33" i="2" s="1"/>
  <c r="C15" i="2"/>
  <c r="K14" i="2"/>
  <c r="J14" i="2"/>
  <c r="J32" i="2" s="1"/>
  <c r="C14" i="2"/>
  <c r="K19" i="2" s="1"/>
  <c r="J13" i="2"/>
  <c r="J31" i="2" s="1"/>
  <c r="C13" i="2"/>
  <c r="K18" i="2" s="1"/>
  <c r="J12" i="2"/>
  <c r="J30" i="2" s="1"/>
  <c r="C12" i="2"/>
  <c r="J11" i="2"/>
  <c r="J29" i="2" s="1"/>
  <c r="C11" i="2"/>
  <c r="K16" i="2" s="1"/>
  <c r="J10" i="2"/>
  <c r="J28" i="2" s="1"/>
  <c r="G10" i="2"/>
  <c r="M15" i="2" s="1"/>
  <c r="F10" i="2"/>
  <c r="L15" i="2" s="1"/>
  <c r="N15" i="2" s="1"/>
  <c r="C10" i="2"/>
  <c r="N9" i="2"/>
  <c r="L27" i="2" s="1"/>
  <c r="K9" i="2"/>
  <c r="K27" i="2" s="1"/>
  <c r="J9" i="2"/>
  <c r="J27" i="2" s="1"/>
  <c r="E9" i="2"/>
  <c r="F9" i="2" s="1"/>
  <c r="C8" i="2"/>
  <c r="K13" i="2" s="1"/>
  <c r="K31" i="2" s="1"/>
  <c r="C7" i="2"/>
  <c r="K12" i="2" s="1"/>
  <c r="K30" i="2" s="1"/>
  <c r="C6" i="2"/>
  <c r="K11" i="2" s="1"/>
  <c r="K29" i="2" s="1"/>
  <c r="G5" i="2"/>
  <c r="M10" i="2" s="1"/>
  <c r="F5" i="2"/>
  <c r="L10" i="2" s="1"/>
  <c r="N10" i="2" s="1"/>
  <c r="C5" i="2"/>
  <c r="K10" i="2" s="1"/>
  <c r="K28" i="2" s="1"/>
  <c r="F4" i="2"/>
  <c r="L9" i="2" s="1"/>
  <c r="C4" i="2"/>
  <c r="B2" i="2"/>
  <c r="E7" i="2" s="1"/>
  <c r="F7" i="2" s="1"/>
  <c r="L12" i="2" s="1"/>
  <c r="N12" i="2" s="1"/>
  <c r="L30" i="2" s="1"/>
  <c r="K4" i="1"/>
  <c r="O10" i="2" l="1"/>
  <c r="M28" i="2" s="1"/>
  <c r="L28" i="2"/>
  <c r="L33" i="2"/>
  <c r="O15" i="2"/>
  <c r="M33" i="2" s="1"/>
  <c r="L13" i="4"/>
  <c r="G8" i="4"/>
  <c r="M13" i="4" s="1"/>
  <c r="N9" i="6"/>
  <c r="M9" i="6"/>
  <c r="O12" i="2"/>
  <c r="M30" i="2" s="1"/>
  <c r="L12" i="4"/>
  <c r="G7" i="4"/>
  <c r="M12" i="4" s="1"/>
  <c r="L14" i="2"/>
  <c r="N14" i="2" s="1"/>
  <c r="G9" i="2"/>
  <c r="M14" i="2" s="1"/>
  <c r="O9" i="2"/>
  <c r="L14" i="4"/>
  <c r="G9" i="4"/>
  <c r="M14" i="4" s="1"/>
  <c r="N13" i="6"/>
  <c r="M13" i="6"/>
  <c r="L16" i="3"/>
  <c r="N16" i="3" s="1"/>
  <c r="L31" i="3" s="1"/>
  <c r="G11" i="3"/>
  <c r="M16" i="3" s="1"/>
  <c r="L9" i="4"/>
  <c r="G4" i="4"/>
  <c r="M9" i="4" s="1"/>
  <c r="G7" i="2"/>
  <c r="M12" i="2" s="1"/>
  <c r="G4" i="2"/>
  <c r="M9" i="2" s="1"/>
  <c r="M10" i="6"/>
  <c r="N10" i="6"/>
  <c r="N12" i="6"/>
  <c r="M12" i="6"/>
  <c r="N11" i="6"/>
  <c r="M11" i="6"/>
  <c r="E6" i="2"/>
  <c r="F6" i="2" s="1"/>
  <c r="E8" i="2"/>
  <c r="F8" i="2" s="1"/>
  <c r="E6" i="3"/>
  <c r="F6" i="3" s="1"/>
  <c r="L11" i="4"/>
  <c r="E5" i="3"/>
  <c r="F5" i="3" s="1"/>
  <c r="E9" i="3"/>
  <c r="F9" i="3" s="1"/>
  <c r="I11" i="7"/>
  <c r="J11" i="7" s="1"/>
  <c r="Q11" i="7" s="1"/>
  <c r="I13" i="7"/>
  <c r="J13" i="7" s="1"/>
  <c r="Q13" i="7" s="1"/>
  <c r="I19" i="7"/>
  <c r="J19" i="7" s="1"/>
  <c r="Q19" i="7" s="1"/>
  <c r="E8" i="3"/>
  <c r="F8" i="3" s="1"/>
  <c r="E10" i="3"/>
  <c r="F10" i="3" s="1"/>
  <c r="I16" i="7"/>
  <c r="J16" i="7" s="1"/>
  <c r="Q16" i="7" s="1"/>
  <c r="E4" i="3"/>
  <c r="F4" i="3" s="1"/>
  <c r="E7" i="3"/>
  <c r="F7" i="3" s="1"/>
  <c r="G5" i="4"/>
  <c r="M10" i="4" s="1"/>
  <c r="I15" i="7"/>
  <c r="J15" i="7" s="1"/>
  <c r="Q15" i="7" s="1"/>
  <c r="I21" i="7"/>
  <c r="J21" i="7" s="1"/>
  <c r="Q21" i="7" s="1"/>
  <c r="L9" i="3" l="1"/>
  <c r="N9" i="3" s="1"/>
  <c r="G4" i="3"/>
  <c r="M9" i="3" s="1"/>
  <c r="L15" i="3"/>
  <c r="N15" i="3" s="1"/>
  <c r="G10" i="3"/>
  <c r="M15" i="3" s="1"/>
  <c r="L27" i="6"/>
  <c r="O10" i="6"/>
  <c r="M27" i="6" s="1"/>
  <c r="L11" i="3"/>
  <c r="N11" i="3" s="1"/>
  <c r="G6" i="3"/>
  <c r="M11" i="3" s="1"/>
  <c r="L12" i="3"/>
  <c r="N12" i="3" s="1"/>
  <c r="G7" i="3"/>
  <c r="M12" i="3" s="1"/>
  <c r="L10" i="3"/>
  <c r="N10" i="3" s="1"/>
  <c r="G5" i="3"/>
  <c r="M10" i="3" s="1"/>
  <c r="L11" i="2"/>
  <c r="N11" i="2" s="1"/>
  <c r="G6" i="2"/>
  <c r="M11" i="2" s="1"/>
  <c r="L29" i="6"/>
  <c r="O12" i="6"/>
  <c r="M29" i="6" s="1"/>
  <c r="M21" i="2"/>
  <c r="O14" i="2"/>
  <c r="M32" i="2" s="1"/>
  <c r="L32" i="2"/>
  <c r="M14" i="6"/>
  <c r="M22" i="6" s="1"/>
  <c r="L26" i="6"/>
  <c r="O9" i="6"/>
  <c r="L13" i="3"/>
  <c r="N13" i="3" s="1"/>
  <c r="G8" i="3"/>
  <c r="M13" i="3" s="1"/>
  <c r="L28" i="6"/>
  <c r="O11" i="6"/>
  <c r="M28" i="6" s="1"/>
  <c r="M15" i="4"/>
  <c r="M27" i="2"/>
  <c r="O16" i="3"/>
  <c r="M31" i="3" s="1"/>
  <c r="G9" i="3"/>
  <c r="M14" i="3" s="1"/>
  <c r="L14" i="3"/>
  <c r="N14" i="3" s="1"/>
  <c r="L13" i="2"/>
  <c r="N13" i="2" s="1"/>
  <c r="G8" i="2"/>
  <c r="M13" i="2" s="1"/>
  <c r="L30" i="6"/>
  <c r="O13" i="6"/>
  <c r="M30" i="6" s="1"/>
  <c r="L29" i="3" l="1"/>
  <c r="O14" i="3"/>
  <c r="M29" i="3" s="1"/>
  <c r="O13" i="2"/>
  <c r="M31" i="2" s="1"/>
  <c r="L31" i="2"/>
  <c r="L28" i="3"/>
  <c r="O13" i="3"/>
  <c r="M28" i="3" s="1"/>
  <c r="L25" i="3"/>
  <c r="O10" i="3"/>
  <c r="M25" i="3" s="1"/>
  <c r="L26" i="3"/>
  <c r="O11" i="3"/>
  <c r="M26" i="3" s="1"/>
  <c r="L30" i="3"/>
  <c r="O15" i="3"/>
  <c r="M30" i="3" s="1"/>
  <c r="M26" i="6"/>
  <c r="O22" i="6"/>
  <c r="M31" i="6" s="1"/>
  <c r="E9" i="9" s="1"/>
  <c r="M19" i="3"/>
  <c r="L29" i="2"/>
  <c r="O11" i="2"/>
  <c r="L27" i="3"/>
  <c r="O12" i="3"/>
  <c r="M27" i="3" s="1"/>
  <c r="L24" i="3"/>
  <c r="O9" i="3"/>
  <c r="E7" i="9" l="1"/>
  <c r="F7" i="9" s="1"/>
  <c r="C7" i="9" s="1"/>
  <c r="E5" i="9"/>
  <c r="F5" i="9" s="1"/>
  <c r="M24" i="3"/>
  <c r="O19" i="3"/>
  <c r="M32" i="3" s="1"/>
  <c r="M29" i="2"/>
  <c r="O21" i="2"/>
  <c r="M34" i="2" l="1"/>
  <c r="D9" i="9" s="1"/>
  <c r="F9" i="9" s="1"/>
  <c r="C9" i="9" s="1"/>
  <c r="B23" i="1"/>
  <c r="C5" i="9"/>
  <c r="F11" i="9" l="1"/>
  <c r="C11" i="9" s="1"/>
</calcChain>
</file>

<file path=xl/sharedStrings.xml><?xml version="1.0" encoding="utf-8"?>
<sst xmlns="http://schemas.openxmlformats.org/spreadsheetml/2006/main" count="307" uniqueCount="171">
  <si>
    <t>Users 30 (N +1) N = n cargos</t>
  </si>
  <si>
    <t>Requisitos Recomendados in house</t>
  </si>
  <si>
    <t>Procesador</t>
  </si>
  <si>
    <t>Intel Xeon 1.8 = 2</t>
  </si>
  <si>
    <t>Intel Xeon 1.8 = 3 nucleos</t>
  </si>
  <si>
    <t>Ram</t>
  </si>
  <si>
    <t># computadores</t>
  </si>
  <si>
    <t>DD</t>
  </si>
  <si>
    <t>1000*2</t>
  </si>
  <si>
    <t>500*2</t>
  </si>
  <si>
    <t>pachcore</t>
  </si>
  <si>
    <t>RED</t>
  </si>
  <si>
    <t>home center</t>
  </si>
  <si>
    <t>easy</t>
  </si>
  <si>
    <t>lo mio, lo que yo me gano</t>
  </si>
  <si>
    <t>lista</t>
  </si>
  <si>
    <t>fabricante</t>
  </si>
  <si>
    <t>Homecenter</t>
  </si>
  <si>
    <t>Easy</t>
  </si>
  <si>
    <t>Equipos</t>
  </si>
  <si>
    <t>Software</t>
  </si>
  <si>
    <t>Materiales</t>
  </si>
  <si>
    <t>Herramientas</t>
  </si>
  <si>
    <t>Servicios</t>
  </si>
  <si>
    <t>Nombre</t>
  </si>
  <si>
    <t>Unidades</t>
  </si>
  <si>
    <t>dell</t>
  </si>
  <si>
    <t xml:space="preserve">
PowerEdge T140 | 2HDs de 1TB | 8GB | 1 año de garantía ProSupport</t>
  </si>
  <si>
    <t>https://www.microsoft.com/es-es/windows-server/pricing</t>
  </si>
  <si>
    <t>Edición de Windows Server 2019</t>
  </si>
  <si>
    <t>planos</t>
  </si>
  <si>
    <t>canaleta</t>
  </si>
  <si>
    <t>panchodora</t>
  </si>
  <si>
    <t>Servicios tecnologo</t>
  </si>
  <si>
    <t>PowerEdge T140 | 2HDs de 1TB | 16GB | 1 año de garantía ProSupport</t>
  </si>
  <si>
    <t>AnyDesk</t>
  </si>
  <si>
    <t>utp</t>
  </si>
  <si>
    <t>ponchado de impacto</t>
  </si>
  <si>
    <t>Servicios electricos</t>
  </si>
  <si>
    <t>amazon</t>
  </si>
  <si>
    <t>Router corporativo</t>
  </si>
  <si>
    <t>McAfee® Small Business Security 1 año</t>
  </si>
  <si>
    <t>rj45</t>
  </si>
  <si>
    <t>manilla</t>
  </si>
  <si>
    <t>asesor externo</t>
  </si>
  <si>
    <t>Firewall</t>
  </si>
  <si>
    <t>VMware Workstation 16 Pro</t>
  </si>
  <si>
    <t>pach core</t>
  </si>
  <si>
    <t>Probador de tonos</t>
  </si>
  <si>
    <t>abogado</t>
  </si>
  <si>
    <t>sw corporativos 16</t>
  </si>
  <si>
    <t>Licencia CAL de Servicios de Escritorio remoto de Windows Server</t>
  </si>
  <si>
    <t>Pach panel 24</t>
  </si>
  <si>
    <t>Probador Cables UTP - STP - Modulares</t>
  </si>
  <si>
    <t>contador</t>
  </si>
  <si>
    <t>Ups</t>
  </si>
  <si>
    <t>MX67C-HW Cisco Meraki, MX67C  Licencia de seguridad avanzada de Cisco Meraki de 1 año</t>
  </si>
  <si>
    <t>Rack</t>
  </si>
  <si>
    <t>Monitores corporativos</t>
  </si>
  <si>
    <t>Cisco licence</t>
  </si>
  <si>
    <t>Cisco Meraki MR42 Cloud Mng'd Wless AP + 3 años de licencia y soporte empresarial</t>
  </si>
  <si>
    <t>suscripcion aws</t>
  </si>
  <si>
    <t>trm</t>
  </si>
  <si>
    <t>https://www.banrep.gov.co/es/estadisticas/trm</t>
  </si>
  <si>
    <t>trm ajustada</t>
  </si>
  <si>
    <t>Descripcion tecnica</t>
  </si>
  <si>
    <t>cantidad</t>
  </si>
  <si>
    <t>price usd</t>
  </si>
  <si>
    <t>pesos</t>
  </si>
  <si>
    <t>valor  unitario retenciones</t>
  </si>
  <si>
    <t>valor   total</t>
  </si>
  <si>
    <t>Router VPN RV340 de Cisco con 4 puertos Gigabit Ethernet (GbE) más WAN dual, protección limitada de por vida (RV340-K9-NA), negro</t>
  </si>
  <si>
    <t>Cisco Meraki MX68 Firewall Plus MX68 Advanced Security and Support 3YR BDL extensión de la garantía</t>
  </si>
  <si>
    <t>Interruptor inteligente Cisco Business CBS250-16P-2G | 16 puertos GE | PoE | 2x1G SFP | Protección limitada de por vida (CBS250-16P-2G) (CBS250-16P-2G-NA)\</t>
  </si>
  <si>
    <t>precio unitario</t>
  </si>
  <si>
    <t>precio final</t>
  </si>
  <si>
    <t>UPS inteligente APC 1500VA con SmartConnect, SMC1500-2UC soporte en rack UPS batería de respaldo, sinewave, AVR, 120V, línea de alimentación ininterrumpida interactiva</t>
  </si>
  <si>
    <t>Monitor Dell: P2219H</t>
  </si>
  <si>
    <t>Descripcion</t>
  </si>
  <si>
    <t>Cantidad</t>
  </si>
  <si>
    <t>Valor Unitario</t>
  </si>
  <si>
    <t>Valor Total</t>
  </si>
  <si>
    <t>https://anydesk.com/es/comprar</t>
  </si>
  <si>
    <t>https://www.mcafee.com/en-us/antivirus/smb.html</t>
  </si>
  <si>
    <t>https://store-us.vmware.com/vmware-workstation-16-pro-5424176500.html?theme=2</t>
  </si>
  <si>
    <t>https://www.microsoft.com/es-es/d/licencia-cal-de-servicios-de-escritorio-remoto-de-windows-server/dg7gmgf0dvsv</t>
  </si>
  <si>
    <t>https://www.amazon.com/-/es/MX67C-HW-Cisco-Meraki-Managed-Firewall/dp/B07KKQMQSD/ref=sr_1_18?__mk_es_US=ÅMÅŽÕÑ&amp;dchild=1&amp;keywords=licence+cisco+firewall&amp;qid=1624664114&amp;sr=8-18</t>
  </si>
  <si>
    <t>MX67C-HW Cisco Meraki, MX67C Meraki Cloud Managed Firewall con: LIC-SEC-1YR - Licencia de seguridad avanzada de Cisco Meraki de 1 año</t>
  </si>
  <si>
    <t>https://www.amazon.com/-/es/Cisco-Meraki-licencia-soporte-empresarial/dp/B01BPA232Q/ref=sr_1_13?__mk_es_US=ÅMÅŽÕÑ&amp;dchild=1&amp;keywords=licence+cisco&amp;qid=1624664303&amp;sr=8-13</t>
  </si>
  <si>
    <t>con iva</t>
  </si>
  <si>
    <t>sin iva</t>
  </si>
  <si>
    <t>Canaleta 60 x 40 mm 2 metros ND</t>
  </si>
  <si>
    <t>Cable UTP Categoria 6 CCA+PVP Carrete 305 Metros Propack</t>
  </si>
  <si>
    <t>Bolsa rj45</t>
  </si>
  <si>
    <t>Extensión patch cord 2 metros gris cat 5e 3.6 db</t>
  </si>
  <si>
    <t>Patch Panel Cat 6 de 24 Puertos</t>
  </si>
  <si>
    <t xml:space="preserve">Descripcion </t>
  </si>
  <si>
    <t>Valor unitario</t>
  </si>
  <si>
    <t xml:space="preserve"> rack </t>
  </si>
  <si>
    <t>Precio (COP)</t>
  </si>
  <si>
    <t>https://www.homecenter.com.co/homecenter-co/product/276494/ponchadora-rj11-rj45-rj12</t>
  </si>
  <si>
    <t>https://www.homecenter.com.co/homecenter-co/product/358311/ponchadora-de-impacto-110-88-utp-stp</t>
  </si>
  <si>
    <t>https://www.exito.com/manilla-pulsera-antiestatica-ajustable-alta-calidad-100158060-mp/p</t>
  </si>
  <si>
    <t>https://www.amazon.com/Klein-Tools-VDV500-820-Tracer-cables/dp/B07VYN98QV/ref=sr_1_1_sspa?adgrpid=103184555194&amp;dchild=1&amp;gclid=CjwKCAjww-CGBhALEiwAQzWxOiYmJc0Rbd2WuRmcGYKo2HECkNj0UUKvRjjrKWktjDGzMELZI7PBhxoCsDMQAvD_BwE&amp;hvadid=523258892123&amp;hvdev=c&amp;hvlocphy=1003659&amp;hvnetw=g&amp;hvqmt=b&amp;hvrand=10441268869268163660&amp;hvtargid=kwd-351756677687&amp;hydadcr=26890_11642569&amp;keywords=tone+generator&amp;qid=1624778017&amp;sr=8-1-spons&amp;psc=1&amp;spLa=ZW5jcnlwdGVkUXVhbGlmaWVyPUEzSllIMUpXNjJMOEswJmVuY3J5cHRlZElkPUEwMTU5NDMwMklVWDM1TjE4T1dWUSZlbmNyeXB0ZWRBZElkPUEwODc4NDI1Mzc2NzZZWjExNU9CWSZ3aWRnZXROYW1lPXNwX2F0ZiZhY3Rpb249Y2xpY2tSZWRpcmVjdCZkb05vdExvZ0NsaWNrPXRydWU=</t>
  </si>
  <si>
    <t>https://www.homecenter.com.co/homecenter-co/product/166416/Multitester-Probador-Cables-UTP-STP-Modulares/166416</t>
  </si>
  <si>
    <t>personas</t>
  </si>
  <si>
    <t>puntos</t>
  </si>
  <si>
    <t>price</t>
  </si>
  <si>
    <t>precio</t>
  </si>
  <si>
    <t>precio impuestos</t>
  </si>
  <si>
    <t>2 servdores</t>
  </si>
  <si>
    <t>Compute:</t>
  </si>
  <si>
    <t>,Compute:,US East (N. Virginia)</t>
  </si>
  <si>
    <t>Intra-Region Data Transfer:</t>
  </si>
  <si>
    <t>EBS Volumes:</t>
  </si>
  <si>
    <t>EBS Throughput:</t>
  </si>
  <si>
    <t>EBS Snapshots:</t>
  </si>
  <si>
    <t>,Elastic Graphics:,US East (N. Virginia)</t>
  </si>
  <si>
    <t>Elastic IPs:</t>
  </si>
  <si>
    <t>Inter-Region Data Transfer Out:</t>
  </si>
  <si>
    <t>AWS Data Transfer In</t>
  </si>
  <si>
    <t>,US East (N. Virginia) Region:,Global,</t>
  </si>
  <si>
    <t>AWS Data Transfer Out</t>
  </si>
  <si>
    <t>,US East (N. Virginia) Region:,Global</t>
  </si>
  <si>
    <t>AWS Support (Business)</t>
  </si>
  <si>
    <t>Support for all AWS services:</t>
  </si>
  <si>
    <t>firewall</t>
  </si>
  <si>
    <t>Free Tier Discount:</t>
  </si>
  <si>
    <t>tranferencia firewall</t>
  </si>
  <si>
    <t>Total del año</t>
  </si>
  <si>
    <t>Total de servicios mensuales</t>
  </si>
  <si>
    <t>Total de servicios al año</t>
  </si>
  <si>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</si>
  <si>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</si>
  <si>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</si>
  <si>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</si>
  <si>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</si>
  <si>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</si>
  <si>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</si>
  <si>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</si>
  <si>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Precios col</t>
  </si>
  <si>
    <t>Precios Impuestos</t>
  </si>
  <si>
    <t>Precio Total</t>
  </si>
  <si>
    <t>Virtual Machines</t>
  </si>
  <si>
    <t>West US</t>
  </si>
  <si>
    <t>1 D4as v4 (4 vCPUs, 16 GB RAM); Linux – Red Hat Enterprise Linux; 1 year reserved; 1 managed disk – S50, 180,000 transaction units; Inter Region transfer type, 180 GB outbound data transfer from West US to Brazil South</t>
  </si>
  <si>
    <t>1 D2 v3 (2 vCPUs, 8 GB RAM); Linux – SUSE Linux Enterprise; 1 year reserved; 1 managed disk – S50, 90,000 transaction units; Inter Region transfer type, 180 GB outbound data transfer from West US to Brazil South</t>
  </si>
  <si>
    <t>Storage Accounts</t>
  </si>
  <si>
    <t>East US</t>
  </si>
  <si>
    <t>Block Blob Storage, General Purpose V2, LRS Redundancy, Hot Access Tier, 3,000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</si>
  <si>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Azure Firewall</t>
  </si>
  <si>
    <t>Standard tier, 1 Logical firewall units x 730 Hours, 180 GB Data processed</t>
  </si>
  <si>
    <t>IP Addresses</t>
  </si>
  <si>
    <t>0 Dynamic IP Addresses, 2 Static IP Addresses, 0 Remaps</t>
  </si>
  <si>
    <t>Support</t>
  </si>
  <si>
    <t>Licensing Program</t>
  </si>
  <si>
    <t>Microsoft Online Services Agreement</t>
  </si>
  <si>
    <t>Total</t>
  </si>
  <si>
    <t xml:space="preserve">  </t>
  </si>
  <si>
    <t>Costos totales del proyecto</t>
  </si>
  <si>
    <t>costo mes</t>
  </si>
  <si>
    <t>costo equipos</t>
  </si>
  <si>
    <t>costo servicios</t>
  </si>
  <si>
    <t>costo total</t>
  </si>
  <si>
    <t>solo cloud aws + azure</t>
  </si>
  <si>
    <t>solo 1 cloud</t>
  </si>
  <si>
    <t>solo on-premise</t>
  </si>
  <si>
    <t>hyper-convergentes</t>
  </si>
  <si>
    <t>Ventas de Sony año</t>
  </si>
  <si>
    <t>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</si>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</sst>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\ #,##0;[Red]\-&quot;$&quot;\ #,##0"/>
    <numFmt numFmtId="8" formatCode="&quot;$&quot;\ #,##0.00;[Red]\-&quot;$&quot;\ #,##0.00"/>
    <numFmt numFmtId="164" formatCode="[$$]#,##0.00"/>
  </numFmts>
  <fonts count="21">
    <font>
      <sz val="10"/>
      <color rgb="FF000000"/>
      <name val="Arial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u/>
      <sz val="10"/>
      <color rgb="FF1155CC"/>
      <name val="Arial"/>
    </font>
    <font>
      <b/>
      <sz val="36"/>
      <color theme="1"/>
      <name val="Arial"/>
    </font>
    <font>
      <b/>
      <sz val="20"/>
      <color rgb="FF000000"/>
      <name val="Arial"/>
    </font>
    <font>
      <u/>
      <sz val="10"/>
      <color rgb="FF0000FF"/>
      <name val="Arial"/>
    </font>
    <font>
      <b/>
      <sz val="14"/>
      <color theme="1"/>
      <name val="Arial"/>
    </font>
    <font>
      <b/>
      <sz val="14"/>
      <color rgb="FF000000"/>
      <name val="Arial"/>
    </font>
    <font>
      <sz val="10"/>
      <color theme="1"/>
      <name val="Arial"/>
    </font>
    <font>
      <b/>
      <sz val="16"/>
      <color rgb="FF000000"/>
      <name val="Arial"/>
    </font>
    <font>
      <u/>
      <sz val="10"/>
      <color theme="1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2"/>
      <color rgb="FF000000"/>
      <name val="Quattrocento Sans"/>
    </font>
    <font>
      <b/>
      <sz val="11"/>
      <color rgb="FF000000"/>
      <name val="Quattrocento Sans"/>
    </font>
  </fonts>
  <fills count="21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AD9D6"/>
        <bgColor rgb="FFFAD9D6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E6E6E6"/>
        <bgColor rgb="FFE6E6E6"/>
      </patternFill>
    </fill>
    <fill>
      <patternFill patternType="solid">
        <fgColor theme="8"/>
        <bgColor theme="8"/>
      </patternFill>
    </fill>
    <fill>
      <patternFill patternType="solid">
        <fgColor rgb="FF92D050"/>
        <bgColor rgb="FF92D050"/>
      </patternFill>
    </fill>
    <fill>
      <patternFill patternType="solid">
        <fgColor rgb="FFDDEBF7"/>
        <bgColor rgb="FFDDEBF7"/>
      </patternFill>
    </fill>
    <fill>
      <patternFill patternType="solid">
        <fgColor rgb="FF46BDC6"/>
        <bgColor rgb="FF46BDC6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2" fillId="0" borderId="1" xfId="0" applyFont="1" applyBorder="1"/>
    <xf numFmtId="0" fontId="4" fillId="0" borderId="3" xfId="0" applyFont="1" applyBorder="1" applyAlignment="1">
      <alignment horizontal="center" wrapText="1"/>
    </xf>
    <xf numFmtId="0" fontId="2" fillId="0" borderId="0" xfId="0" applyFont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  <xf numFmtId="0" fontId="2" fillId="9" borderId="4" xfId="0" applyFont="1" applyFill="1" applyBorder="1"/>
    <xf numFmtId="0" fontId="2" fillId="10" borderId="4" xfId="0" applyFont="1" applyFill="1" applyBorder="1"/>
    <xf numFmtId="0" fontId="2" fillId="11" borderId="4" xfId="0" applyFont="1" applyFill="1" applyBorder="1" applyAlignment="1">
      <alignment wrapText="1"/>
    </xf>
    <xf numFmtId="0" fontId="6" fillId="0" borderId="0" xfId="0" applyFont="1"/>
    <xf numFmtId="0" fontId="0" fillId="11" borderId="5" xfId="0" applyFont="1" applyFill="1" applyBorder="1" applyAlignment="1">
      <alignment wrapText="1"/>
    </xf>
    <xf numFmtId="0" fontId="0" fillId="11" borderId="5" xfId="0" applyFont="1" applyFill="1" applyBorder="1" applyAlignment="1">
      <alignment horizontal="right" wrapText="1"/>
    </xf>
    <xf numFmtId="0" fontId="2" fillId="11" borderId="4" xfId="0" applyFont="1" applyFill="1" applyBorder="1"/>
    <xf numFmtId="164" fontId="7" fillId="6" borderId="4" xfId="0" applyNumberFormat="1" applyFont="1" applyFill="1" applyBorder="1"/>
    <xf numFmtId="164" fontId="8" fillId="6" borderId="4" xfId="0" applyNumberFormat="1" applyFont="1" applyFill="1" applyBorder="1"/>
    <xf numFmtId="164" fontId="0" fillId="0" borderId="0" xfId="0" applyNumberFormat="1" applyFont="1"/>
    <xf numFmtId="164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164" fontId="2" fillId="6" borderId="4" xfId="0" applyNumberFormat="1" applyFont="1" applyFill="1" applyBorder="1"/>
    <xf numFmtId="164" fontId="2" fillId="0" borderId="0" xfId="0" applyNumberFormat="1" applyFont="1" applyAlignment="1">
      <alignment horizontal="center"/>
    </xf>
    <xf numFmtId="164" fontId="2" fillId="10" borderId="4" xfId="0" applyNumberFormat="1" applyFont="1" applyFill="1" applyBorder="1"/>
    <xf numFmtId="164" fontId="2" fillId="12" borderId="4" xfId="0" applyNumberFormat="1" applyFont="1" applyFill="1" applyBorder="1"/>
    <xf numFmtId="164" fontId="2" fillId="0" borderId="0" xfId="0" applyNumberFormat="1" applyFont="1" applyAlignment="1">
      <alignment horizontal="center" vertical="center"/>
    </xf>
    <xf numFmtId="164" fontId="10" fillId="5" borderId="4" xfId="0" applyNumberFormat="1" applyFont="1" applyFill="1" applyBorder="1"/>
    <xf numFmtId="164" fontId="11" fillId="13" borderId="4" xfId="0" applyNumberFormat="1" applyFont="1" applyFill="1" applyBorder="1"/>
    <xf numFmtId="0" fontId="12" fillId="14" borderId="0" xfId="0" applyFont="1" applyFill="1" applyAlignment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right"/>
    </xf>
    <xf numFmtId="164" fontId="12" fillId="0" borderId="1" xfId="0" applyNumberFormat="1" applyFont="1" applyBorder="1" applyAlignment="1">
      <alignment horizontal="right"/>
    </xf>
    <xf numFmtId="0" fontId="12" fillId="0" borderId="1" xfId="0" applyFont="1" applyBorder="1" applyAlignment="1"/>
    <xf numFmtId="164" fontId="12" fillId="0" borderId="1" xfId="0" applyNumberFormat="1" applyFont="1" applyBorder="1" applyAlignment="1"/>
    <xf numFmtId="164" fontId="12" fillId="15" borderId="1" xfId="0" applyNumberFormat="1" applyFont="1" applyFill="1" applyBorder="1"/>
    <xf numFmtId="164" fontId="3" fillId="16" borderId="4" xfId="0" applyNumberFormat="1" applyFont="1" applyFill="1" applyBorder="1" applyAlignment="1">
      <alignment horizontal="center"/>
    </xf>
    <xf numFmtId="164" fontId="13" fillId="13" borderId="4" xfId="0" applyNumberFormat="1" applyFont="1" applyFill="1" applyBorder="1"/>
    <xf numFmtId="0" fontId="12" fillId="0" borderId="1" xfId="0" applyFont="1" applyBorder="1"/>
    <xf numFmtId="164" fontId="12" fillId="0" borderId="1" xfId="0" applyNumberFormat="1" applyFont="1" applyBorder="1"/>
    <xf numFmtId="0" fontId="12" fillId="0" borderId="0" xfId="0" applyFont="1" applyAlignment="1"/>
    <xf numFmtId="164" fontId="12" fillId="15" borderId="1" xfId="0" applyNumberFormat="1" applyFont="1" applyFill="1" applyBorder="1" applyAlignment="1">
      <alignment horizontal="right"/>
    </xf>
    <xf numFmtId="0" fontId="12" fillId="14" borderId="0" xfId="0" applyFont="1" applyFill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0" fillId="15" borderId="1" xfId="0" applyNumberFormat="1" applyFont="1" applyFill="1" applyBorder="1"/>
    <xf numFmtId="0" fontId="0" fillId="8" borderId="5" xfId="0" applyFont="1" applyFill="1" applyBorder="1" applyAlignment="1">
      <alignment wrapText="1"/>
    </xf>
    <xf numFmtId="0" fontId="14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right" wrapText="1"/>
    </xf>
    <xf numFmtId="6" fontId="0" fillId="0" borderId="0" xfId="0" applyNumberFormat="1" applyFont="1"/>
    <xf numFmtId="0" fontId="15" fillId="14" borderId="6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6" fontId="0" fillId="0" borderId="1" xfId="0" applyNumberFormat="1" applyFont="1" applyBorder="1"/>
    <xf numFmtId="6" fontId="16" fillId="15" borderId="1" xfId="0" applyNumberFormat="1" applyFont="1" applyFill="1" applyBorder="1"/>
    <xf numFmtId="164" fontId="17" fillId="0" borderId="0" xfId="0" applyNumberFormat="1" applyFont="1"/>
    <xf numFmtId="4" fontId="12" fillId="0" borderId="0" xfId="0" applyNumberFormat="1" applyFont="1"/>
    <xf numFmtId="164" fontId="16" fillId="17" borderId="4" xfId="0" applyNumberFormat="1" applyFont="1" applyFill="1" applyBorder="1"/>
    <xf numFmtId="4" fontId="12" fillId="14" borderId="0" xfId="0" applyNumberFormat="1" applyFont="1" applyFill="1"/>
    <xf numFmtId="0" fontId="12" fillId="14" borderId="1" xfId="0" applyFont="1" applyFill="1" applyBorder="1" applyAlignment="1"/>
    <xf numFmtId="4" fontId="12" fillId="0" borderId="1" xfId="0" applyNumberFormat="1" applyFont="1" applyBorder="1" applyAlignment="1">
      <alignment horizontal="right"/>
    </xf>
    <xf numFmtId="4" fontId="12" fillId="15" borderId="1" xfId="0" applyNumberFormat="1" applyFont="1" applyFill="1" applyBorder="1" applyAlignment="1">
      <alignment horizontal="right"/>
    </xf>
    <xf numFmtId="0" fontId="0" fillId="5" borderId="5" xfId="0" applyFont="1" applyFill="1" applyBorder="1" applyAlignment="1">
      <alignment horizontal="center" wrapText="1"/>
    </xf>
    <xf numFmtId="0" fontId="0" fillId="5" borderId="5" xfId="0" applyFont="1" applyFill="1" applyBorder="1" applyAlignment="1">
      <alignment wrapText="1"/>
    </xf>
    <xf numFmtId="0" fontId="0" fillId="5" borderId="5" xfId="0" applyFont="1" applyFill="1" applyBorder="1" applyAlignment="1">
      <alignment vertical="center"/>
    </xf>
    <xf numFmtId="0" fontId="0" fillId="10" borderId="5" xfId="0" applyFont="1" applyFill="1" applyBorder="1" applyAlignment="1">
      <alignment wrapText="1"/>
    </xf>
    <xf numFmtId="0" fontId="0" fillId="10" borderId="5" xfId="0" applyFont="1" applyFill="1" applyBorder="1" applyAlignment="1">
      <alignment horizontal="center" wrapText="1"/>
    </xf>
    <xf numFmtId="4" fontId="0" fillId="0" borderId="5" xfId="0" applyNumberFormat="1" applyFont="1" applyBorder="1" applyAlignment="1">
      <alignment horizontal="right" wrapText="1"/>
    </xf>
    <xf numFmtId="8" fontId="0" fillId="0" borderId="5" xfId="0" applyNumberFormat="1" applyFont="1" applyBorder="1" applyAlignment="1">
      <alignment horizontal="right" wrapText="1"/>
    </xf>
    <xf numFmtId="164" fontId="0" fillId="0" borderId="5" xfId="0" applyNumberFormat="1" applyFont="1" applyBorder="1" applyAlignment="1">
      <alignment horizontal="right" wrapText="1"/>
    </xf>
    <xf numFmtId="4" fontId="0" fillId="0" borderId="0" xfId="0" applyNumberFormat="1" applyFont="1"/>
    <xf numFmtId="6" fontId="0" fillId="0" borderId="5" xfId="0" applyNumberFormat="1" applyFont="1" applyBorder="1" applyAlignment="1">
      <alignment horizontal="right" wrapText="1"/>
    </xf>
    <xf numFmtId="0" fontId="0" fillId="0" borderId="5" xfId="0" applyFont="1" applyBorder="1" applyAlignment="1">
      <alignment horizontal="center" wrapText="1"/>
    </xf>
    <xf numFmtId="0" fontId="0" fillId="0" borderId="0" xfId="0" applyFont="1"/>
    <xf numFmtId="8" fontId="0" fillId="0" borderId="0" xfId="0" applyNumberFormat="1" applyFont="1" applyAlignment="1">
      <alignment horizontal="right"/>
    </xf>
    <xf numFmtId="8" fontId="0" fillId="0" borderId="0" xfId="0" applyNumberFormat="1" applyFont="1"/>
    <xf numFmtId="8" fontId="0" fillId="5" borderId="5" xfId="0" applyNumberFormat="1" applyFont="1" applyFill="1" applyBorder="1" applyAlignment="1">
      <alignment horizontal="right" wrapText="1"/>
    </xf>
    <xf numFmtId="0" fontId="16" fillId="13" borderId="4" xfId="0" applyFont="1" applyFill="1" applyBorder="1"/>
    <xf numFmtId="8" fontId="16" fillId="13" borderId="5" xfId="0" applyNumberFormat="1" applyFont="1" applyFill="1" applyBorder="1" applyAlignment="1">
      <alignment horizontal="right" wrapText="1"/>
    </xf>
    <xf numFmtId="0" fontId="15" fillId="18" borderId="4" xfId="0" applyFont="1" applyFill="1" applyBorder="1"/>
    <xf numFmtId="4" fontId="16" fillId="18" borderId="4" xfId="0" applyNumberFormat="1" applyFont="1" applyFill="1" applyBorder="1" applyAlignment="1">
      <alignment horizontal="center"/>
    </xf>
    <xf numFmtId="164" fontId="16" fillId="13" borderId="4" xfId="0" applyNumberFormat="1" applyFont="1" applyFill="1" applyBorder="1"/>
    <xf numFmtId="0" fontId="0" fillId="0" borderId="5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0" xfId="0" applyFont="1" applyBorder="1" applyAlignment="1">
      <alignment wrapText="1"/>
    </xf>
    <xf numFmtId="0" fontId="20" fillId="19" borderId="3" xfId="0" applyFont="1" applyFill="1" applyBorder="1" applyAlignment="1">
      <alignment vertical="top" wrapText="1"/>
    </xf>
    <xf numFmtId="0" fontId="20" fillId="19" borderId="14" xfId="0" applyFont="1" applyFill="1" applyBorder="1" applyAlignment="1">
      <alignment vertical="top" wrapText="1"/>
    </xf>
    <xf numFmtId="0" fontId="0" fillId="0" borderId="15" xfId="0" applyFont="1" applyBorder="1" applyAlignment="1">
      <alignment wrapText="1"/>
    </xf>
    <xf numFmtId="0" fontId="0" fillId="13" borderId="14" xfId="0" applyFont="1" applyFill="1" applyBorder="1" applyAlignment="1">
      <alignment wrapText="1"/>
    </xf>
    <xf numFmtId="0" fontId="0" fillId="20" borderId="14" xfId="0" applyFont="1" applyFill="1" applyBorder="1" applyAlignment="1">
      <alignment wrapText="1"/>
    </xf>
    <xf numFmtId="0" fontId="4" fillId="0" borderId="5" xfId="0" applyFont="1" applyBorder="1" applyAlignment="1">
      <alignment vertical="top" wrapText="1"/>
    </xf>
    <xf numFmtId="8" fontId="4" fillId="0" borderId="5" xfId="0" applyNumberFormat="1" applyFont="1" applyBorder="1" applyAlignment="1">
      <alignment horizontal="right" vertical="top" wrapText="1"/>
    </xf>
    <xf numFmtId="4" fontId="0" fillId="0" borderId="14" xfId="0" applyNumberFormat="1" applyFont="1" applyBorder="1" applyAlignment="1">
      <alignment horizontal="right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right" wrapText="1"/>
    </xf>
    <xf numFmtId="0" fontId="20" fillId="0" borderId="10" xfId="0" applyFont="1" applyBorder="1" applyAlignment="1">
      <alignment vertical="top" wrapText="1"/>
    </xf>
    <xf numFmtId="8" fontId="4" fillId="0" borderId="10" xfId="0" applyNumberFormat="1" applyFont="1" applyBorder="1" applyAlignment="1">
      <alignment horizontal="right" vertical="top" wrapText="1"/>
    </xf>
    <xf numFmtId="0" fontId="0" fillId="0" borderId="15" xfId="0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  <xf numFmtId="0" fontId="20" fillId="0" borderId="10" xfId="0" applyFont="1" applyBorder="1" applyAlignment="1">
      <alignment vertical="center"/>
    </xf>
    <xf numFmtId="4" fontId="0" fillId="19" borderId="14" xfId="0" applyNumberFormat="1" applyFont="1" applyFill="1" applyBorder="1" applyAlignment="1">
      <alignment horizontal="right" wrapText="1"/>
    </xf>
    <xf numFmtId="8" fontId="20" fillId="0" borderId="14" xfId="0" applyNumberFormat="1" applyFont="1" applyBorder="1" applyAlignment="1">
      <alignment horizontal="right" vertical="top" wrapText="1"/>
    </xf>
    <xf numFmtId="4" fontId="0" fillId="2" borderId="14" xfId="0" applyNumberFormat="1" applyFont="1" applyFill="1" applyBorder="1" applyAlignment="1">
      <alignment horizontal="right" wrapText="1"/>
    </xf>
    <xf numFmtId="0" fontId="0" fillId="0" borderId="0" xfId="0" applyFont="1" applyAlignment="1">
      <alignment horizontal="right"/>
    </xf>
    <xf numFmtId="0" fontId="0" fillId="2" borderId="2" xfId="0" applyFont="1" applyFill="1" applyBorder="1" applyAlignment="1">
      <alignment wrapText="1"/>
    </xf>
    <xf numFmtId="0" fontId="0" fillId="2" borderId="16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7" xfId="0" applyFont="1" applyBorder="1" applyAlignment="1">
      <alignment vertical="top" wrapText="1"/>
    </xf>
    <xf numFmtId="0" fontId="18" fillId="0" borderId="8" xfId="0" applyFont="1" applyBorder="1"/>
    <xf numFmtId="0" fontId="18" fillId="0" borderId="9" xfId="0" applyFont="1" applyBorder="1"/>
    <xf numFmtId="0" fontId="19" fillId="0" borderId="11" xfId="0" applyFont="1" applyBorder="1" applyAlignment="1">
      <alignment vertical="top" wrapText="1"/>
    </xf>
    <xf numFmtId="0" fontId="18" fillId="0" borderId="12" xfId="0" applyFont="1" applyBorder="1"/>
    <xf numFmtId="0" fontId="18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s-es/windows-server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rep.gov.co/es/estadisticas/tr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-/es/Cisco-Meraki-licencia-soporte-empresarial/dp/B01BPA232Q/ref=sr_1_13?__mk_es_US=%C3%85M%C3%85%C5%BD%C3%95%C3%91&amp;dchild=1&amp;keywords=licence+cisco&amp;qid=1624664303&amp;sr=8-13" TargetMode="External"/><Relationship Id="rId3" Type="http://schemas.openxmlformats.org/officeDocument/2006/relationships/hyperlink" Target="https://anydesk.com/es/comprar" TargetMode="External"/><Relationship Id="rId7" Type="http://schemas.openxmlformats.org/officeDocument/2006/relationships/hyperlink" Target="https://www.amazon.com/-/es/MX67C-HW-Cisco-Meraki-Managed-Firewall/dp/B07KKQMQSD/ref=sr_1_18?__mk_es_US=%C3%85M%C3%85%C5%BD%C3%95%C3%91&amp;dchild=1&amp;keywords=licence+cisco+firewall&amp;qid=1624664114&amp;sr=8-18" TargetMode="External"/><Relationship Id="rId2" Type="http://schemas.openxmlformats.org/officeDocument/2006/relationships/hyperlink" Target="https://www.microsoft.com/es-es/windows-server/pricing" TargetMode="External"/><Relationship Id="rId1" Type="http://schemas.openxmlformats.org/officeDocument/2006/relationships/hyperlink" Target="https://www.banrep.gov.co/es/estadisticas/trm" TargetMode="External"/><Relationship Id="rId6" Type="http://schemas.openxmlformats.org/officeDocument/2006/relationships/hyperlink" Target="https://www.microsoft.com/es-es/d/licencia-cal-de-servicios-de-escritorio-remoto-de-windows-server/dg7gmgf0dvsv" TargetMode="External"/><Relationship Id="rId5" Type="http://schemas.openxmlformats.org/officeDocument/2006/relationships/hyperlink" Target="https://store-us.vmware.com/vmware-workstation-16-pro-5424176500.html?theme=2" TargetMode="External"/><Relationship Id="rId4" Type="http://schemas.openxmlformats.org/officeDocument/2006/relationships/hyperlink" Target="https://www.mcafee.com/en-us/antivirus/smb.html" TargetMode="External"/><Relationship Id="rId9" Type="http://schemas.openxmlformats.org/officeDocument/2006/relationships/hyperlink" Target="https://www.amazon.com/-/es/MX67C-HW-Cisco-Meraki-Managed-Firewall/dp/B07KKQMQSD/ref=sr_1_18?__mk_es_US=%C3%85M%C3%85%C5%BD%C3%95%C3%91&amp;dchild=1&amp;keywords=licence+cisco+firewall&amp;qid=1624664114&amp;sr=8-1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rep.gov.co/es/estadisticas/tr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ito.com/manilla-pulsera-antiestatica-ajustable-alta-calidad-100158060-mp/p" TargetMode="External"/><Relationship Id="rId2" Type="http://schemas.openxmlformats.org/officeDocument/2006/relationships/hyperlink" Target="https://www.homecenter.com.co/homecenter-co/product/358311/ponchadora-de-impacto-110-88-utp-stp" TargetMode="External"/><Relationship Id="rId1" Type="http://schemas.openxmlformats.org/officeDocument/2006/relationships/hyperlink" Target="https://www.homecenter.com.co/homecenter-co/product/276494/ponchadora-rj11-rj45-rj12" TargetMode="External"/><Relationship Id="rId4" Type="http://schemas.openxmlformats.org/officeDocument/2006/relationships/hyperlink" Target="https://www.homecenter.com.co/homecenter-co/product/166416/Multitester-Probador-Cables-UTP-STP-Modulares/166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0"/>
  <sheetViews>
    <sheetView topLeftCell="A10" workbookViewId="0"/>
  </sheetViews>
  <sheetFormatPr baseColWidth="10" defaultColWidth="14.42578125" defaultRowHeight="15" customHeight="1"/>
  <cols>
    <col min="1" max="1" width="34.5703125" customWidth="1"/>
    <col min="2" max="2" width="30.5703125" customWidth="1"/>
    <col min="3" max="3" width="14.42578125" customWidth="1"/>
    <col min="4" max="4" width="14.7109375" customWidth="1"/>
    <col min="5" max="5" width="18.5703125" customWidth="1"/>
    <col min="6" max="6" width="28.28515625" customWidth="1"/>
    <col min="10" max="10" width="25.28515625" customWidth="1"/>
    <col min="11" max="11" width="19.85546875" customWidth="1"/>
    <col min="14" max="14" width="25.28515625" customWidth="1"/>
    <col min="18" max="18" width="24.28515625" customWidth="1"/>
  </cols>
  <sheetData>
    <row r="1" spans="1:19" ht="15.75" customHeight="1">
      <c r="A1" s="1" t="s">
        <v>0</v>
      </c>
      <c r="B1" s="1" t="s">
        <v>1</v>
      </c>
      <c r="C1" s="1"/>
      <c r="D1" s="2"/>
      <c r="E1" s="1" t="s">
        <v>0</v>
      </c>
      <c r="F1" s="1" t="s">
        <v>1</v>
      </c>
      <c r="G1" s="1"/>
    </row>
    <row r="2" spans="1:19" ht="15.75" customHeight="1">
      <c r="A2" s="3" t="s">
        <v>2</v>
      </c>
      <c r="B2" s="4" t="s">
        <v>3</v>
      </c>
      <c r="C2" s="5"/>
      <c r="D2" s="6"/>
      <c r="E2" s="3" t="s">
        <v>2</v>
      </c>
      <c r="F2" s="4" t="s">
        <v>4</v>
      </c>
      <c r="G2" s="5"/>
    </row>
    <row r="3" spans="1:19" ht="15.75" customHeight="1">
      <c r="A3" s="3" t="s">
        <v>5</v>
      </c>
      <c r="B3" s="7">
        <v>8</v>
      </c>
      <c r="C3" s="5"/>
      <c r="D3" s="6"/>
      <c r="E3" s="3" t="s">
        <v>5</v>
      </c>
      <c r="F3" s="7">
        <v>16</v>
      </c>
      <c r="G3" s="5"/>
      <c r="J3" s="8" t="s">
        <v>6</v>
      </c>
    </row>
    <row r="4" spans="1:19" ht="15.75" customHeight="1">
      <c r="A4" s="3" t="s">
        <v>7</v>
      </c>
      <c r="B4" s="7" t="s">
        <v>8</v>
      </c>
      <c r="C4" s="5"/>
      <c r="D4" s="6"/>
      <c r="E4" s="3" t="s">
        <v>7</v>
      </c>
      <c r="F4" s="7" t="s">
        <v>9</v>
      </c>
      <c r="G4" s="5"/>
      <c r="I4" s="8" t="s">
        <v>10</v>
      </c>
      <c r="J4" s="8">
        <v>12</v>
      </c>
      <c r="K4" s="8">
        <f>J4*2+(20)</f>
        <v>44</v>
      </c>
    </row>
    <row r="5" spans="1:19" ht="15.75" customHeight="1">
      <c r="A5" s="3" t="s">
        <v>11</v>
      </c>
      <c r="B5" s="7">
        <v>1</v>
      </c>
      <c r="C5" s="5"/>
      <c r="D5" s="6"/>
      <c r="E5" s="3" t="s">
        <v>11</v>
      </c>
      <c r="F5" s="7">
        <v>1</v>
      </c>
      <c r="G5" s="5"/>
    </row>
    <row r="6" spans="1:19" ht="15.75" customHeight="1">
      <c r="I6" s="8" t="s">
        <v>12</v>
      </c>
      <c r="J6" s="8" t="s">
        <v>13</v>
      </c>
      <c r="Q6" s="8" t="s">
        <v>14</v>
      </c>
    </row>
    <row r="7" spans="1:19" ht="15.75" customHeight="1">
      <c r="A7" s="9" t="s">
        <v>15</v>
      </c>
      <c r="E7" s="8" t="s">
        <v>16</v>
      </c>
      <c r="M7" s="8" t="s">
        <v>17</v>
      </c>
      <c r="N7" s="8" t="s">
        <v>18</v>
      </c>
    </row>
    <row r="8" spans="1:19" ht="15.75" customHeight="1">
      <c r="A8" s="10" t="s">
        <v>19</v>
      </c>
      <c r="B8" s="10"/>
      <c r="C8" s="10"/>
      <c r="E8" s="11" t="s">
        <v>20</v>
      </c>
      <c r="F8" s="11"/>
      <c r="G8" s="11"/>
      <c r="I8" s="12" t="s">
        <v>21</v>
      </c>
      <c r="J8" s="12"/>
      <c r="K8" s="12"/>
      <c r="M8" s="13" t="s">
        <v>22</v>
      </c>
      <c r="N8" s="13"/>
      <c r="O8" s="13"/>
      <c r="Q8" s="14" t="s">
        <v>23</v>
      </c>
      <c r="R8" s="14"/>
      <c r="S8" s="14"/>
    </row>
    <row r="9" spans="1:19" ht="15.75" customHeight="1">
      <c r="A9" s="10"/>
      <c r="B9" s="10" t="s">
        <v>24</v>
      </c>
      <c r="C9" s="10" t="s">
        <v>25</v>
      </c>
      <c r="E9" s="11"/>
      <c r="F9" s="11" t="s">
        <v>24</v>
      </c>
      <c r="G9" s="11" t="s">
        <v>25</v>
      </c>
      <c r="I9" s="12"/>
      <c r="J9" s="12" t="s">
        <v>24</v>
      </c>
      <c r="K9" s="12" t="s">
        <v>25</v>
      </c>
      <c r="M9" s="13"/>
      <c r="N9" s="13" t="s">
        <v>24</v>
      </c>
      <c r="O9" s="13" t="s">
        <v>25</v>
      </c>
      <c r="Q9" s="14"/>
      <c r="R9" s="14" t="s">
        <v>24</v>
      </c>
      <c r="S9" s="14" t="s">
        <v>25</v>
      </c>
    </row>
    <row r="10" spans="1:19" ht="15.75" customHeight="1">
      <c r="A10" s="15" t="s">
        <v>26</v>
      </c>
      <c r="B10" s="16" t="s">
        <v>27</v>
      </c>
      <c r="C10" s="15">
        <v>1</v>
      </c>
      <c r="E10" s="17" t="s">
        <v>28</v>
      </c>
      <c r="F10" s="8" t="s">
        <v>29</v>
      </c>
      <c r="G10" s="8">
        <v>2</v>
      </c>
      <c r="I10" s="8" t="s">
        <v>30</v>
      </c>
      <c r="J10" s="8" t="s">
        <v>31</v>
      </c>
      <c r="K10" s="8">
        <v>30</v>
      </c>
      <c r="N10" s="18" t="s">
        <v>32</v>
      </c>
      <c r="O10" s="19">
        <v>2</v>
      </c>
      <c r="R10" s="8" t="s">
        <v>33</v>
      </c>
      <c r="S10" s="8">
        <v>2</v>
      </c>
    </row>
    <row r="11" spans="1:19" ht="15.75" customHeight="1">
      <c r="A11" s="15" t="s">
        <v>26</v>
      </c>
      <c r="B11" s="20" t="s">
        <v>34</v>
      </c>
      <c r="C11" s="15">
        <v>1</v>
      </c>
      <c r="F11" s="8" t="s">
        <v>35</v>
      </c>
      <c r="G11" s="8">
        <v>4</v>
      </c>
      <c r="I11" s="8" t="s">
        <v>30</v>
      </c>
      <c r="J11" s="8" t="s">
        <v>36</v>
      </c>
      <c r="K11" s="8">
        <v>2</v>
      </c>
      <c r="N11" s="18" t="s">
        <v>37</v>
      </c>
      <c r="O11" s="19">
        <v>2</v>
      </c>
      <c r="R11" s="8" t="s">
        <v>38</v>
      </c>
      <c r="S11" s="8">
        <v>2</v>
      </c>
    </row>
    <row r="12" spans="1:19" ht="15.75" customHeight="1">
      <c r="A12" s="15" t="s">
        <v>39</v>
      </c>
      <c r="B12" s="15" t="s">
        <v>40</v>
      </c>
      <c r="C12" s="15">
        <v>2</v>
      </c>
      <c r="F12" s="8" t="s">
        <v>41</v>
      </c>
      <c r="G12" s="8">
        <v>30</v>
      </c>
      <c r="I12" s="8" t="s">
        <v>30</v>
      </c>
      <c r="J12" s="8" t="s">
        <v>42</v>
      </c>
      <c r="K12" s="8">
        <v>1</v>
      </c>
      <c r="N12" s="18" t="s">
        <v>43</v>
      </c>
      <c r="O12" s="19">
        <v>2</v>
      </c>
      <c r="R12" s="8" t="s">
        <v>44</v>
      </c>
      <c r="S12" s="8">
        <v>1</v>
      </c>
    </row>
    <row r="13" spans="1:19" ht="15.75" customHeight="1">
      <c r="A13" s="15" t="s">
        <v>39</v>
      </c>
      <c r="B13" s="15" t="s">
        <v>45</v>
      </c>
      <c r="C13" s="15">
        <v>1</v>
      </c>
      <c r="F13" s="8" t="s">
        <v>46</v>
      </c>
      <c r="G13" s="8">
        <v>2</v>
      </c>
      <c r="I13" s="8" t="s">
        <v>30</v>
      </c>
      <c r="J13" s="8" t="s">
        <v>47</v>
      </c>
      <c r="K13" s="8">
        <v>40</v>
      </c>
      <c r="N13" s="18" t="s">
        <v>48</v>
      </c>
      <c r="O13" s="19">
        <v>2</v>
      </c>
      <c r="R13" s="8" t="s">
        <v>49</v>
      </c>
      <c r="S13" s="8">
        <v>1</v>
      </c>
    </row>
    <row r="14" spans="1:19" ht="15.75" customHeight="1">
      <c r="A14" s="15" t="s">
        <v>39</v>
      </c>
      <c r="B14" s="15" t="s">
        <v>50</v>
      </c>
      <c r="C14" s="15">
        <v>2</v>
      </c>
      <c r="F14" s="8" t="s">
        <v>51</v>
      </c>
      <c r="G14" s="8">
        <v>30</v>
      </c>
      <c r="J14" s="8" t="s">
        <v>52</v>
      </c>
      <c r="K14" s="8">
        <v>4</v>
      </c>
      <c r="N14" s="18" t="s">
        <v>53</v>
      </c>
      <c r="O14" s="19">
        <v>2</v>
      </c>
      <c r="R14" s="8" t="s">
        <v>54</v>
      </c>
      <c r="S14" s="8">
        <v>1</v>
      </c>
    </row>
    <row r="15" spans="1:19" ht="15.75" customHeight="1">
      <c r="A15" s="15" t="s">
        <v>39</v>
      </c>
      <c r="B15" s="15" t="s">
        <v>55</v>
      </c>
      <c r="C15" s="15">
        <v>3</v>
      </c>
      <c r="F15" s="8" t="s">
        <v>56</v>
      </c>
      <c r="G15" s="8">
        <v>1</v>
      </c>
      <c r="J15" s="8" t="s">
        <v>57</v>
      </c>
      <c r="K15" s="8">
        <v>4</v>
      </c>
    </row>
    <row r="16" spans="1:19" ht="15.75" customHeight="1">
      <c r="A16" s="8" t="s">
        <v>26</v>
      </c>
      <c r="B16" s="8" t="s">
        <v>58</v>
      </c>
      <c r="C16" s="8">
        <v>4</v>
      </c>
      <c r="F16" s="8" t="s">
        <v>59</v>
      </c>
      <c r="G16" s="8">
        <v>2</v>
      </c>
    </row>
    <row r="17" spans="2:7" ht="15.75" customHeight="1">
      <c r="F17" s="8" t="s">
        <v>60</v>
      </c>
      <c r="G17" s="8">
        <v>2</v>
      </c>
    </row>
    <row r="18" spans="2:7" ht="15.75" customHeight="1">
      <c r="F18" s="8" t="s">
        <v>61</v>
      </c>
      <c r="G18" s="8">
        <v>1</v>
      </c>
    </row>
    <row r="19" spans="2:7" ht="15.75" customHeight="1">
      <c r="F19" s="8"/>
      <c r="G19" s="8"/>
    </row>
    <row r="20" spans="2:7" ht="15.75" customHeight="1"/>
    <row r="21" spans="2:7" ht="21" customHeight="1">
      <c r="B21" s="21"/>
    </row>
    <row r="22" spans="2:7" ht="15.75" customHeight="1"/>
    <row r="23" spans="2:7" ht="42.75" customHeight="1">
      <c r="B23" s="22">
        <f>Equipos!O21+Software!O19+Materiales!M15+Herramientas!F19+Servicios!M14+Cloud!Q26+Cloud!Q28+Azure!O19</f>
        <v>538709448.54998291</v>
      </c>
      <c r="D23" s="23"/>
    </row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10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opLeftCell="H13" workbookViewId="0"/>
  </sheetViews>
  <sheetFormatPr baseColWidth="10" defaultColWidth="14.42578125" defaultRowHeight="15" customHeight="1"/>
  <cols>
    <col min="1" max="1" width="14" customWidth="1"/>
    <col min="2" max="2" width="34.42578125" customWidth="1"/>
    <col min="3" max="3" width="10.42578125" customWidth="1"/>
    <col min="4" max="5" width="14.42578125" customWidth="1"/>
    <col min="6" max="6" width="22.7109375" customWidth="1"/>
    <col min="10" max="10" width="36.42578125" customWidth="1"/>
    <col min="11" max="11" width="8.5703125" customWidth="1"/>
    <col min="13" max="13" width="22.42578125" customWidth="1"/>
    <col min="14" max="14" width="14.7109375" customWidth="1"/>
    <col min="15" max="15" width="21" customWidth="1"/>
  </cols>
  <sheetData>
    <row r="1" spans="1:15" ht="15.75" customHeight="1">
      <c r="A1" s="8" t="s">
        <v>62</v>
      </c>
      <c r="B1" s="24">
        <v>3739.03</v>
      </c>
      <c r="C1" s="25" t="s">
        <v>63</v>
      </c>
    </row>
    <row r="2" spans="1:15" ht="15.75" customHeight="1">
      <c r="A2" s="8" t="s">
        <v>64</v>
      </c>
      <c r="B2" s="24">
        <f>B1*1.03</f>
        <v>3851.2009000000003</v>
      </c>
    </row>
    <row r="3" spans="1:15" ht="15.75" customHeight="1">
      <c r="B3" s="10" t="s">
        <v>65</v>
      </c>
      <c r="C3" s="10" t="s">
        <v>66</v>
      </c>
      <c r="D3" s="10" t="s">
        <v>67</v>
      </c>
      <c r="E3" s="10" t="s">
        <v>68</v>
      </c>
      <c r="F3" s="10" t="s">
        <v>69</v>
      </c>
      <c r="G3" s="10" t="s">
        <v>70</v>
      </c>
    </row>
    <row r="4" spans="1:15" ht="15.75" customHeight="1">
      <c r="B4" s="26" t="s">
        <v>27</v>
      </c>
      <c r="C4" s="8">
        <f>Lista!C10</f>
        <v>1</v>
      </c>
      <c r="D4" s="24"/>
      <c r="E4" s="24">
        <v>7740617</v>
      </c>
      <c r="F4" s="24">
        <f t="shared" ref="F4:F10" si="0">E4*1.045</f>
        <v>8088944.7649999997</v>
      </c>
      <c r="G4" s="24">
        <f t="shared" ref="G4:G10" si="1">F4*C4</f>
        <v>8088944.7649999997</v>
      </c>
      <c r="H4" s="24"/>
    </row>
    <row r="5" spans="1:15" ht="15.75" customHeight="1">
      <c r="B5" s="8" t="s">
        <v>34</v>
      </c>
      <c r="C5" s="8">
        <f>Lista!C11</f>
        <v>1</v>
      </c>
      <c r="D5" s="24"/>
      <c r="E5" s="24">
        <v>7837538</v>
      </c>
      <c r="F5" s="24">
        <f t="shared" si="0"/>
        <v>8190227.209999999</v>
      </c>
      <c r="G5" s="24">
        <f t="shared" si="1"/>
        <v>8190227.209999999</v>
      </c>
      <c r="H5" s="24"/>
    </row>
    <row r="6" spans="1:15" ht="15.75" customHeight="1">
      <c r="B6" s="8" t="s">
        <v>71</v>
      </c>
      <c r="C6" s="8">
        <f>Lista!C12</f>
        <v>2</v>
      </c>
      <c r="D6" s="24">
        <v>216</v>
      </c>
      <c r="E6" s="24">
        <f>D6*B2</f>
        <v>831859.39440000011</v>
      </c>
      <c r="F6" s="24">
        <f t="shared" si="0"/>
        <v>869293.067148</v>
      </c>
      <c r="G6" s="24">
        <f t="shared" si="1"/>
        <v>1738586.134296</v>
      </c>
      <c r="H6" s="24"/>
    </row>
    <row r="7" spans="1:15" ht="15.75" customHeight="1">
      <c r="B7" s="8" t="s">
        <v>72</v>
      </c>
      <c r="C7" s="8">
        <f>Lista!C13</f>
        <v>1</v>
      </c>
      <c r="D7" s="24">
        <v>1399.9</v>
      </c>
      <c r="E7" s="24">
        <f>D7*B2</f>
        <v>5391296.1399100004</v>
      </c>
      <c r="F7" s="24">
        <f t="shared" si="0"/>
        <v>5633904.4662059499</v>
      </c>
      <c r="G7" s="24">
        <f t="shared" si="1"/>
        <v>5633904.4662059499</v>
      </c>
      <c r="H7" s="24"/>
    </row>
    <row r="8" spans="1:15" ht="15.75" customHeight="1">
      <c r="B8" s="8" t="s">
        <v>73</v>
      </c>
      <c r="C8" s="8">
        <f>Lista!C14</f>
        <v>2</v>
      </c>
      <c r="D8" s="24">
        <v>407.99</v>
      </c>
      <c r="E8" s="24">
        <f>D8*B2</f>
        <v>1571251.4551910001</v>
      </c>
      <c r="F8" s="24">
        <f t="shared" si="0"/>
        <v>1641957.7706745949</v>
      </c>
      <c r="G8" s="24">
        <f t="shared" si="1"/>
        <v>3283915.5413491898</v>
      </c>
      <c r="H8" s="24"/>
      <c r="J8" s="9" t="s">
        <v>65</v>
      </c>
      <c r="K8" s="9" t="s">
        <v>66</v>
      </c>
      <c r="L8" s="9" t="s">
        <v>74</v>
      </c>
      <c r="M8" s="9" t="s">
        <v>75</v>
      </c>
    </row>
    <row r="9" spans="1:15" ht="15.75" customHeight="1">
      <c r="B9" s="8" t="s">
        <v>76</v>
      </c>
      <c r="C9" s="8">
        <v>3</v>
      </c>
      <c r="D9" s="24">
        <v>800</v>
      </c>
      <c r="E9" s="24">
        <f>D9*B2</f>
        <v>3080960.72</v>
      </c>
      <c r="F9" s="24">
        <f t="shared" si="0"/>
        <v>3219603.9523999998</v>
      </c>
      <c r="G9" s="24">
        <f t="shared" si="1"/>
        <v>9658811.8572000004</v>
      </c>
      <c r="H9" s="24"/>
      <c r="J9" s="11" t="str">
        <f t="shared" ref="J9:K9" si="2">B4</f>
        <v xml:space="preserve">
PowerEdge T140 | 2HDs de 1TB | 8GB | 1 año de garantía ProSupport</v>
      </c>
      <c r="K9" s="11">
        <f t="shared" si="2"/>
        <v>1</v>
      </c>
      <c r="L9" s="27">
        <f t="shared" ref="L9:M9" si="3">F4</f>
        <v>8088944.7649999997</v>
      </c>
      <c r="M9" s="27">
        <f t="shared" si="3"/>
        <v>8088944.7649999997</v>
      </c>
      <c r="N9" s="28">
        <f t="shared" ref="N9:N15" si="4">L9*60%</f>
        <v>4853366.8589999992</v>
      </c>
      <c r="O9" s="23">
        <f t="shared" ref="O9:O15" si="5">N9*K9</f>
        <v>4853366.8589999992</v>
      </c>
    </row>
    <row r="10" spans="1:15" ht="15.75" customHeight="1">
      <c r="B10" s="8" t="s">
        <v>77</v>
      </c>
      <c r="C10" s="8">
        <f>Lista!C16</f>
        <v>4</v>
      </c>
      <c r="D10" s="29"/>
      <c r="E10" s="30">
        <v>839818</v>
      </c>
      <c r="F10" s="24">
        <f t="shared" si="0"/>
        <v>877609.80999999994</v>
      </c>
      <c r="G10" s="24">
        <f t="shared" si="1"/>
        <v>3510439.2399999998</v>
      </c>
      <c r="H10" s="24"/>
      <c r="J10" s="11" t="str">
        <f t="shared" ref="J10:K10" si="6">B5</f>
        <v>PowerEdge T140 | 2HDs de 1TB | 16GB | 1 año de garantía ProSupport</v>
      </c>
      <c r="K10" s="11">
        <f t="shared" si="6"/>
        <v>1</v>
      </c>
      <c r="L10" s="27">
        <f t="shared" ref="L10:M10" si="7">F5</f>
        <v>8190227.209999999</v>
      </c>
      <c r="M10" s="27">
        <f t="shared" si="7"/>
        <v>8190227.209999999</v>
      </c>
      <c r="N10" s="28">
        <f t="shared" si="4"/>
        <v>4914136.3259999994</v>
      </c>
      <c r="O10" s="23">
        <f t="shared" si="5"/>
        <v>4914136.3259999994</v>
      </c>
    </row>
    <row r="11" spans="1:15" ht="15.75" customHeight="1">
      <c r="C11" s="8">
        <f>Lista!C17</f>
        <v>0</v>
      </c>
      <c r="D11" s="24"/>
      <c r="E11" s="24"/>
      <c r="F11" s="24"/>
      <c r="G11" s="24"/>
      <c r="H11" s="24"/>
      <c r="J11" s="11" t="str">
        <f t="shared" ref="J11:K11" si="8">B6</f>
        <v>Router VPN RV340 de Cisco con 4 puertos Gigabit Ethernet (GbE) más WAN dual, protección limitada de por vida (RV340-K9-NA), negro</v>
      </c>
      <c r="K11" s="11">
        <f t="shared" si="8"/>
        <v>2</v>
      </c>
      <c r="L11" s="27">
        <f t="shared" ref="L11:M11" si="9">F6</f>
        <v>869293.067148</v>
      </c>
      <c r="M11" s="27">
        <f t="shared" si="9"/>
        <v>1738586.134296</v>
      </c>
      <c r="N11" s="28">
        <f t="shared" si="4"/>
        <v>521575.84028879995</v>
      </c>
      <c r="O11" s="23">
        <f t="shared" si="5"/>
        <v>1043151.6805775999</v>
      </c>
    </row>
    <row r="12" spans="1:15" ht="15.75" customHeight="1">
      <c r="C12" s="8">
        <f>Lista!C18</f>
        <v>0</v>
      </c>
      <c r="D12" s="24"/>
      <c r="E12" s="24"/>
      <c r="F12" s="24"/>
      <c r="G12" s="24"/>
      <c r="H12" s="24"/>
      <c r="J12" s="11" t="str">
        <f t="shared" ref="J12:K12" si="10">B7</f>
        <v>Cisco Meraki MX68 Firewall Plus MX68 Advanced Security and Support 3YR BDL extensión de la garantía</v>
      </c>
      <c r="K12" s="11">
        <f t="shared" si="10"/>
        <v>1</v>
      </c>
      <c r="L12" s="27">
        <f t="shared" ref="L12:M12" si="11">F7</f>
        <v>5633904.4662059499</v>
      </c>
      <c r="M12" s="27">
        <f t="shared" si="11"/>
        <v>5633904.4662059499</v>
      </c>
      <c r="N12" s="28">
        <f t="shared" si="4"/>
        <v>3380342.6797235697</v>
      </c>
      <c r="O12" s="23">
        <f t="shared" si="5"/>
        <v>3380342.6797235697</v>
      </c>
    </row>
    <row r="13" spans="1:15" ht="15.75" customHeight="1">
      <c r="C13" s="8">
        <f>Lista!C19</f>
        <v>0</v>
      </c>
      <c r="D13" s="24"/>
      <c r="E13" s="24"/>
      <c r="F13" s="24"/>
      <c r="G13" s="24"/>
      <c r="H13" s="24"/>
      <c r="J13" s="11" t="str">
        <f t="shared" ref="J13:K13" si="12">B8</f>
        <v>Interruptor inteligente Cisco Business CBS250-16P-2G | 16 puertos GE | PoE | 2x1G SFP | Protección limitada de por vida (CBS250-16P-2G) (CBS250-16P-2G-NA)\</v>
      </c>
      <c r="K13" s="11">
        <f t="shared" si="12"/>
        <v>2</v>
      </c>
      <c r="L13" s="27">
        <f t="shared" ref="L13:M13" si="13">F8</f>
        <v>1641957.7706745949</v>
      </c>
      <c r="M13" s="27">
        <f t="shared" si="13"/>
        <v>3283915.5413491898</v>
      </c>
      <c r="N13" s="31">
        <f t="shared" si="4"/>
        <v>985174.66240475688</v>
      </c>
      <c r="O13" s="23">
        <f t="shared" si="5"/>
        <v>1970349.3248095138</v>
      </c>
    </row>
    <row r="14" spans="1:15" ht="15.75" customHeight="1">
      <c r="C14" s="8">
        <f>Lista!C20</f>
        <v>0</v>
      </c>
      <c r="D14" s="24"/>
      <c r="E14" s="24"/>
      <c r="F14" s="24"/>
      <c r="G14" s="24"/>
      <c r="H14" s="24"/>
      <c r="J14" s="11" t="str">
        <f t="shared" ref="J14:K14" si="14">B9</f>
        <v>UPS inteligente APC 1500VA con SmartConnect, SMC1500-2UC soporte en rack UPS batería de respaldo, sinewave, AVR, 120V, línea de alimentación ininterrumpida interactiva</v>
      </c>
      <c r="K14" s="11">
        <f t="shared" si="14"/>
        <v>3</v>
      </c>
      <c r="L14" s="27">
        <f t="shared" ref="L14:M14" si="15">F9</f>
        <v>3219603.9523999998</v>
      </c>
      <c r="M14" s="27">
        <f t="shared" si="15"/>
        <v>9658811.8572000004</v>
      </c>
      <c r="N14" s="28">
        <f t="shared" si="4"/>
        <v>1931762.3714399999</v>
      </c>
      <c r="O14" s="23">
        <f t="shared" si="5"/>
        <v>5795287.1143199997</v>
      </c>
    </row>
    <row r="15" spans="1:15" ht="15.75" customHeight="1">
      <c r="C15" s="8">
        <f>Lista!C21</f>
        <v>0</v>
      </c>
      <c r="D15" s="24"/>
      <c r="E15" s="24"/>
      <c r="F15" s="24"/>
      <c r="G15" s="24"/>
      <c r="H15" s="24"/>
      <c r="J15" s="11" t="str">
        <f t="shared" ref="J15:K15" si="16">B10</f>
        <v>Monitor Dell: P2219H</v>
      </c>
      <c r="K15" s="11">
        <f t="shared" si="16"/>
        <v>4</v>
      </c>
      <c r="L15" s="27">
        <f t="shared" ref="L15:M15" si="17">F10</f>
        <v>877609.80999999994</v>
      </c>
      <c r="M15" s="27">
        <f t="shared" si="17"/>
        <v>3510439.2399999998</v>
      </c>
      <c r="N15" s="28">
        <f t="shared" si="4"/>
        <v>526565.88599999994</v>
      </c>
      <c r="O15" s="23">
        <f t="shared" si="5"/>
        <v>2106263.5439999998</v>
      </c>
    </row>
    <row r="16" spans="1:15" ht="15.75" customHeight="1">
      <c r="C16" s="8">
        <f>Lista!C22</f>
        <v>0</v>
      </c>
      <c r="D16" s="24"/>
      <c r="E16" s="24"/>
      <c r="F16" s="24"/>
      <c r="G16" s="24"/>
      <c r="H16" s="24"/>
      <c r="J16" s="11"/>
      <c r="K16" s="11">
        <f t="shared" ref="K16:K19" si="18">C11</f>
        <v>0</v>
      </c>
      <c r="L16" s="27"/>
      <c r="M16" s="27"/>
    </row>
    <row r="17" spans="3:15" ht="15.75" customHeight="1">
      <c r="C17" s="8">
        <f>Lista!C23</f>
        <v>0</v>
      </c>
      <c r="D17" s="24"/>
      <c r="E17" s="24"/>
      <c r="F17" s="24"/>
      <c r="G17" s="24"/>
      <c r="H17" s="24"/>
      <c r="J17" s="11"/>
      <c r="K17" s="11">
        <f t="shared" si="18"/>
        <v>0</v>
      </c>
      <c r="L17" s="27"/>
      <c r="M17" s="27"/>
    </row>
    <row r="18" spans="3:15" ht="15.75" customHeight="1">
      <c r="C18" s="8">
        <f>Lista!C24</f>
        <v>0</v>
      </c>
      <c r="D18" s="24"/>
      <c r="E18" s="24"/>
      <c r="F18" s="24"/>
      <c r="G18" s="24"/>
      <c r="H18" s="24"/>
      <c r="J18" s="11"/>
      <c r="K18" s="11">
        <f t="shared" si="18"/>
        <v>0</v>
      </c>
      <c r="L18" s="27"/>
      <c r="M18" s="27"/>
    </row>
    <row r="19" spans="3:15" ht="15.75" customHeight="1">
      <c r="C19" s="8">
        <f>Lista!C25</f>
        <v>0</v>
      </c>
      <c r="D19" s="24"/>
      <c r="E19" s="24"/>
      <c r="F19" s="24"/>
      <c r="G19" s="24"/>
      <c r="H19" s="24"/>
      <c r="J19" s="11"/>
      <c r="K19" s="11">
        <f t="shared" si="18"/>
        <v>0</v>
      </c>
      <c r="L19" s="27"/>
      <c r="M19" s="27"/>
    </row>
    <row r="20" spans="3:15" ht="15.75" customHeight="1">
      <c r="C20" s="8">
        <f>Lista!C26</f>
        <v>0</v>
      </c>
      <c r="D20" s="24"/>
      <c r="E20" s="24"/>
      <c r="F20" s="24"/>
      <c r="G20" s="24"/>
      <c r="H20" s="24"/>
      <c r="K20" s="8"/>
      <c r="L20" s="24"/>
      <c r="M20" s="24"/>
    </row>
    <row r="21" spans="3:15" ht="15.75" customHeight="1">
      <c r="C21" s="8">
        <f>Lista!C27</f>
        <v>0</v>
      </c>
      <c r="F21" s="24"/>
      <c r="G21" s="24"/>
      <c r="K21" s="8"/>
      <c r="L21" s="24"/>
      <c r="M21" s="32">
        <f>SUM(M9:M15)</f>
        <v>40104829.214051142</v>
      </c>
      <c r="N21" s="23"/>
      <c r="O21" s="33">
        <f>O9+O10+O11+O12+O13+O14+O15</f>
        <v>24062897.528430682</v>
      </c>
    </row>
    <row r="22" spans="3:15" ht="15.75" customHeight="1">
      <c r="C22" s="8">
        <f>Lista!C28</f>
        <v>0</v>
      </c>
      <c r="G22" s="24"/>
      <c r="K22" s="8"/>
    </row>
    <row r="23" spans="3:15" ht="15.75" customHeight="1">
      <c r="G23" s="24"/>
      <c r="K23" s="8"/>
    </row>
    <row r="24" spans="3:15" ht="15.75" customHeight="1">
      <c r="G24" s="24"/>
    </row>
    <row r="25" spans="3:15" ht="15.75" customHeight="1">
      <c r="G25" s="24"/>
    </row>
    <row r="26" spans="3:15" ht="15.75" customHeight="1">
      <c r="G26" s="24"/>
      <c r="J26" s="34" t="s">
        <v>78</v>
      </c>
      <c r="K26" s="34" t="s">
        <v>79</v>
      </c>
      <c r="L26" s="34" t="s">
        <v>80</v>
      </c>
      <c r="M26" s="34" t="s">
        <v>81</v>
      </c>
    </row>
    <row r="27" spans="3:15" ht="15.75" customHeight="1">
      <c r="G27" s="24"/>
      <c r="J27" s="35" t="str">
        <f t="shared" ref="J27:K27" si="19">J9</f>
        <v xml:space="preserve">
PowerEdge T140 | 2HDs de 1TB | 8GB | 1 año de garantía ProSupport</v>
      </c>
      <c r="K27" s="36">
        <f t="shared" si="19"/>
        <v>1</v>
      </c>
      <c r="L27" s="37">
        <f t="shared" ref="L27:M27" si="20">N9</f>
        <v>4853366.8589999992</v>
      </c>
      <c r="M27" s="37">
        <f t="shared" si="20"/>
        <v>4853366.8589999992</v>
      </c>
    </row>
    <row r="28" spans="3:15" ht="15.75" customHeight="1">
      <c r="G28" s="24"/>
      <c r="J28" s="35" t="str">
        <f t="shared" ref="J28:K28" si="21">J10</f>
        <v>PowerEdge T140 | 2HDs de 1TB | 16GB | 1 año de garantía ProSupport</v>
      </c>
      <c r="K28" s="36">
        <f t="shared" si="21"/>
        <v>1</v>
      </c>
      <c r="L28" s="37">
        <f t="shared" ref="L28:M28" si="22">N10</f>
        <v>4914136.3259999994</v>
      </c>
      <c r="M28" s="37">
        <f t="shared" si="22"/>
        <v>4914136.3259999994</v>
      </c>
    </row>
    <row r="29" spans="3:15" ht="15.75" customHeight="1">
      <c r="G29" s="24"/>
      <c r="J29" s="35" t="str">
        <f t="shared" ref="J29:K29" si="23">J11</f>
        <v>Router VPN RV340 de Cisco con 4 puertos Gigabit Ethernet (GbE) más WAN dual, protección limitada de por vida (RV340-K9-NA), negro</v>
      </c>
      <c r="K29" s="36">
        <f t="shared" si="23"/>
        <v>2</v>
      </c>
      <c r="L29" s="37">
        <f t="shared" ref="L29:M29" si="24">N11</f>
        <v>521575.84028879995</v>
      </c>
      <c r="M29" s="37">
        <f t="shared" si="24"/>
        <v>1043151.6805775999</v>
      </c>
    </row>
    <row r="30" spans="3:15" ht="15.75" customHeight="1">
      <c r="G30" s="24"/>
      <c r="J30" s="35" t="str">
        <f t="shared" ref="J30:K30" si="25">J12</f>
        <v>Cisco Meraki MX68 Firewall Plus MX68 Advanced Security and Support 3YR BDL extensión de la garantía</v>
      </c>
      <c r="K30" s="36">
        <f t="shared" si="25"/>
        <v>1</v>
      </c>
      <c r="L30" s="37">
        <f t="shared" ref="L30:M30" si="26">N12</f>
        <v>3380342.6797235697</v>
      </c>
      <c r="M30" s="37">
        <f t="shared" si="26"/>
        <v>3380342.6797235697</v>
      </c>
    </row>
    <row r="31" spans="3:15" ht="15.75" customHeight="1">
      <c r="G31" s="24"/>
      <c r="J31" s="35" t="str">
        <f t="shared" ref="J31:K31" si="27">J13</f>
        <v>Interruptor inteligente Cisco Business CBS250-16P-2G | 16 puertos GE | PoE | 2x1G SFP | Protección limitada de por vida (CBS250-16P-2G) (CBS250-16P-2G-NA)\</v>
      </c>
      <c r="K31" s="36">
        <f t="shared" si="27"/>
        <v>2</v>
      </c>
      <c r="L31" s="37">
        <f t="shared" ref="L31:M31" si="28">N13</f>
        <v>985174.66240475688</v>
      </c>
      <c r="M31" s="37">
        <f t="shared" si="28"/>
        <v>1970349.3248095138</v>
      </c>
    </row>
    <row r="32" spans="3:15" ht="15.75" customHeight="1">
      <c r="J32" s="35" t="str">
        <f t="shared" ref="J32:K32" si="29">J14</f>
        <v>UPS inteligente APC 1500VA con SmartConnect, SMC1500-2UC soporte en rack UPS batería de respaldo, sinewave, AVR, 120V, línea de alimentación ininterrumpida interactiva</v>
      </c>
      <c r="K32" s="36">
        <f t="shared" si="29"/>
        <v>3</v>
      </c>
      <c r="L32" s="37">
        <f t="shared" ref="L32:M32" si="30">N14</f>
        <v>1931762.3714399999</v>
      </c>
      <c r="M32" s="37">
        <f t="shared" si="30"/>
        <v>5795287.1143199997</v>
      </c>
    </row>
    <row r="33" spans="10:13" ht="15.75" customHeight="1">
      <c r="J33" s="38" t="str">
        <f t="shared" ref="J33:K33" si="31">J15</f>
        <v>Monitor Dell: P2219H</v>
      </c>
      <c r="K33" s="38">
        <f t="shared" si="31"/>
        <v>4</v>
      </c>
      <c r="L33" s="39">
        <f t="shared" ref="L33:M33" si="32">N15</f>
        <v>526565.88599999994</v>
      </c>
      <c r="M33" s="37">
        <f t="shared" si="32"/>
        <v>2106263.5439999998</v>
      </c>
    </row>
    <row r="34" spans="10:13" ht="15.75" customHeight="1">
      <c r="M34" s="40">
        <f>O21</f>
        <v>24062897.528430682</v>
      </c>
    </row>
    <row r="35" spans="10:13" ht="15.75" customHeight="1"/>
    <row r="36" spans="10:13" ht="15.75" customHeight="1"/>
    <row r="37" spans="10:13" ht="15.75" customHeight="1"/>
    <row r="38" spans="10:13" ht="15.75" customHeight="1"/>
    <row r="39" spans="10:13" ht="15.75" customHeight="1"/>
    <row r="40" spans="10:13" ht="15.75" customHeight="1"/>
    <row r="41" spans="10:13" ht="15.75" customHeight="1"/>
    <row r="42" spans="10:13" ht="15.75" customHeight="1"/>
    <row r="43" spans="10:13" ht="15.75" customHeight="1"/>
    <row r="44" spans="10:13" ht="15.75" customHeight="1"/>
    <row r="45" spans="10:13" ht="15.75" customHeight="1"/>
    <row r="46" spans="10:13" ht="15.75" customHeight="1"/>
    <row r="47" spans="10:13" ht="15.75" customHeight="1"/>
    <row r="48" spans="10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99"/>
  <sheetViews>
    <sheetView workbookViewId="0"/>
  </sheetViews>
  <sheetFormatPr baseColWidth="10" defaultColWidth="14.42578125" defaultRowHeight="15" customHeight="1"/>
  <cols>
    <col min="1" max="1" width="14.42578125" customWidth="1"/>
    <col min="2" max="2" width="16.42578125" customWidth="1"/>
    <col min="3" max="6" width="14.42578125" customWidth="1"/>
    <col min="10" max="10" width="24.42578125" customWidth="1"/>
    <col min="13" max="13" width="20.85546875" customWidth="1"/>
    <col min="15" max="15" width="23" customWidth="1"/>
  </cols>
  <sheetData>
    <row r="1" spans="1:15" ht="15.75" customHeight="1">
      <c r="A1" s="8" t="s">
        <v>62</v>
      </c>
      <c r="B1" s="24">
        <v>3739.03</v>
      </c>
      <c r="C1" s="25" t="s">
        <v>63</v>
      </c>
    </row>
    <row r="2" spans="1:15" ht="15.75" customHeight="1">
      <c r="A2" s="8" t="s">
        <v>64</v>
      </c>
      <c r="B2" s="24">
        <f>B1*1.03</f>
        <v>3851.2009000000003</v>
      </c>
    </row>
    <row r="3" spans="1:15" ht="15.75" customHeight="1">
      <c r="B3" s="10" t="s">
        <v>65</v>
      </c>
      <c r="C3" s="10" t="s">
        <v>66</v>
      </c>
      <c r="D3" s="10" t="s">
        <v>67</v>
      </c>
      <c r="E3" s="10" t="s">
        <v>68</v>
      </c>
      <c r="F3" s="10" t="s">
        <v>69</v>
      </c>
      <c r="G3" s="10" t="s">
        <v>70</v>
      </c>
    </row>
    <row r="4" spans="1:15" ht="15.75" customHeight="1">
      <c r="A4" s="25" t="s">
        <v>28</v>
      </c>
      <c r="B4" s="8" t="s">
        <v>29</v>
      </c>
      <c r="C4" s="8">
        <v>2</v>
      </c>
      <c r="D4" s="41">
        <v>972</v>
      </c>
      <c r="E4" s="24">
        <f>D4*B2</f>
        <v>3743367.2748000002</v>
      </c>
      <c r="F4" s="24">
        <f t="shared" ref="F4:F11" si="0">E4*1.045</f>
        <v>3911818.802166</v>
      </c>
      <c r="G4" s="24">
        <f t="shared" ref="G4:G11" si="1">F4*C4</f>
        <v>7823637.604332</v>
      </c>
      <c r="H4" s="24"/>
    </row>
    <row r="5" spans="1:15" ht="15.75" customHeight="1">
      <c r="A5" s="25" t="s">
        <v>82</v>
      </c>
      <c r="B5" s="8" t="s">
        <v>35</v>
      </c>
      <c r="C5" s="8">
        <v>4</v>
      </c>
      <c r="D5" s="24">
        <v>19.899999999999999</v>
      </c>
      <c r="E5" s="24">
        <f>D5*B2</f>
        <v>76638.89791</v>
      </c>
      <c r="F5" s="24">
        <f t="shared" si="0"/>
        <v>80087.648315949991</v>
      </c>
      <c r="G5" s="24">
        <f t="shared" si="1"/>
        <v>320350.59326379996</v>
      </c>
      <c r="H5" s="24"/>
    </row>
    <row r="6" spans="1:15" ht="15.75" customHeight="1">
      <c r="A6" s="25" t="s">
        <v>83</v>
      </c>
      <c r="B6" s="8" t="s">
        <v>41</v>
      </c>
      <c r="C6" s="8">
        <v>30</v>
      </c>
      <c r="D6" s="24">
        <v>19</v>
      </c>
      <c r="E6" s="24">
        <f>D6*B2</f>
        <v>73172.8171</v>
      </c>
      <c r="F6" s="24">
        <f t="shared" si="0"/>
        <v>76465.593869499993</v>
      </c>
      <c r="G6" s="24">
        <f t="shared" si="1"/>
        <v>2293967.8160849996</v>
      </c>
      <c r="H6" s="24"/>
    </row>
    <row r="7" spans="1:15" ht="15.75" customHeight="1">
      <c r="A7" s="17" t="s">
        <v>84</v>
      </c>
      <c r="B7" s="8" t="s">
        <v>46</v>
      </c>
      <c r="C7" s="8">
        <v>2</v>
      </c>
      <c r="D7" s="24">
        <v>199</v>
      </c>
      <c r="E7" s="24">
        <f>D7*B2</f>
        <v>766388.9791</v>
      </c>
      <c r="F7" s="24">
        <f t="shared" si="0"/>
        <v>800876.48315949994</v>
      </c>
      <c r="G7" s="24">
        <f t="shared" si="1"/>
        <v>1601752.9663189999</v>
      </c>
      <c r="H7" s="24"/>
    </row>
    <row r="8" spans="1:15" ht="15.75" customHeight="1">
      <c r="A8" s="25" t="s">
        <v>85</v>
      </c>
      <c r="B8" s="8" t="s">
        <v>51</v>
      </c>
      <c r="C8" s="8">
        <v>30</v>
      </c>
      <c r="D8" s="29">
        <v>239</v>
      </c>
      <c r="E8" s="30">
        <f>D8*B2</f>
        <v>920437.01510000008</v>
      </c>
      <c r="F8" s="24">
        <f t="shared" si="0"/>
        <v>961856.68077950005</v>
      </c>
      <c r="G8" s="24">
        <f t="shared" si="1"/>
        <v>28855700.423385002</v>
      </c>
      <c r="H8" s="24"/>
      <c r="J8" s="9" t="s">
        <v>65</v>
      </c>
      <c r="K8" s="9" t="s">
        <v>66</v>
      </c>
      <c r="L8" s="9" t="s">
        <v>74</v>
      </c>
      <c r="M8" s="9" t="s">
        <v>75</v>
      </c>
    </row>
    <row r="9" spans="1:15" ht="15.75" customHeight="1">
      <c r="A9" s="25" t="s">
        <v>86</v>
      </c>
      <c r="B9" s="8" t="s">
        <v>87</v>
      </c>
      <c r="C9" s="8">
        <v>1</v>
      </c>
      <c r="D9" s="24">
        <v>1239.99</v>
      </c>
      <c r="E9" s="24">
        <f>D9*B2</f>
        <v>4775450.603991</v>
      </c>
      <c r="F9" s="24">
        <f t="shared" si="0"/>
        <v>4990345.8811705951</v>
      </c>
      <c r="G9" s="24">
        <f t="shared" si="1"/>
        <v>4990345.8811705951</v>
      </c>
      <c r="H9" s="24"/>
      <c r="J9" s="11" t="str">
        <f t="shared" ref="J9:K9" si="2">B4</f>
        <v>Edición de Windows Server 2019</v>
      </c>
      <c r="K9" s="11">
        <f t="shared" si="2"/>
        <v>2</v>
      </c>
      <c r="L9" s="27">
        <f t="shared" ref="L9:M9" si="3">F4</f>
        <v>3911818.802166</v>
      </c>
      <c r="M9" s="27">
        <f t="shared" si="3"/>
        <v>7823637.604332</v>
      </c>
      <c r="N9" s="23">
        <f t="shared" ref="N9:N16" si="4">L9*60%</f>
        <v>2347091.2812995999</v>
      </c>
      <c r="O9" s="23">
        <f t="shared" ref="O9:O11" si="5">N9*K9</f>
        <v>4694182.5625991998</v>
      </c>
    </row>
    <row r="10" spans="1:15" ht="15.75" customHeight="1">
      <c r="A10" s="17" t="s">
        <v>88</v>
      </c>
      <c r="B10" s="8" t="s">
        <v>59</v>
      </c>
      <c r="C10" s="8">
        <v>2</v>
      </c>
      <c r="D10" s="24">
        <v>700</v>
      </c>
      <c r="E10" s="24">
        <f>D10*B2</f>
        <v>2695840.6300000004</v>
      </c>
      <c r="F10" s="24">
        <f t="shared" si="0"/>
        <v>2817153.45835</v>
      </c>
      <c r="G10" s="24">
        <f t="shared" si="1"/>
        <v>5634306.9166999999</v>
      </c>
      <c r="H10" s="24"/>
      <c r="J10" s="11" t="str">
        <f t="shared" ref="J10:K10" si="6">B5</f>
        <v>AnyDesk</v>
      </c>
      <c r="K10" s="11">
        <f t="shared" si="6"/>
        <v>4</v>
      </c>
      <c r="L10" s="27">
        <f t="shared" ref="L10:M10" si="7">F5</f>
        <v>80087.648315949991</v>
      </c>
      <c r="M10" s="27">
        <f t="shared" si="7"/>
        <v>320350.59326379996</v>
      </c>
      <c r="N10" s="23">
        <f t="shared" si="4"/>
        <v>48052.588989569995</v>
      </c>
      <c r="O10" s="23">
        <f t="shared" si="5"/>
        <v>192210.35595827998</v>
      </c>
    </row>
    <row r="11" spans="1:15" ht="15.75" customHeight="1">
      <c r="A11" s="25" t="s">
        <v>86</v>
      </c>
      <c r="B11" s="8" t="s">
        <v>60</v>
      </c>
      <c r="C11" s="8">
        <v>2</v>
      </c>
      <c r="D11" s="24">
        <v>750</v>
      </c>
      <c r="E11" s="24">
        <f>D11*B2</f>
        <v>2888400.6750000003</v>
      </c>
      <c r="F11" s="24">
        <f t="shared" si="0"/>
        <v>3018378.7053749999</v>
      </c>
      <c r="G11" s="24">
        <f t="shared" si="1"/>
        <v>6036757.4107499998</v>
      </c>
      <c r="H11" s="24"/>
      <c r="J11" s="11" t="str">
        <f t="shared" ref="J11:K11" si="8">B6</f>
        <v>McAfee® Small Business Security 1 año</v>
      </c>
      <c r="K11" s="11">
        <f t="shared" si="8"/>
        <v>30</v>
      </c>
      <c r="L11" s="27">
        <f t="shared" ref="L11:M11" si="9">F6</f>
        <v>76465.593869499993</v>
      </c>
      <c r="M11" s="27">
        <f t="shared" si="9"/>
        <v>2293967.8160849996</v>
      </c>
      <c r="N11" s="23">
        <f t="shared" si="4"/>
        <v>45879.356321699997</v>
      </c>
      <c r="O11" s="23">
        <f t="shared" si="5"/>
        <v>1376380.6896509998</v>
      </c>
    </row>
    <row r="12" spans="1:15" ht="15.75" customHeight="1">
      <c r="A12" s="17"/>
      <c r="B12" s="8" t="s">
        <v>61</v>
      </c>
      <c r="C12" s="8">
        <f>Lista!G18</f>
        <v>1</v>
      </c>
      <c r="D12" s="24"/>
      <c r="E12" s="24"/>
      <c r="F12" s="24"/>
      <c r="G12" s="24"/>
      <c r="H12" s="24"/>
      <c r="J12" s="11" t="str">
        <f t="shared" ref="J12:K12" si="10">B7</f>
        <v>VMware Workstation 16 Pro</v>
      </c>
      <c r="K12" s="11">
        <f t="shared" si="10"/>
        <v>2</v>
      </c>
      <c r="L12" s="27">
        <f t="shared" ref="L12:M12" si="11">F7</f>
        <v>800876.48315949994</v>
      </c>
      <c r="M12" s="27">
        <f t="shared" si="11"/>
        <v>1601752.9663189999</v>
      </c>
      <c r="N12" s="23">
        <f t="shared" si="4"/>
        <v>480525.88989569992</v>
      </c>
      <c r="O12" s="23">
        <f t="shared" ref="O12:O14" si="12">K12*N12</f>
        <v>961051.77979139984</v>
      </c>
    </row>
    <row r="13" spans="1:15" ht="15.75" customHeight="1">
      <c r="C13" s="8">
        <f>Lista!G19</f>
        <v>0</v>
      </c>
      <c r="D13" s="24"/>
      <c r="E13" s="24"/>
      <c r="F13" s="24"/>
      <c r="G13" s="24"/>
      <c r="H13" s="24"/>
      <c r="J13" s="11" t="str">
        <f t="shared" ref="J13:K13" si="13">B8</f>
        <v>Licencia CAL de Servicios de Escritorio remoto de Windows Server</v>
      </c>
      <c r="K13" s="11">
        <f t="shared" si="13"/>
        <v>30</v>
      </c>
      <c r="L13" s="27">
        <f t="shared" ref="L13:M13" si="14">F8</f>
        <v>961856.68077950005</v>
      </c>
      <c r="M13" s="27">
        <f t="shared" si="14"/>
        <v>28855700.423385002</v>
      </c>
      <c r="N13" s="23">
        <f t="shared" si="4"/>
        <v>577114.00846769998</v>
      </c>
      <c r="O13" s="23">
        <f t="shared" si="12"/>
        <v>17313420.254030999</v>
      </c>
    </row>
    <row r="14" spans="1:15" ht="15.75" customHeight="1">
      <c r="C14" s="8">
        <f>Lista!G20</f>
        <v>0</v>
      </c>
      <c r="D14" s="24"/>
      <c r="E14" s="24"/>
      <c r="F14" s="24"/>
      <c r="G14" s="24"/>
      <c r="H14" s="24"/>
      <c r="J14" s="11" t="str">
        <f t="shared" ref="J14:K14" si="15">B9</f>
        <v>MX67C-HW Cisco Meraki, MX67C Meraki Cloud Managed Firewall con: LIC-SEC-1YR - Licencia de seguridad avanzada de Cisco Meraki de 1 año</v>
      </c>
      <c r="K14" s="11">
        <f t="shared" si="15"/>
        <v>1</v>
      </c>
      <c r="L14" s="27">
        <f t="shared" ref="L14:M14" si="16">F9</f>
        <v>4990345.8811705951</v>
      </c>
      <c r="M14" s="27">
        <f t="shared" si="16"/>
        <v>4990345.8811705951</v>
      </c>
      <c r="N14" s="23">
        <f t="shared" si="4"/>
        <v>2994207.5287023569</v>
      </c>
      <c r="O14" s="23">
        <f t="shared" si="12"/>
        <v>2994207.5287023569</v>
      </c>
    </row>
    <row r="15" spans="1:15" ht="15.75" customHeight="1">
      <c r="C15" s="8">
        <f>Lista!G21</f>
        <v>0</v>
      </c>
      <c r="D15" s="24"/>
      <c r="E15" s="24"/>
      <c r="F15" s="24"/>
      <c r="G15" s="24"/>
      <c r="H15" s="24"/>
      <c r="J15" s="11" t="str">
        <f t="shared" ref="J15:K15" si="17">B10</f>
        <v>Cisco licence</v>
      </c>
      <c r="K15" s="11">
        <f t="shared" si="17"/>
        <v>2</v>
      </c>
      <c r="L15" s="27">
        <f t="shared" ref="L15:M15" si="18">F10</f>
        <v>2817153.45835</v>
      </c>
      <c r="M15" s="27">
        <f t="shared" si="18"/>
        <v>5634306.9166999999</v>
      </c>
      <c r="N15" s="23">
        <f t="shared" si="4"/>
        <v>1690292.07501</v>
      </c>
      <c r="O15" s="23">
        <f>N15*K15</f>
        <v>3380584.1500200001</v>
      </c>
    </row>
    <row r="16" spans="1:15" ht="15.75" customHeight="1">
      <c r="C16" s="8">
        <f>Lista!C24</f>
        <v>0</v>
      </c>
      <c r="D16" s="24"/>
      <c r="E16" s="24"/>
      <c r="F16" s="24"/>
      <c r="G16" s="24"/>
      <c r="H16" s="24"/>
      <c r="J16" s="11" t="str">
        <f t="shared" ref="J16:K16" si="19">B11</f>
        <v>Cisco Meraki MR42 Cloud Mng'd Wless AP + 3 años de licencia y soporte empresarial</v>
      </c>
      <c r="K16" s="11">
        <f t="shared" si="19"/>
        <v>2</v>
      </c>
      <c r="L16" s="27">
        <f t="shared" ref="L16:M16" si="20">F11</f>
        <v>3018378.7053749999</v>
      </c>
      <c r="M16" s="27">
        <f t="shared" si="20"/>
        <v>6036757.4107499998</v>
      </c>
      <c r="N16" s="23">
        <f t="shared" si="4"/>
        <v>1811027.2232249998</v>
      </c>
      <c r="O16" s="23">
        <f>K16*N16</f>
        <v>3622054.4464499997</v>
      </c>
    </row>
    <row r="17" spans="3:15" ht="15.75" customHeight="1">
      <c r="C17" s="8">
        <f>Lista!C25</f>
        <v>0</v>
      </c>
      <c r="D17" s="24"/>
      <c r="E17" s="24"/>
      <c r="F17" s="24"/>
      <c r="G17" s="24"/>
      <c r="H17" s="24"/>
      <c r="J17" s="11"/>
      <c r="K17" s="11">
        <f>C12</f>
        <v>1</v>
      </c>
      <c r="L17" s="27"/>
      <c r="M17" s="27"/>
    </row>
    <row r="18" spans="3:15" ht="15.75" customHeight="1">
      <c r="C18" s="8">
        <f>Lista!C26</f>
        <v>0</v>
      </c>
      <c r="D18" s="24"/>
      <c r="E18" s="24"/>
      <c r="F18" s="24"/>
      <c r="G18" s="24"/>
      <c r="H18" s="24"/>
      <c r="K18" s="8"/>
      <c r="L18" s="24"/>
      <c r="M18" s="24"/>
    </row>
    <row r="19" spans="3:15" ht="15.75" customHeight="1">
      <c r="C19" s="8">
        <f>Lista!C27</f>
        <v>0</v>
      </c>
      <c r="F19" s="24"/>
      <c r="G19" s="24"/>
      <c r="H19" s="24"/>
      <c r="K19" s="8"/>
      <c r="L19" s="24"/>
      <c r="M19" s="32">
        <f>SUM(M9:M16)</f>
        <v>57556819.612005398</v>
      </c>
      <c r="O19" s="42">
        <f>O9+O10+O11+O12+O13+O14+O15+O16</f>
        <v>34534091.767203234</v>
      </c>
    </row>
    <row r="20" spans="3:15" ht="15.75" customHeight="1">
      <c r="H20" s="24"/>
    </row>
    <row r="21" spans="3:15" ht="15.75" customHeight="1"/>
    <row r="22" spans="3:15" ht="15.75" customHeight="1"/>
    <row r="23" spans="3:15" ht="15.75" customHeight="1">
      <c r="J23" s="34" t="s">
        <v>78</v>
      </c>
      <c r="K23" s="34" t="s">
        <v>79</v>
      </c>
      <c r="L23" s="34" t="s">
        <v>80</v>
      </c>
      <c r="M23" s="34" t="s">
        <v>81</v>
      </c>
    </row>
    <row r="24" spans="3:15" ht="15.75" customHeight="1">
      <c r="J24" s="43" t="str">
        <f t="shared" ref="J24:K24" si="21">J9</f>
        <v>Edición de Windows Server 2019</v>
      </c>
      <c r="K24" s="43">
        <f t="shared" si="21"/>
        <v>2</v>
      </c>
      <c r="L24" s="44">
        <f t="shared" ref="L24:M24" si="22">N9</f>
        <v>2347091.2812995999</v>
      </c>
      <c r="M24" s="44">
        <f t="shared" si="22"/>
        <v>4694182.5625991998</v>
      </c>
    </row>
    <row r="25" spans="3:15" ht="15.75" customHeight="1">
      <c r="J25" s="35" t="str">
        <f t="shared" ref="J25:K25" si="23">J10</f>
        <v>AnyDesk</v>
      </c>
      <c r="K25" s="36">
        <f t="shared" si="23"/>
        <v>4</v>
      </c>
      <c r="L25" s="37">
        <f t="shared" ref="L25:M25" si="24">N10</f>
        <v>48052.588989569995</v>
      </c>
      <c r="M25" s="37">
        <f t="shared" si="24"/>
        <v>192210.35595827998</v>
      </c>
    </row>
    <row r="26" spans="3:15" ht="15.75" customHeight="1">
      <c r="J26" s="35" t="str">
        <f t="shared" ref="J26:K26" si="25">J11</f>
        <v>McAfee® Small Business Security 1 año</v>
      </c>
      <c r="K26" s="36">
        <f t="shared" si="25"/>
        <v>30</v>
      </c>
      <c r="L26" s="37">
        <f t="shared" ref="L26:M26" si="26">N11</f>
        <v>45879.356321699997</v>
      </c>
      <c r="M26" s="37">
        <f t="shared" si="26"/>
        <v>1376380.6896509998</v>
      </c>
    </row>
    <row r="27" spans="3:15" ht="15.75" customHeight="1">
      <c r="J27" s="35" t="str">
        <f t="shared" ref="J27:K27" si="27">J12</f>
        <v>VMware Workstation 16 Pro</v>
      </c>
      <c r="K27" s="36">
        <f t="shared" si="27"/>
        <v>2</v>
      </c>
      <c r="L27" s="37">
        <f t="shared" ref="L27:M27" si="28">N12</f>
        <v>480525.88989569992</v>
      </c>
      <c r="M27" s="37">
        <f t="shared" si="28"/>
        <v>961051.77979139984</v>
      </c>
    </row>
    <row r="28" spans="3:15" ht="15.75" customHeight="1">
      <c r="J28" s="35" t="str">
        <f t="shared" ref="J28:K28" si="29">J13</f>
        <v>Licencia CAL de Servicios de Escritorio remoto de Windows Server</v>
      </c>
      <c r="K28" s="36">
        <f t="shared" si="29"/>
        <v>30</v>
      </c>
      <c r="L28" s="37">
        <f t="shared" ref="L28:M28" si="30">N13</f>
        <v>577114.00846769998</v>
      </c>
      <c r="M28" s="37">
        <f t="shared" si="30"/>
        <v>17313420.254030999</v>
      </c>
    </row>
    <row r="29" spans="3:15" ht="15.75" customHeight="1">
      <c r="J29" s="35" t="str">
        <f t="shared" ref="J29:K29" si="31">J14</f>
        <v>MX67C-HW Cisco Meraki, MX67C Meraki Cloud Managed Firewall con: LIC-SEC-1YR - Licencia de seguridad avanzada de Cisco Meraki de 1 año</v>
      </c>
      <c r="K29" s="36">
        <f t="shared" si="31"/>
        <v>1</v>
      </c>
      <c r="L29" s="37">
        <f t="shared" ref="L29:M29" si="32">N14</f>
        <v>2994207.5287023569</v>
      </c>
      <c r="M29" s="37">
        <f t="shared" si="32"/>
        <v>2994207.5287023569</v>
      </c>
    </row>
    <row r="30" spans="3:15" ht="15.75" customHeight="1">
      <c r="J30" s="35" t="str">
        <f t="shared" ref="J30:K30" si="33">J15</f>
        <v>Cisco licence</v>
      </c>
      <c r="K30" s="36">
        <f t="shared" si="33"/>
        <v>2</v>
      </c>
      <c r="L30" s="37">
        <f t="shared" ref="L30:M30" si="34">N15</f>
        <v>1690292.07501</v>
      </c>
      <c r="M30" s="37">
        <f t="shared" si="34"/>
        <v>3380584.1500200001</v>
      </c>
    </row>
    <row r="31" spans="3:15" ht="15.75" customHeight="1">
      <c r="J31" s="35" t="str">
        <f t="shared" ref="J31:K31" si="35">J16</f>
        <v>Cisco Meraki MR42 Cloud Mng'd Wless AP + 3 años de licencia y soporte empresarial</v>
      </c>
      <c r="K31" s="36">
        <f t="shared" si="35"/>
        <v>2</v>
      </c>
      <c r="L31" s="37">
        <f t="shared" ref="L31:M31" si="36">N16</f>
        <v>1811027.2232249998</v>
      </c>
      <c r="M31" s="37">
        <f t="shared" si="36"/>
        <v>3622054.4464499997</v>
      </c>
    </row>
    <row r="32" spans="3:15" ht="15.75" customHeight="1">
      <c r="J32" s="45"/>
      <c r="K32" s="45"/>
      <c r="L32" s="45"/>
      <c r="M32" s="46">
        <f>O19</f>
        <v>34534091.767203234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C1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baseColWidth="10" defaultColWidth="14.42578125" defaultRowHeight="15" customHeight="1"/>
  <cols>
    <col min="1" max="1" width="14.42578125" customWidth="1"/>
    <col min="2" max="2" width="29" customWidth="1"/>
    <col min="3" max="6" width="14.42578125" customWidth="1"/>
    <col min="13" max="13" width="19.28515625" customWidth="1"/>
  </cols>
  <sheetData>
    <row r="1" spans="1:13" ht="15.75" customHeight="1">
      <c r="A1" s="8" t="s">
        <v>62</v>
      </c>
      <c r="B1" s="24">
        <v>3739.03</v>
      </c>
      <c r="C1" s="25" t="s">
        <v>63</v>
      </c>
    </row>
    <row r="2" spans="1:13" ht="15.75" customHeight="1">
      <c r="A2" s="8" t="s">
        <v>64</v>
      </c>
      <c r="B2" s="24">
        <f>B1*1.03</f>
        <v>3851.2009000000003</v>
      </c>
    </row>
    <row r="3" spans="1:13" ht="15.75" customHeight="1">
      <c r="B3" s="10" t="s">
        <v>65</v>
      </c>
      <c r="C3" s="10" t="s">
        <v>66</v>
      </c>
      <c r="D3" s="10" t="s">
        <v>89</v>
      </c>
      <c r="E3" s="10" t="s">
        <v>90</v>
      </c>
      <c r="F3" s="10" t="s">
        <v>69</v>
      </c>
      <c r="G3" s="10" t="s">
        <v>70</v>
      </c>
    </row>
    <row r="4" spans="1:13" ht="15.75" customHeight="1">
      <c r="B4" s="8" t="s">
        <v>91</v>
      </c>
      <c r="C4" s="8">
        <v>30</v>
      </c>
      <c r="D4" s="41">
        <v>21900</v>
      </c>
      <c r="E4" s="24">
        <f>D4/1.19</f>
        <v>18403.361344537814</v>
      </c>
      <c r="F4" s="24">
        <f t="shared" ref="F4:F9" si="0">E4*1.045</f>
        <v>19231.512605042015</v>
      </c>
      <c r="G4" s="24">
        <f t="shared" ref="G4:G9" si="1">F4*C4</f>
        <v>576945.37815126043</v>
      </c>
      <c r="H4" s="24"/>
    </row>
    <row r="5" spans="1:13" ht="15.75" customHeight="1">
      <c r="B5" s="8" t="s">
        <v>92</v>
      </c>
      <c r="C5" s="8">
        <v>2</v>
      </c>
      <c r="D5" s="24">
        <v>670</v>
      </c>
      <c r="E5" s="24">
        <v>299900</v>
      </c>
      <c r="F5" s="24">
        <f t="shared" si="0"/>
        <v>313395.5</v>
      </c>
      <c r="G5" s="24">
        <f t="shared" si="1"/>
        <v>626791</v>
      </c>
      <c r="H5" s="24"/>
    </row>
    <row r="6" spans="1:13" ht="15.75" customHeight="1">
      <c r="B6" s="8" t="s">
        <v>93</v>
      </c>
      <c r="C6" s="8">
        <v>1</v>
      </c>
      <c r="D6" s="24">
        <v>50000</v>
      </c>
      <c r="E6" s="24">
        <f t="shared" ref="E6:E9" si="2">D6/1.19</f>
        <v>42016.806722689078</v>
      </c>
      <c r="F6" s="24">
        <f t="shared" si="0"/>
        <v>43907.563025210082</v>
      </c>
      <c r="G6" s="24">
        <f t="shared" si="1"/>
        <v>43907.563025210082</v>
      </c>
      <c r="H6" s="24"/>
    </row>
    <row r="7" spans="1:13" ht="15.75" customHeight="1">
      <c r="B7" s="8" t="s">
        <v>94</v>
      </c>
      <c r="C7" s="8">
        <v>50</v>
      </c>
      <c r="D7" s="24">
        <v>19900</v>
      </c>
      <c r="E7" s="24">
        <f t="shared" si="2"/>
        <v>16722.689075630253</v>
      </c>
      <c r="F7" s="24">
        <f t="shared" si="0"/>
        <v>17475.210084033613</v>
      </c>
      <c r="G7" s="24">
        <f t="shared" si="1"/>
        <v>873760.50420168065</v>
      </c>
      <c r="H7" s="24"/>
    </row>
    <row r="8" spans="1:13" ht="15.75" customHeight="1">
      <c r="B8" s="8" t="s">
        <v>95</v>
      </c>
      <c r="C8" s="8">
        <v>4</v>
      </c>
      <c r="D8" s="24">
        <v>179900</v>
      </c>
      <c r="E8" s="24">
        <f t="shared" si="2"/>
        <v>151176.4705882353</v>
      </c>
      <c r="F8" s="24">
        <f t="shared" si="0"/>
        <v>157979.41176470587</v>
      </c>
      <c r="G8" s="24">
        <f t="shared" si="1"/>
        <v>631917.6470588235</v>
      </c>
      <c r="H8" s="24"/>
      <c r="J8" s="47" t="s">
        <v>96</v>
      </c>
      <c r="K8" s="47" t="s">
        <v>79</v>
      </c>
      <c r="L8" s="47" t="s">
        <v>97</v>
      </c>
      <c r="M8" s="47" t="s">
        <v>81</v>
      </c>
    </row>
    <row r="9" spans="1:13" ht="15.75" customHeight="1">
      <c r="A9" s="17"/>
      <c r="B9" s="8" t="s">
        <v>98</v>
      </c>
      <c r="C9" s="8">
        <v>4</v>
      </c>
      <c r="D9" s="24">
        <v>1200000</v>
      </c>
      <c r="E9" s="24">
        <f t="shared" si="2"/>
        <v>1008403.3613445378</v>
      </c>
      <c r="F9" s="24">
        <f t="shared" si="0"/>
        <v>1053781.512605042</v>
      </c>
      <c r="G9" s="24">
        <f t="shared" si="1"/>
        <v>4215126.0504201679</v>
      </c>
      <c r="H9" s="24"/>
      <c r="J9" s="48" t="str">
        <f t="shared" ref="J9:K9" si="3">B4</f>
        <v>Canaleta 60 x 40 mm 2 metros ND</v>
      </c>
      <c r="K9" s="48">
        <f t="shared" si="3"/>
        <v>30</v>
      </c>
      <c r="L9" s="49">
        <f t="shared" ref="L9:M9" si="4">F4</f>
        <v>19231.512605042015</v>
      </c>
      <c r="M9" s="49">
        <f t="shared" si="4"/>
        <v>576945.37815126043</v>
      </c>
    </row>
    <row r="10" spans="1:13" ht="15.75" customHeight="1">
      <c r="C10" s="8">
        <f>Lista!K16</f>
        <v>0</v>
      </c>
      <c r="D10" s="29"/>
      <c r="E10" s="30"/>
      <c r="F10" s="24"/>
      <c r="G10" s="24"/>
      <c r="H10" s="24"/>
      <c r="J10" s="48" t="str">
        <f t="shared" ref="J10:K10" si="5">B5</f>
        <v>Cable UTP Categoria 6 CCA+PVP Carrete 305 Metros Propack</v>
      </c>
      <c r="K10" s="48">
        <f t="shared" si="5"/>
        <v>2</v>
      </c>
      <c r="L10" s="49">
        <f t="shared" ref="L10:M10" si="6">F5</f>
        <v>313395.5</v>
      </c>
      <c r="M10" s="49">
        <f t="shared" si="6"/>
        <v>626791</v>
      </c>
    </row>
    <row r="11" spans="1:13" ht="15.75" customHeight="1">
      <c r="C11" s="8">
        <f>Lista!K17</f>
        <v>0</v>
      </c>
      <c r="D11" s="24"/>
      <c r="E11" s="24"/>
      <c r="F11" s="24"/>
      <c r="G11" s="24"/>
      <c r="H11" s="24"/>
      <c r="J11" s="48" t="str">
        <f t="shared" ref="J11:K11" si="7">B6</f>
        <v>Bolsa rj45</v>
      </c>
      <c r="K11" s="48">
        <f t="shared" si="7"/>
        <v>1</v>
      </c>
      <c r="L11" s="49">
        <f t="shared" ref="L11:M11" si="8">F6</f>
        <v>43907.563025210082</v>
      </c>
      <c r="M11" s="49">
        <f t="shared" si="8"/>
        <v>43907.563025210082</v>
      </c>
    </row>
    <row r="12" spans="1:13" ht="15.75" customHeight="1">
      <c r="C12" s="8">
        <f>Lista!K18</f>
        <v>0</v>
      </c>
      <c r="D12" s="24"/>
      <c r="E12" s="24"/>
      <c r="F12" s="24"/>
      <c r="G12" s="24"/>
      <c r="H12" s="24"/>
      <c r="J12" s="48" t="str">
        <f t="shared" ref="J12:K12" si="9">B7</f>
        <v>Extensión patch cord 2 metros gris cat 5e 3.6 db</v>
      </c>
      <c r="K12" s="48">
        <f t="shared" si="9"/>
        <v>50</v>
      </c>
      <c r="L12" s="49">
        <f t="shared" ref="L12:M12" si="10">F7</f>
        <v>17475.210084033613</v>
      </c>
      <c r="M12" s="49">
        <f t="shared" si="10"/>
        <v>873760.50420168065</v>
      </c>
    </row>
    <row r="13" spans="1:13" ht="15.75" customHeight="1">
      <c r="C13" s="8">
        <f>Lista!K19</f>
        <v>0</v>
      </c>
      <c r="D13" s="24"/>
      <c r="E13" s="24"/>
      <c r="F13" s="24"/>
      <c r="G13" s="24"/>
      <c r="H13" s="24"/>
      <c r="J13" s="48" t="str">
        <f t="shared" ref="J13:K13" si="11">B8</f>
        <v>Patch Panel Cat 6 de 24 Puertos</v>
      </c>
      <c r="K13" s="48">
        <f t="shared" si="11"/>
        <v>4</v>
      </c>
      <c r="L13" s="49">
        <f t="shared" ref="L13:M13" si="12">F8</f>
        <v>157979.41176470587</v>
      </c>
      <c r="M13" s="49">
        <f t="shared" si="12"/>
        <v>631917.6470588235</v>
      </c>
    </row>
    <row r="14" spans="1:13" ht="15.75" customHeight="1">
      <c r="C14" s="8">
        <f>Lista!K20</f>
        <v>0</v>
      </c>
      <c r="D14" s="24"/>
      <c r="E14" s="24"/>
      <c r="F14" s="24"/>
      <c r="G14" s="24"/>
      <c r="H14" s="24"/>
      <c r="J14" s="48" t="str">
        <f t="shared" ref="J14:K14" si="13">B9</f>
        <v xml:space="preserve"> rack </v>
      </c>
      <c r="K14" s="48">
        <f t="shared" si="13"/>
        <v>4</v>
      </c>
      <c r="L14" s="49">
        <f t="shared" ref="L14:M14" si="14">F9</f>
        <v>1053781.512605042</v>
      </c>
      <c r="M14" s="49">
        <f t="shared" si="14"/>
        <v>4215126.0504201679</v>
      </c>
    </row>
    <row r="15" spans="1:13" ht="15.75" customHeight="1">
      <c r="C15" s="8">
        <f>Lista!G19</f>
        <v>0</v>
      </c>
      <c r="D15" s="24"/>
      <c r="E15" s="24"/>
      <c r="F15" s="24"/>
      <c r="G15" s="24"/>
      <c r="H15" s="24"/>
      <c r="J15" s="8">
        <f t="shared" ref="J15:K15" si="15">B10</f>
        <v>0</v>
      </c>
      <c r="K15" s="8">
        <f t="shared" si="15"/>
        <v>0</v>
      </c>
      <c r="L15" s="24">
        <f>F10</f>
        <v>0</v>
      </c>
      <c r="M15" s="50">
        <f>SUM(M9:M14)</f>
        <v>6968448.1428571418</v>
      </c>
    </row>
    <row r="16" spans="1:13" ht="15.75" customHeight="1">
      <c r="C16" s="8">
        <f>Lista!G20</f>
        <v>0</v>
      </c>
      <c r="D16" s="24"/>
      <c r="E16" s="24"/>
      <c r="F16" s="24"/>
      <c r="G16" s="24"/>
      <c r="H16" s="24"/>
      <c r="J16" s="8"/>
      <c r="K16" s="8">
        <f t="shared" ref="K16:K19" si="16">C11</f>
        <v>0</v>
      </c>
      <c r="L16" s="24"/>
      <c r="M16" s="24"/>
    </row>
    <row r="17" spans="3:13" ht="15.75" customHeight="1">
      <c r="C17" s="8">
        <f>Lista!G21</f>
        <v>0</v>
      </c>
      <c r="D17" s="24"/>
      <c r="E17" s="24"/>
      <c r="F17" s="24"/>
      <c r="G17" s="24"/>
      <c r="H17" s="24"/>
      <c r="J17" s="8"/>
      <c r="K17" s="8">
        <f t="shared" si="16"/>
        <v>0</v>
      </c>
      <c r="L17" s="24"/>
      <c r="M17" s="24"/>
    </row>
    <row r="18" spans="3:13" ht="15.75" customHeight="1">
      <c r="C18" s="8">
        <f>Lista!C24</f>
        <v>0</v>
      </c>
      <c r="D18" s="24"/>
      <c r="E18" s="24"/>
      <c r="F18" s="24"/>
      <c r="G18" s="24"/>
      <c r="H18" s="24"/>
      <c r="J18" s="8"/>
      <c r="K18" s="8">
        <f t="shared" si="16"/>
        <v>0</v>
      </c>
      <c r="L18" s="24"/>
      <c r="M18" s="24"/>
    </row>
    <row r="19" spans="3:13" ht="15.75" customHeight="1">
      <c r="C19" s="8">
        <f>Lista!C25</f>
        <v>0</v>
      </c>
      <c r="D19" s="24"/>
      <c r="E19" s="24"/>
      <c r="F19" s="24"/>
      <c r="G19" s="24"/>
      <c r="H19" s="24"/>
      <c r="J19" s="8"/>
      <c r="K19" s="8">
        <f t="shared" si="16"/>
        <v>0</v>
      </c>
      <c r="L19" s="24"/>
      <c r="M19" s="24"/>
    </row>
    <row r="20" spans="3:13" ht="15.75" customHeight="1">
      <c r="C20" s="8">
        <f>Lista!C26</f>
        <v>0</v>
      </c>
      <c r="D20" s="24"/>
      <c r="E20" s="24"/>
      <c r="F20" s="24"/>
      <c r="G20" s="24"/>
      <c r="H20" s="24"/>
      <c r="K20" s="8"/>
      <c r="L20" s="24"/>
      <c r="M20" s="24"/>
    </row>
    <row r="21" spans="3:13" ht="15.75" customHeight="1">
      <c r="C21" s="8">
        <f>Lista!C27</f>
        <v>0</v>
      </c>
      <c r="F21" s="24"/>
      <c r="G21" s="24"/>
      <c r="K21" s="8"/>
      <c r="L21" s="24"/>
    </row>
    <row r="22" spans="3:13" ht="15.75" customHeight="1"/>
    <row r="23" spans="3:13" ht="15.75" customHeight="1"/>
    <row r="24" spans="3:13" ht="15.75" customHeight="1"/>
    <row r="25" spans="3:13" ht="15.75" customHeight="1"/>
    <row r="26" spans="3:13" ht="15.75" customHeight="1"/>
    <row r="27" spans="3:13" ht="15.75" customHeight="1"/>
    <row r="28" spans="3:13" ht="15.75" customHeight="1"/>
    <row r="29" spans="3:13" ht="15.75" customHeight="1"/>
    <row r="30" spans="3:13" ht="15.75" customHeight="1"/>
    <row r="31" spans="3:13" ht="15.75" customHeight="1"/>
    <row r="32" spans="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" r:id="rId1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F1000"/>
  <sheetViews>
    <sheetView tabSelected="1" workbookViewId="0"/>
  </sheetViews>
  <sheetFormatPr baseColWidth="10" defaultColWidth="14.42578125" defaultRowHeight="15" customHeight="1"/>
  <cols>
    <col min="1" max="3" width="14.42578125" customWidth="1"/>
    <col min="4" max="4" width="40.5703125" customWidth="1"/>
    <col min="5" max="5" width="14.42578125" customWidth="1"/>
    <col min="6" max="6" width="33.7109375" customWidth="1"/>
  </cols>
  <sheetData>
    <row r="1" spans="3:6" ht="15.75" customHeight="1"/>
    <row r="2" spans="3:6" ht="15.75" customHeight="1"/>
    <row r="3" spans="3:6" ht="15.75" customHeight="1">
      <c r="C3" s="51" t="s">
        <v>22</v>
      </c>
      <c r="D3" s="51"/>
      <c r="E3" s="51"/>
    </row>
    <row r="4" spans="3:6" ht="15.75" customHeight="1">
      <c r="C4" s="51"/>
      <c r="D4" s="51" t="s">
        <v>24</v>
      </c>
      <c r="E4" s="51" t="s">
        <v>25</v>
      </c>
      <c r="F4" s="51" t="s">
        <v>99</v>
      </c>
    </row>
    <row r="5" spans="3:6" ht="15.75" customHeight="1">
      <c r="C5" s="52" t="s">
        <v>100</v>
      </c>
      <c r="D5" s="53" t="s">
        <v>32</v>
      </c>
      <c r="E5" s="54">
        <v>2</v>
      </c>
      <c r="F5" s="55">
        <f>E5*61900</f>
        <v>123800</v>
      </c>
    </row>
    <row r="6" spans="3:6" ht="15.75" customHeight="1">
      <c r="C6" s="52" t="s">
        <v>101</v>
      </c>
      <c r="D6" s="53" t="s">
        <v>37</v>
      </c>
      <c r="E6" s="54">
        <v>2</v>
      </c>
      <c r="F6" s="55">
        <f>E6*49900</f>
        <v>99800</v>
      </c>
    </row>
    <row r="7" spans="3:6" ht="15.75" customHeight="1">
      <c r="C7" s="52" t="s">
        <v>102</v>
      </c>
      <c r="D7" s="53" t="s">
        <v>43</v>
      </c>
      <c r="E7" s="54">
        <v>2</v>
      </c>
      <c r="F7" s="55">
        <f>E7*17000</f>
        <v>34000</v>
      </c>
    </row>
    <row r="8" spans="3:6" ht="15.75" customHeight="1">
      <c r="C8" s="52" t="s">
        <v>103</v>
      </c>
      <c r="D8" s="53" t="s">
        <v>48</v>
      </c>
      <c r="E8" s="54">
        <v>2</v>
      </c>
      <c r="F8" s="55">
        <f>E8*207901</f>
        <v>415802</v>
      </c>
    </row>
    <row r="9" spans="3:6" ht="15.75" customHeight="1">
      <c r="C9" s="52" t="s">
        <v>104</v>
      </c>
      <c r="D9" s="53" t="s">
        <v>53</v>
      </c>
      <c r="E9" s="54">
        <v>2</v>
      </c>
      <c r="F9" s="55">
        <f>E9*42900</f>
        <v>85800</v>
      </c>
    </row>
    <row r="10" spans="3:6" ht="15.75" customHeight="1"/>
    <row r="11" spans="3:6" ht="15.75" customHeight="1"/>
    <row r="12" spans="3:6" ht="15.75" customHeight="1"/>
    <row r="13" spans="3:6" ht="15.75" customHeight="1">
      <c r="D13" s="56" t="s">
        <v>24</v>
      </c>
      <c r="E13" s="56" t="s">
        <v>25</v>
      </c>
      <c r="F13" s="56" t="s">
        <v>99</v>
      </c>
    </row>
    <row r="14" spans="3:6" ht="15.75" customHeight="1">
      <c r="D14" s="57" t="s">
        <v>32</v>
      </c>
      <c r="E14" s="58">
        <v>2</v>
      </c>
      <c r="F14" s="59">
        <f>E14*61900</f>
        <v>123800</v>
      </c>
    </row>
    <row r="15" spans="3:6" ht="15.75" customHeight="1">
      <c r="D15" s="57" t="s">
        <v>37</v>
      </c>
      <c r="E15" s="58">
        <v>2</v>
      </c>
      <c r="F15" s="59">
        <f>E15*49900</f>
        <v>99800</v>
      </c>
    </row>
    <row r="16" spans="3:6" ht="15.75" customHeight="1">
      <c r="D16" s="57" t="s">
        <v>43</v>
      </c>
      <c r="E16" s="58">
        <v>2</v>
      </c>
      <c r="F16" s="59">
        <f>E16*17000</f>
        <v>34000</v>
      </c>
    </row>
    <row r="17" spans="4:6" ht="15.75" customHeight="1">
      <c r="D17" s="57" t="s">
        <v>48</v>
      </c>
      <c r="E17" s="58">
        <v>2</v>
      </c>
      <c r="F17" s="59">
        <f>E17*207901</f>
        <v>415802</v>
      </c>
    </row>
    <row r="18" spans="4:6" ht="15.75" customHeight="1">
      <c r="D18" s="57" t="s">
        <v>53</v>
      </c>
      <c r="E18" s="58">
        <v>2</v>
      </c>
      <c r="F18" s="59">
        <f>E18*42900</f>
        <v>85800</v>
      </c>
    </row>
    <row r="19" spans="4:6" ht="15.75" customHeight="1">
      <c r="F19" s="60">
        <f>SUM(F18+F17+F16+F15+F14)</f>
        <v>759202</v>
      </c>
    </row>
    <row r="20" spans="4:6" ht="15.75" customHeight="1"/>
    <row r="21" spans="4:6" ht="15.75" customHeight="1"/>
    <row r="22" spans="4:6" ht="15.75" customHeight="1"/>
    <row r="23" spans="4:6" ht="15.75" customHeight="1"/>
    <row r="24" spans="4:6" ht="15.75" customHeight="1"/>
    <row r="25" spans="4:6" ht="15.75" customHeight="1"/>
    <row r="26" spans="4:6" ht="15.75" customHeight="1"/>
    <row r="27" spans="4:6" ht="15.75" customHeight="1"/>
    <row r="28" spans="4:6" ht="15.75" customHeight="1"/>
    <row r="29" spans="4:6" ht="15.75" customHeight="1"/>
    <row r="30" spans="4:6" ht="15.75" customHeight="1"/>
    <row r="31" spans="4:6" ht="15.75" customHeight="1"/>
    <row r="32" spans="4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5" r:id="rId1"/>
    <hyperlink ref="C6" r:id="rId2"/>
    <hyperlink ref="C7" r:id="rId3"/>
    <hyperlink ref="C9" r:id="rId4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workbookViewId="0"/>
  </sheetViews>
  <sheetFormatPr baseColWidth="10" defaultColWidth="14.42578125" defaultRowHeight="15" customHeight="1"/>
  <cols>
    <col min="1" max="3" width="14.42578125" customWidth="1"/>
    <col min="4" max="4" width="18.7109375" customWidth="1"/>
    <col min="5" max="5" width="25.7109375" customWidth="1"/>
    <col min="6" max="6" width="14.42578125" customWidth="1"/>
    <col min="12" max="12" width="19.140625" customWidth="1"/>
    <col min="13" max="13" width="18.7109375" customWidth="1"/>
  </cols>
  <sheetData>
    <row r="1" spans="1:15" ht="15.75" customHeight="1">
      <c r="B1" s="24" t="s">
        <v>105</v>
      </c>
      <c r="C1" s="8">
        <v>2</v>
      </c>
      <c r="D1" s="24">
        <v>5000000</v>
      </c>
      <c r="E1" s="24">
        <f>D1*C1</f>
        <v>10000000</v>
      </c>
      <c r="F1" s="24">
        <f>E1*12</f>
        <v>120000000</v>
      </c>
    </row>
    <row r="2" spans="1:15" ht="15.75" customHeight="1">
      <c r="B2" s="8" t="s">
        <v>106</v>
      </c>
      <c r="C2" s="8">
        <v>49</v>
      </c>
      <c r="D2" s="24">
        <v>6000000</v>
      </c>
      <c r="E2" s="61">
        <f>D2/C2</f>
        <v>122448.97959183673</v>
      </c>
      <c r="F2" s="24">
        <f>D2</f>
        <v>6000000</v>
      </c>
    </row>
    <row r="3" spans="1:15" ht="15.75" customHeight="1">
      <c r="B3" s="10" t="s">
        <v>65</v>
      </c>
      <c r="C3" s="10" t="s">
        <v>66</v>
      </c>
      <c r="D3" s="10" t="s">
        <v>68</v>
      </c>
      <c r="E3" s="10" t="s">
        <v>69</v>
      </c>
      <c r="F3" s="10" t="s">
        <v>70</v>
      </c>
    </row>
    <row r="4" spans="1:15" ht="15.75" customHeight="1">
      <c r="B4" s="8" t="str">
        <f>Lista!R10</f>
        <v>Servicios tecnologo</v>
      </c>
      <c r="C4" s="8">
        <v>1</v>
      </c>
      <c r="D4" s="41">
        <f t="shared" ref="D4:D5" si="0">F1</f>
        <v>120000000</v>
      </c>
      <c r="E4" s="24">
        <f t="shared" ref="E4:E8" si="1">D4*1.045</f>
        <v>125399999.99999999</v>
      </c>
      <c r="F4" s="24">
        <f t="shared" ref="F4:F8" si="2">E4</f>
        <v>125399999.99999999</v>
      </c>
      <c r="G4" s="24"/>
      <c r="H4" s="24"/>
    </row>
    <row r="5" spans="1:15" ht="15.75" customHeight="1">
      <c r="B5" s="8" t="str">
        <f>Lista!R11</f>
        <v>Servicios electricos</v>
      </c>
      <c r="C5" s="8">
        <v>1</v>
      </c>
      <c r="D5" s="24">
        <f t="shared" si="0"/>
        <v>6000000</v>
      </c>
      <c r="E5" s="24">
        <f t="shared" si="1"/>
        <v>6270000</v>
      </c>
      <c r="F5" s="24">
        <f t="shared" si="2"/>
        <v>6270000</v>
      </c>
      <c r="G5" s="24"/>
      <c r="H5" s="24"/>
    </row>
    <row r="6" spans="1:15" ht="15.75" customHeight="1">
      <c r="B6" s="8" t="str">
        <f>Lista!R12</f>
        <v>asesor externo</v>
      </c>
      <c r="C6" s="8">
        <f>Lista!S12</f>
        <v>1</v>
      </c>
      <c r="D6" s="24">
        <v>8000000</v>
      </c>
      <c r="E6" s="24">
        <f t="shared" si="1"/>
        <v>8359999.9999999991</v>
      </c>
      <c r="F6" s="24">
        <f t="shared" si="2"/>
        <v>8359999.9999999991</v>
      </c>
      <c r="G6" s="24"/>
      <c r="H6" s="24"/>
    </row>
    <row r="7" spans="1:15" ht="15.75" customHeight="1">
      <c r="B7" s="8" t="str">
        <f>Lista!R13</f>
        <v>abogado</v>
      </c>
      <c r="C7" s="8">
        <f>Lista!S13</f>
        <v>1</v>
      </c>
      <c r="D7" s="24">
        <v>3000000</v>
      </c>
      <c r="E7" s="24">
        <f t="shared" si="1"/>
        <v>3135000</v>
      </c>
      <c r="F7" s="24">
        <f t="shared" si="2"/>
        <v>3135000</v>
      </c>
      <c r="G7" s="24"/>
      <c r="H7" s="24"/>
    </row>
    <row r="8" spans="1:15" ht="15.75" customHeight="1">
      <c r="B8" s="8" t="str">
        <f>Lista!R14</f>
        <v>contador</v>
      </c>
      <c r="C8" s="8">
        <f>Lista!S14</f>
        <v>1</v>
      </c>
      <c r="D8" s="24">
        <v>20000000</v>
      </c>
      <c r="E8" s="24">
        <f t="shared" si="1"/>
        <v>20900000</v>
      </c>
      <c r="F8" s="24">
        <f t="shared" si="2"/>
        <v>20900000</v>
      </c>
      <c r="G8" s="24"/>
      <c r="H8" s="24"/>
      <c r="J8" s="9" t="s">
        <v>65</v>
      </c>
      <c r="K8" s="9" t="s">
        <v>66</v>
      </c>
      <c r="L8" s="9" t="s">
        <v>74</v>
      </c>
      <c r="M8" s="9" t="s">
        <v>75</v>
      </c>
    </row>
    <row r="9" spans="1:15" ht="15.75" customHeight="1">
      <c r="A9" s="17"/>
      <c r="B9" s="8">
        <f>Lista!R15</f>
        <v>0</v>
      </c>
      <c r="C9" s="8">
        <f>Lista!S15</f>
        <v>0</v>
      </c>
      <c r="D9" s="24"/>
      <c r="E9" s="24"/>
      <c r="F9" s="24"/>
      <c r="G9" s="24"/>
      <c r="H9" s="24"/>
      <c r="J9" s="11" t="str">
        <f t="shared" ref="J9:K9" si="3">B4</f>
        <v>Servicios tecnologo</v>
      </c>
      <c r="K9" s="11">
        <f t="shared" si="3"/>
        <v>1</v>
      </c>
      <c r="L9" s="27">
        <f t="shared" ref="L9:L18" si="4">F4</f>
        <v>125399999.99999999</v>
      </c>
      <c r="M9" s="27">
        <f t="shared" ref="M9:M13" si="5">L9*K9</f>
        <v>125399999.99999999</v>
      </c>
      <c r="N9" s="62">
        <f t="shared" ref="N9:N13" si="6">L9*60%</f>
        <v>75239999.999999985</v>
      </c>
      <c r="O9" s="62">
        <f t="shared" ref="O9:O13" si="7">N9*K9</f>
        <v>75239999.999999985</v>
      </c>
    </row>
    <row r="10" spans="1:15" ht="15.75" customHeight="1">
      <c r="C10" s="8">
        <f>Lista!S16</f>
        <v>0</v>
      </c>
      <c r="D10" s="29"/>
      <c r="E10" s="30"/>
      <c r="F10" s="24"/>
      <c r="G10" s="24"/>
      <c r="H10" s="24"/>
      <c r="J10" s="11" t="str">
        <f t="shared" ref="J10:K10" si="8">B5</f>
        <v>Servicios electricos</v>
      </c>
      <c r="K10" s="11">
        <f t="shared" si="8"/>
        <v>1</v>
      </c>
      <c r="L10" s="27">
        <f t="shared" si="4"/>
        <v>6270000</v>
      </c>
      <c r="M10" s="27">
        <f t="shared" si="5"/>
        <v>6270000</v>
      </c>
      <c r="N10" s="62">
        <f t="shared" si="6"/>
        <v>3762000</v>
      </c>
      <c r="O10" s="62">
        <f t="shared" si="7"/>
        <v>3762000</v>
      </c>
    </row>
    <row r="11" spans="1:15" ht="15.75" customHeight="1">
      <c r="C11" s="8">
        <f>Lista!S17</f>
        <v>0</v>
      </c>
      <c r="D11" s="24"/>
      <c r="E11" s="24"/>
      <c r="F11" s="24"/>
      <c r="G11" s="24"/>
      <c r="H11" s="24"/>
      <c r="J11" s="11" t="str">
        <f t="shared" ref="J11:K11" si="9">B6</f>
        <v>asesor externo</v>
      </c>
      <c r="K11" s="11">
        <f t="shared" si="9"/>
        <v>1</v>
      </c>
      <c r="L11" s="27">
        <f t="shared" si="4"/>
        <v>8359999.9999999991</v>
      </c>
      <c r="M11" s="27">
        <f t="shared" si="5"/>
        <v>8359999.9999999991</v>
      </c>
      <c r="N11" s="62">
        <f t="shared" si="6"/>
        <v>5015999.9999999991</v>
      </c>
      <c r="O11" s="62">
        <f t="shared" si="7"/>
        <v>5015999.9999999991</v>
      </c>
    </row>
    <row r="12" spans="1:15" ht="15.75" customHeight="1">
      <c r="A12" s="17"/>
      <c r="C12" s="8">
        <f>Lista!S18</f>
        <v>0</v>
      </c>
      <c r="D12" s="24"/>
      <c r="E12" s="24"/>
      <c r="F12" s="24"/>
      <c r="G12" s="24"/>
      <c r="H12" s="24"/>
      <c r="J12" s="11" t="str">
        <f t="shared" ref="J12:K12" si="10">B7</f>
        <v>abogado</v>
      </c>
      <c r="K12" s="11">
        <f t="shared" si="10"/>
        <v>1</v>
      </c>
      <c r="L12" s="27">
        <f t="shared" si="4"/>
        <v>3135000</v>
      </c>
      <c r="M12" s="27">
        <f t="shared" si="5"/>
        <v>3135000</v>
      </c>
      <c r="N12" s="62">
        <f t="shared" si="6"/>
        <v>1881000</v>
      </c>
      <c r="O12" s="62">
        <f t="shared" si="7"/>
        <v>1881000</v>
      </c>
    </row>
    <row r="13" spans="1:15" ht="15.75" customHeight="1">
      <c r="C13" s="8">
        <f>Lista!S19</f>
        <v>0</v>
      </c>
      <c r="D13" s="24"/>
      <c r="E13" s="24"/>
      <c r="F13" s="24"/>
      <c r="G13" s="24"/>
      <c r="H13" s="24"/>
      <c r="J13" s="11" t="str">
        <f t="shared" ref="J13:K13" si="11">B8</f>
        <v>contador</v>
      </c>
      <c r="K13" s="11">
        <f t="shared" si="11"/>
        <v>1</v>
      </c>
      <c r="L13" s="27">
        <f t="shared" si="4"/>
        <v>20900000</v>
      </c>
      <c r="M13" s="27">
        <f t="shared" si="5"/>
        <v>20900000</v>
      </c>
      <c r="N13" s="62">
        <f t="shared" si="6"/>
        <v>12540000</v>
      </c>
      <c r="O13" s="62">
        <f t="shared" si="7"/>
        <v>12540000</v>
      </c>
    </row>
    <row r="14" spans="1:15" ht="15.75" customHeight="1">
      <c r="C14" s="8">
        <f>Lista!G18</f>
        <v>1</v>
      </c>
      <c r="D14" s="24"/>
      <c r="E14" s="24"/>
      <c r="F14" s="24"/>
      <c r="G14" s="24"/>
      <c r="H14" s="24"/>
      <c r="J14" s="11">
        <f t="shared" ref="J14:K14" si="12">B9</f>
        <v>0</v>
      </c>
      <c r="K14" s="11">
        <f t="shared" si="12"/>
        <v>0</v>
      </c>
      <c r="L14" s="27">
        <f t="shared" si="4"/>
        <v>0</v>
      </c>
      <c r="M14" s="63">
        <f>M9+M10+M11+M12+M13</f>
        <v>164064999.99999997</v>
      </c>
    </row>
    <row r="15" spans="1:15" ht="15.75" customHeight="1">
      <c r="C15" s="8">
        <f>Lista!G19</f>
        <v>0</v>
      </c>
      <c r="D15" s="24"/>
      <c r="E15" s="24"/>
      <c r="F15" s="24"/>
      <c r="G15" s="24"/>
      <c r="H15" s="24"/>
      <c r="J15" s="11">
        <f t="shared" ref="J15:K15" si="13">B10</f>
        <v>0</v>
      </c>
      <c r="K15" s="11">
        <f t="shared" si="13"/>
        <v>0</v>
      </c>
      <c r="L15" s="27">
        <f t="shared" si="4"/>
        <v>0</v>
      </c>
      <c r="M15" s="27">
        <f t="shared" ref="M15:M18" si="14">G10</f>
        <v>0</v>
      </c>
    </row>
    <row r="16" spans="1:15" ht="15.75" customHeight="1">
      <c r="C16" s="8">
        <f>Lista!G20</f>
        <v>0</v>
      </c>
      <c r="D16" s="24"/>
      <c r="E16" s="24"/>
      <c r="F16" s="24"/>
      <c r="G16" s="24"/>
      <c r="H16" s="24"/>
      <c r="J16" s="11">
        <f t="shared" ref="J16:K16" si="15">B11</f>
        <v>0</v>
      </c>
      <c r="K16" s="11">
        <f t="shared" si="15"/>
        <v>0</v>
      </c>
      <c r="L16" s="27">
        <f t="shared" si="4"/>
        <v>0</v>
      </c>
      <c r="M16" s="27">
        <f t="shared" si="14"/>
        <v>0</v>
      </c>
    </row>
    <row r="17" spans="3:15" ht="15.75" customHeight="1">
      <c r="C17" s="8">
        <f>Lista!G21</f>
        <v>0</v>
      </c>
      <c r="D17" s="24"/>
      <c r="E17" s="24"/>
      <c r="F17" s="24"/>
      <c r="G17" s="24"/>
      <c r="H17" s="24"/>
      <c r="J17" s="11">
        <f t="shared" ref="J17:K17" si="16">B12</f>
        <v>0</v>
      </c>
      <c r="K17" s="11">
        <f t="shared" si="16"/>
        <v>0</v>
      </c>
      <c r="L17" s="27">
        <f t="shared" si="4"/>
        <v>0</v>
      </c>
      <c r="M17" s="27">
        <f t="shared" si="14"/>
        <v>0</v>
      </c>
    </row>
    <row r="18" spans="3:15" ht="15.75" customHeight="1">
      <c r="C18" s="8">
        <f>Lista!C24</f>
        <v>0</v>
      </c>
      <c r="D18" s="24"/>
      <c r="E18" s="24"/>
      <c r="F18" s="24"/>
      <c r="G18" s="24"/>
      <c r="H18" s="24"/>
      <c r="J18" s="11">
        <f t="shared" ref="J18:K18" si="17">B13</f>
        <v>0</v>
      </c>
      <c r="K18" s="11">
        <f t="shared" si="17"/>
        <v>0</v>
      </c>
      <c r="L18" s="27">
        <f t="shared" si="4"/>
        <v>0</v>
      </c>
      <c r="M18" s="27">
        <f t="shared" si="14"/>
        <v>0</v>
      </c>
    </row>
    <row r="19" spans="3:15" ht="15.75" customHeight="1">
      <c r="C19" s="8">
        <f>Lista!C25</f>
        <v>0</v>
      </c>
      <c r="D19" s="24"/>
      <c r="E19" s="24"/>
      <c r="F19" s="24"/>
      <c r="G19" s="24"/>
      <c r="H19" s="24"/>
      <c r="J19" s="11"/>
      <c r="K19" s="11"/>
      <c r="L19" s="27"/>
      <c r="M19" s="27"/>
    </row>
    <row r="20" spans="3:15" ht="15.75" customHeight="1">
      <c r="C20" s="8">
        <f>Lista!C26</f>
        <v>0</v>
      </c>
      <c r="D20" s="24"/>
      <c r="E20" s="24"/>
      <c r="F20" s="24"/>
      <c r="G20" s="24"/>
      <c r="H20" s="24"/>
      <c r="L20" s="24"/>
      <c r="M20" s="24"/>
    </row>
    <row r="21" spans="3:15" ht="15.75" customHeight="1">
      <c r="C21" s="8">
        <f>Lista!C27</f>
        <v>0</v>
      </c>
      <c r="F21" s="24"/>
      <c r="G21" s="24"/>
      <c r="K21" s="8"/>
      <c r="L21" s="24"/>
      <c r="M21" s="23"/>
    </row>
    <row r="22" spans="3:15" ht="36.75" customHeight="1">
      <c r="M22" s="64">
        <f>M14*60%</f>
        <v>98438999.999999985</v>
      </c>
      <c r="O22" s="64">
        <f>SUM(O9:O13)</f>
        <v>98438999.999999985</v>
      </c>
    </row>
    <row r="23" spans="3:15" ht="15.75" customHeight="1"/>
    <row r="24" spans="3:15" ht="15.75" customHeight="1"/>
    <row r="25" spans="3:15" ht="15.75" customHeight="1">
      <c r="J25" s="65" t="s">
        <v>78</v>
      </c>
      <c r="K25" s="65" t="s">
        <v>79</v>
      </c>
      <c r="L25" s="65" t="s">
        <v>80</v>
      </c>
      <c r="M25" s="65" t="s">
        <v>81</v>
      </c>
    </row>
    <row r="26" spans="3:15" ht="15.75" customHeight="1">
      <c r="J26" s="35" t="str">
        <f t="shared" ref="J26:J30" si="18">J9</f>
        <v>Servicios tecnologo</v>
      </c>
      <c r="K26" s="36">
        <v>1</v>
      </c>
      <c r="L26" s="66">
        <f t="shared" ref="L26:M26" si="19">N9</f>
        <v>75239999.999999985</v>
      </c>
      <c r="M26" s="66">
        <f t="shared" si="19"/>
        <v>75239999.999999985</v>
      </c>
    </row>
    <row r="27" spans="3:15" ht="15.75" customHeight="1">
      <c r="J27" s="35" t="str">
        <f t="shared" si="18"/>
        <v>Servicios electricos</v>
      </c>
      <c r="K27" s="36">
        <v>1</v>
      </c>
      <c r="L27" s="66">
        <f t="shared" ref="L27:M27" si="20">N10</f>
        <v>3762000</v>
      </c>
      <c r="M27" s="66">
        <f t="shared" si="20"/>
        <v>3762000</v>
      </c>
    </row>
    <row r="28" spans="3:15" ht="15.75" customHeight="1">
      <c r="J28" s="35" t="str">
        <f t="shared" si="18"/>
        <v>asesor externo</v>
      </c>
      <c r="K28" s="36">
        <v>1</v>
      </c>
      <c r="L28" s="66">
        <f t="shared" ref="L28:M28" si="21">N11</f>
        <v>5015999.9999999991</v>
      </c>
      <c r="M28" s="66">
        <f t="shared" si="21"/>
        <v>5015999.9999999991</v>
      </c>
    </row>
    <row r="29" spans="3:15" ht="15.75" customHeight="1">
      <c r="J29" s="35" t="str">
        <f t="shared" si="18"/>
        <v>abogado</v>
      </c>
      <c r="K29" s="36">
        <v>1</v>
      </c>
      <c r="L29" s="66">
        <f t="shared" ref="L29:M29" si="22">N12</f>
        <v>1881000</v>
      </c>
      <c r="M29" s="66">
        <f t="shared" si="22"/>
        <v>1881000</v>
      </c>
    </row>
    <row r="30" spans="3:15" ht="15.75" customHeight="1">
      <c r="J30" s="35" t="str">
        <f t="shared" si="18"/>
        <v>contador</v>
      </c>
      <c r="K30" s="36">
        <v>1</v>
      </c>
      <c r="L30" s="66">
        <f t="shared" ref="L30:M30" si="23">N13</f>
        <v>12540000</v>
      </c>
      <c r="M30" s="66">
        <f t="shared" si="23"/>
        <v>12540000</v>
      </c>
    </row>
    <row r="31" spans="3:15" ht="15.75" customHeight="1">
      <c r="J31" s="45"/>
      <c r="K31" s="45"/>
      <c r="L31" s="45"/>
      <c r="M31" s="67">
        <f>O22</f>
        <v>98438999.999999985</v>
      </c>
    </row>
    <row r="32" spans="3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0"/>
  <sheetViews>
    <sheetView workbookViewId="0"/>
  </sheetViews>
  <sheetFormatPr baseColWidth="10" defaultColWidth="14.42578125" defaultRowHeight="15" customHeight="1"/>
  <cols>
    <col min="1" max="2" width="10.7109375" customWidth="1"/>
    <col min="3" max="3" width="13.7109375" customWidth="1"/>
    <col min="4" max="5" width="10.7109375" customWidth="1"/>
    <col min="6" max="6" width="25.140625" customWidth="1"/>
    <col min="7" max="8" width="10.7109375" customWidth="1"/>
    <col min="9" max="9" width="21.140625" customWidth="1"/>
    <col min="10" max="10" width="26" customWidth="1"/>
    <col min="11" max="11" width="10.7109375" customWidth="1"/>
    <col min="12" max="12" width="5.5703125" customWidth="1"/>
    <col min="13" max="13" width="28.140625" customWidth="1"/>
    <col min="14" max="14" width="29.85546875" customWidth="1"/>
    <col min="15" max="15" width="10.7109375" customWidth="1"/>
    <col min="16" max="16" width="15.85546875" customWidth="1"/>
    <col min="17" max="17" width="20.7109375" customWidth="1"/>
    <col min="18" max="26" width="10.7109375" customWidth="1"/>
  </cols>
  <sheetData>
    <row r="1" spans="2:17" ht="12.75" customHeight="1"/>
    <row r="2" spans="2:17" ht="12.75" customHeight="1"/>
    <row r="3" spans="2:17" ht="12.75" customHeight="1"/>
    <row r="4" spans="2:17" ht="12.75" customHeight="1">
      <c r="B4" s="8" t="s">
        <v>62</v>
      </c>
      <c r="C4" s="24">
        <v>3739.03</v>
      </c>
    </row>
    <row r="5" spans="2:17" ht="12.75" customHeight="1">
      <c r="B5" s="8" t="s">
        <v>64</v>
      </c>
      <c r="C5" s="24">
        <f>C4*1.03</f>
        <v>3851.2009000000003</v>
      </c>
    </row>
    <row r="6" spans="2:17" ht="12.75" customHeight="1">
      <c r="E6" s="68" t="s">
        <v>19</v>
      </c>
      <c r="F6" s="68"/>
      <c r="G6" s="68"/>
      <c r="H6" s="69"/>
      <c r="I6" s="69"/>
      <c r="J6" s="69"/>
      <c r="M6" s="68" t="s">
        <v>19</v>
      </c>
      <c r="N6" s="68"/>
      <c r="O6" s="68"/>
      <c r="P6" s="69"/>
    </row>
    <row r="7" spans="2:17" ht="12.75" customHeight="1">
      <c r="E7" s="68"/>
      <c r="F7" s="68" t="s">
        <v>24</v>
      </c>
      <c r="G7" s="68" t="s">
        <v>25</v>
      </c>
      <c r="H7" s="69" t="s">
        <v>107</v>
      </c>
      <c r="I7" s="69" t="s">
        <v>108</v>
      </c>
      <c r="J7" s="70" t="s">
        <v>109</v>
      </c>
      <c r="M7" s="68"/>
      <c r="N7" s="68" t="s">
        <v>24</v>
      </c>
      <c r="O7" s="68" t="s">
        <v>25</v>
      </c>
      <c r="P7" s="69" t="s">
        <v>107</v>
      </c>
      <c r="Q7" s="70" t="s">
        <v>109</v>
      </c>
    </row>
    <row r="8" spans="2:17" ht="12.75" customHeight="1">
      <c r="E8" s="71" t="s">
        <v>110</v>
      </c>
      <c r="F8" s="71" t="s">
        <v>111</v>
      </c>
      <c r="G8" s="72">
        <v>2</v>
      </c>
      <c r="H8" s="73">
        <v>2145.48</v>
      </c>
      <c r="I8" s="74">
        <v>4025698.81</v>
      </c>
      <c r="J8" s="74">
        <f t="shared" ref="J8:J11" si="0">I8*1.045</f>
        <v>4206855.2564500002</v>
      </c>
      <c r="M8" s="71" t="s">
        <v>110</v>
      </c>
      <c r="N8" s="71" t="s">
        <v>111</v>
      </c>
      <c r="O8" s="72">
        <v>2</v>
      </c>
      <c r="P8" s="73">
        <v>2145.48</v>
      </c>
      <c r="Q8" s="74">
        <f t="shared" ref="Q8:Q16" si="1">J8</f>
        <v>4206855.2564500002</v>
      </c>
    </row>
    <row r="9" spans="2:17" ht="12.75" customHeight="1">
      <c r="C9" s="23"/>
      <c r="E9" s="71"/>
      <c r="F9" s="71" t="s">
        <v>112</v>
      </c>
      <c r="G9" s="72">
        <v>1</v>
      </c>
      <c r="H9" s="73">
        <v>436.28</v>
      </c>
      <c r="I9" s="75">
        <f>H9*C5</f>
        <v>1680201.9286519999</v>
      </c>
      <c r="J9" s="74">
        <f t="shared" si="0"/>
        <v>1755811.0154413397</v>
      </c>
      <c r="M9" s="71"/>
      <c r="N9" s="71" t="s">
        <v>112</v>
      </c>
      <c r="O9" s="72">
        <v>1</v>
      </c>
      <c r="P9" s="73">
        <v>436.28</v>
      </c>
      <c r="Q9" s="74">
        <f t="shared" si="1"/>
        <v>1755811.0154413397</v>
      </c>
    </row>
    <row r="10" spans="2:17" ht="12.75" customHeight="1">
      <c r="C10" s="76">
        <v>25785.64</v>
      </c>
      <c r="E10" s="71"/>
      <c r="F10" s="71" t="s">
        <v>113</v>
      </c>
      <c r="G10" s="72">
        <v>1</v>
      </c>
      <c r="H10" s="74">
        <v>3.6</v>
      </c>
      <c r="I10" s="74">
        <v>13864.32</v>
      </c>
      <c r="J10" s="74">
        <f t="shared" si="0"/>
        <v>14488.214399999999</v>
      </c>
      <c r="M10" s="71"/>
      <c r="N10" s="71" t="s">
        <v>113</v>
      </c>
      <c r="O10" s="72">
        <v>1</v>
      </c>
      <c r="P10" s="74">
        <v>3.6</v>
      </c>
      <c r="Q10" s="74">
        <f t="shared" si="1"/>
        <v>14488.214399999999</v>
      </c>
    </row>
    <row r="11" spans="2:17" ht="12.75" customHeight="1">
      <c r="E11" s="71"/>
      <c r="F11" s="71" t="s">
        <v>114</v>
      </c>
      <c r="G11" s="72">
        <v>1</v>
      </c>
      <c r="H11" s="77">
        <v>540</v>
      </c>
      <c r="I11" s="74">
        <f>H11*C5</f>
        <v>2079648.486</v>
      </c>
      <c r="J11" s="74">
        <f t="shared" si="0"/>
        <v>2173232.66787</v>
      </c>
      <c r="M11" s="71"/>
      <c r="N11" s="71" t="s">
        <v>114</v>
      </c>
      <c r="O11" s="72">
        <v>1</v>
      </c>
      <c r="P11" s="77">
        <v>540</v>
      </c>
      <c r="Q11" s="74">
        <f t="shared" si="1"/>
        <v>2173232.66787</v>
      </c>
    </row>
    <row r="12" spans="2:17" ht="12.75" customHeight="1">
      <c r="E12" s="71"/>
      <c r="F12" s="71" t="s">
        <v>115</v>
      </c>
      <c r="G12" s="72">
        <v>1</v>
      </c>
      <c r="H12" s="74">
        <v>0</v>
      </c>
      <c r="I12" s="74">
        <v>0</v>
      </c>
      <c r="J12" s="74">
        <v>0</v>
      </c>
      <c r="M12" s="71"/>
      <c r="N12" s="71" t="s">
        <v>115</v>
      </c>
      <c r="O12" s="72">
        <v>1</v>
      </c>
      <c r="P12" s="74">
        <v>0</v>
      </c>
      <c r="Q12" s="74">
        <f t="shared" si="1"/>
        <v>0</v>
      </c>
    </row>
    <row r="13" spans="2:17" ht="12.75" customHeight="1">
      <c r="E13" s="71"/>
      <c r="F13" s="71" t="s">
        <v>116</v>
      </c>
      <c r="G13" s="72">
        <v>1</v>
      </c>
      <c r="H13" s="77">
        <v>800</v>
      </c>
      <c r="I13" s="74">
        <f>H13*C5</f>
        <v>3080960.72</v>
      </c>
      <c r="J13" s="74">
        <f t="shared" ref="J13:J16" si="2">I13*1.045</f>
        <v>3219603.9523999998</v>
      </c>
      <c r="M13" s="71"/>
      <c r="N13" s="71" t="s">
        <v>116</v>
      </c>
      <c r="O13" s="72">
        <v>1</v>
      </c>
      <c r="P13" s="77">
        <v>800</v>
      </c>
      <c r="Q13" s="74">
        <f t="shared" si="1"/>
        <v>3219603.9523999998</v>
      </c>
    </row>
    <row r="14" spans="2:17" ht="12.75" customHeight="1">
      <c r="E14" s="71"/>
      <c r="F14" s="71" t="s">
        <v>117</v>
      </c>
      <c r="G14" s="72">
        <v>2</v>
      </c>
      <c r="H14" s="77">
        <v>292.8</v>
      </c>
      <c r="I14" s="74">
        <f>H14*C5</f>
        <v>1127631.6235200001</v>
      </c>
      <c r="J14" s="74">
        <f t="shared" si="2"/>
        <v>1178375.0465784001</v>
      </c>
      <c r="M14" s="71"/>
      <c r="N14" s="71" t="s">
        <v>117</v>
      </c>
      <c r="O14" s="72">
        <v>2</v>
      </c>
      <c r="P14" s="77">
        <v>292.8</v>
      </c>
      <c r="Q14" s="74">
        <f t="shared" si="1"/>
        <v>1178375.0465784001</v>
      </c>
    </row>
    <row r="15" spans="2:17" ht="12.75" customHeight="1">
      <c r="E15" s="71"/>
      <c r="F15" s="71" t="s">
        <v>118</v>
      </c>
      <c r="G15" s="72">
        <v>1</v>
      </c>
      <c r="H15" s="74">
        <v>69.2</v>
      </c>
      <c r="I15" s="74">
        <f>C5*H15</f>
        <v>266503.10228000005</v>
      </c>
      <c r="J15" s="74">
        <f t="shared" si="2"/>
        <v>278495.74188260001</v>
      </c>
      <c r="M15" s="71"/>
      <c r="N15" s="71" t="s">
        <v>118</v>
      </c>
      <c r="O15" s="72">
        <v>1</v>
      </c>
      <c r="P15" s="74">
        <v>69.2</v>
      </c>
      <c r="Q15" s="74">
        <f t="shared" si="1"/>
        <v>278495.74188260001</v>
      </c>
    </row>
    <row r="16" spans="2:17" ht="12.75" customHeight="1">
      <c r="E16" s="71"/>
      <c r="F16" s="71" t="s">
        <v>119</v>
      </c>
      <c r="G16" s="72">
        <v>1</v>
      </c>
      <c r="H16" s="74">
        <v>3.6</v>
      </c>
      <c r="I16" s="74">
        <f>C5*H16</f>
        <v>13864.323240000002</v>
      </c>
      <c r="J16" s="74">
        <f t="shared" si="2"/>
        <v>14488.217785800001</v>
      </c>
      <c r="M16" s="71"/>
      <c r="N16" s="71" t="s">
        <v>119</v>
      </c>
      <c r="O16" s="72">
        <v>1</v>
      </c>
      <c r="P16" s="74">
        <v>3.6</v>
      </c>
      <c r="Q16" s="74">
        <f t="shared" si="1"/>
        <v>14488.217785800001</v>
      </c>
    </row>
    <row r="17" spans="5:17" ht="12.75" customHeight="1">
      <c r="E17" s="71"/>
      <c r="F17" s="71" t="s">
        <v>120</v>
      </c>
      <c r="G17" s="72">
        <v>1</v>
      </c>
      <c r="H17" s="74">
        <v>0</v>
      </c>
      <c r="I17" s="74">
        <v>0</v>
      </c>
      <c r="J17" s="74">
        <v>0</v>
      </c>
      <c r="M17" s="71"/>
      <c r="N17" s="71" t="s">
        <v>120</v>
      </c>
      <c r="O17" s="72">
        <v>1</v>
      </c>
      <c r="P17" s="74">
        <v>0</v>
      </c>
      <c r="Q17" s="74">
        <v>0</v>
      </c>
    </row>
    <row r="18" spans="5:17" ht="12.75" customHeight="1">
      <c r="E18" s="71"/>
      <c r="F18" s="71" t="s">
        <v>121</v>
      </c>
      <c r="G18" s="72">
        <v>1</v>
      </c>
      <c r="H18" s="74">
        <v>0</v>
      </c>
      <c r="I18" s="74">
        <v>0</v>
      </c>
      <c r="J18" s="74">
        <v>0</v>
      </c>
      <c r="M18" s="71"/>
      <c r="N18" s="71" t="s">
        <v>121</v>
      </c>
      <c r="O18" s="72">
        <v>1</v>
      </c>
      <c r="P18" s="74">
        <v>0</v>
      </c>
      <c r="Q18" s="74">
        <v>0</v>
      </c>
    </row>
    <row r="19" spans="5:17" ht="12.75" customHeight="1">
      <c r="E19" s="71"/>
      <c r="F19" s="71" t="s">
        <v>122</v>
      </c>
      <c r="G19" s="72">
        <v>1</v>
      </c>
      <c r="H19" s="74">
        <v>16.11</v>
      </c>
      <c r="I19" s="74">
        <f>C5*H19</f>
        <v>62042.846498999999</v>
      </c>
      <c r="J19" s="74">
        <f t="shared" ref="J19:J23" si="3">I19*1.045</f>
        <v>64834.774591454996</v>
      </c>
      <c r="M19" s="71"/>
      <c r="N19" s="71" t="s">
        <v>122</v>
      </c>
      <c r="O19" s="72">
        <v>1</v>
      </c>
      <c r="P19" s="74">
        <v>16.11</v>
      </c>
      <c r="Q19" s="74">
        <f t="shared" ref="Q19:Q22" si="4">J19</f>
        <v>64834.774591454996</v>
      </c>
    </row>
    <row r="20" spans="5:17" ht="12.75" customHeight="1">
      <c r="E20" s="71"/>
      <c r="F20" s="71" t="s">
        <v>123</v>
      </c>
      <c r="G20" s="72">
        <v>1</v>
      </c>
      <c r="H20" s="74">
        <v>16.11</v>
      </c>
      <c r="I20" s="74">
        <f>C5*H20</f>
        <v>62042.846498999999</v>
      </c>
      <c r="J20" s="74">
        <f t="shared" si="3"/>
        <v>64834.774591454996</v>
      </c>
      <c r="M20" s="71"/>
      <c r="N20" s="71" t="s">
        <v>123</v>
      </c>
      <c r="O20" s="72">
        <v>1</v>
      </c>
      <c r="P20" s="74">
        <v>16.11</v>
      </c>
      <c r="Q20" s="74">
        <f t="shared" si="4"/>
        <v>64834.774591454996</v>
      </c>
    </row>
    <row r="21" spans="5:17" ht="12.75" customHeight="1">
      <c r="E21" s="53"/>
      <c r="F21" s="53" t="s">
        <v>124</v>
      </c>
      <c r="G21" s="78">
        <v>1</v>
      </c>
      <c r="H21" s="74">
        <v>216.03</v>
      </c>
      <c r="I21" s="74">
        <f>C5*H21</f>
        <v>831974.93042700004</v>
      </c>
      <c r="J21" s="74">
        <f t="shared" si="3"/>
        <v>869413.80229621497</v>
      </c>
      <c r="M21" s="53"/>
      <c r="N21" s="53" t="s">
        <v>124</v>
      </c>
      <c r="O21" s="78">
        <v>1</v>
      </c>
      <c r="P21" s="74">
        <v>216.03</v>
      </c>
      <c r="Q21" s="74">
        <f t="shared" si="4"/>
        <v>869413.80229621497</v>
      </c>
    </row>
    <row r="22" spans="5:17" ht="12.75" customHeight="1">
      <c r="E22" s="53"/>
      <c r="F22" s="53" t="s">
        <v>125</v>
      </c>
      <c r="G22" s="78">
        <v>1</v>
      </c>
      <c r="H22" s="74">
        <v>216.03</v>
      </c>
      <c r="I22" s="74">
        <v>551260.9</v>
      </c>
      <c r="J22" s="74">
        <f t="shared" si="3"/>
        <v>576067.64049999998</v>
      </c>
      <c r="M22" s="53"/>
      <c r="N22" s="53" t="s">
        <v>125</v>
      </c>
      <c r="O22" s="78">
        <v>1</v>
      </c>
      <c r="P22" s="74">
        <v>216.03</v>
      </c>
      <c r="Q22" s="74">
        <f t="shared" si="4"/>
        <v>576067.64049999998</v>
      </c>
    </row>
    <row r="23" spans="5:17" ht="12.75" customHeight="1">
      <c r="E23" s="53"/>
      <c r="F23" s="53" t="s">
        <v>126</v>
      </c>
      <c r="G23" s="78">
        <v>1</v>
      </c>
      <c r="H23" s="74">
        <v>61.2</v>
      </c>
      <c r="I23" s="74">
        <v>235693.5</v>
      </c>
      <c r="J23" s="74">
        <f t="shared" si="3"/>
        <v>246299.70749999999</v>
      </c>
      <c r="N23" s="79" t="s">
        <v>127</v>
      </c>
      <c r="P23" s="80">
        <v>-1.31</v>
      </c>
      <c r="Q23" s="74">
        <f>P23</f>
        <v>-1.31</v>
      </c>
    </row>
    <row r="24" spans="5:17" ht="12.75" customHeight="1">
      <c r="E24" s="53"/>
      <c r="F24" s="53" t="s">
        <v>128</v>
      </c>
      <c r="G24" s="78">
        <v>1</v>
      </c>
      <c r="H24" s="74">
        <v>143.13999999999999</v>
      </c>
      <c r="I24" s="74">
        <v>551260.9</v>
      </c>
      <c r="J24" s="74">
        <v>576067.64</v>
      </c>
      <c r="P24" s="81">
        <v>2376.31</v>
      </c>
      <c r="Q24" s="74">
        <f>J26</f>
        <v>10385838.674701324</v>
      </c>
    </row>
    <row r="25" spans="5:17" ht="12.75" customHeight="1">
      <c r="E25" s="53"/>
      <c r="F25" s="53"/>
      <c r="G25" s="53"/>
      <c r="H25" s="53"/>
      <c r="I25" s="53"/>
      <c r="J25" s="54"/>
      <c r="Q25" s="54"/>
    </row>
    <row r="26" spans="5:17" ht="12.75" customHeight="1">
      <c r="E26" s="53"/>
      <c r="F26" s="53"/>
      <c r="G26" s="53"/>
      <c r="H26" s="82">
        <f>P24+H23+H24</f>
        <v>2580.6499999999996</v>
      </c>
      <c r="I26" s="74">
        <f>H26*C5</f>
        <v>9938601.6025849991</v>
      </c>
      <c r="J26" s="74">
        <f>I26*1.045</f>
        <v>10385838.674701324</v>
      </c>
      <c r="P26" s="83" t="s">
        <v>129</v>
      </c>
      <c r="Q26" s="84">
        <f>Q24*12</f>
        <v>124630064.09641588</v>
      </c>
    </row>
    <row r="27" spans="5:17" ht="12.75" customHeight="1"/>
    <row r="28" spans="5:17" ht="12.75" customHeight="1">
      <c r="M28" s="85" t="s">
        <v>130</v>
      </c>
      <c r="N28" s="86">
        <v>25785.64</v>
      </c>
      <c r="O28" s="83" t="s">
        <v>131</v>
      </c>
      <c r="P28" s="83"/>
      <c r="Q28" s="87">
        <f>N28*C5</f>
        <v>99305679.975076005</v>
      </c>
    </row>
    <row r="29" spans="5:17" ht="12.75" customHeight="1"/>
    <row r="30" spans="5:17" ht="12.75" customHeight="1"/>
    <row r="31" spans="5:17" ht="12.75" customHeight="1"/>
    <row r="32" spans="5:1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1.140625" customWidth="1"/>
    <col min="3" max="3" width="20.42578125" customWidth="1"/>
    <col min="4" max="4" width="45.42578125" customWidth="1"/>
    <col min="5" max="6" width="10.7109375" customWidth="1"/>
    <col min="7" max="7" width="20.140625" customWidth="1"/>
    <col min="8" max="8" width="17.7109375" customWidth="1"/>
    <col min="9" max="9" width="18" customWidth="1"/>
    <col min="10" max="12" width="10.7109375" customWidth="1"/>
    <col min="13" max="13" width="47" customWidth="1"/>
    <col min="14" max="14" width="31.42578125" customWidth="1"/>
    <col min="15" max="15" width="34.5703125" customWidth="1"/>
    <col min="16" max="26" width="10.7109375" customWidth="1"/>
  </cols>
  <sheetData>
    <row r="1" spans="1:15" ht="12.75" customHeight="1">
      <c r="A1" s="53" t="s">
        <v>62</v>
      </c>
      <c r="B1" s="54">
        <v>3739.03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2.75" customHeight="1">
      <c r="A2" s="53" t="s">
        <v>64</v>
      </c>
      <c r="B2" s="54">
        <v>3851.2008999999998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ht="12.7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ht="12.7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ht="12.75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2.75" customHeight="1">
      <c r="A6" s="88"/>
      <c r="B6" s="88"/>
      <c r="C6" s="88"/>
      <c r="D6" s="88"/>
      <c r="E6" s="88"/>
      <c r="F6" s="88"/>
      <c r="G6" s="53"/>
      <c r="H6" s="53"/>
      <c r="I6" s="53"/>
      <c r="J6" s="53"/>
      <c r="K6" s="53"/>
      <c r="L6" s="53"/>
      <c r="M6" s="53"/>
      <c r="N6" s="53"/>
      <c r="O6" s="53"/>
    </row>
    <row r="7" spans="1:15" ht="12.75" customHeight="1">
      <c r="A7" s="88"/>
      <c r="B7" s="88"/>
      <c r="C7" s="88"/>
      <c r="D7" s="88"/>
      <c r="E7" s="88"/>
      <c r="F7" s="88"/>
      <c r="G7" s="53"/>
      <c r="H7" s="53"/>
      <c r="I7" s="53"/>
      <c r="J7" s="53"/>
      <c r="K7" s="53"/>
      <c r="L7" s="53"/>
      <c r="M7" s="53"/>
      <c r="N7" s="53"/>
      <c r="O7" s="53"/>
    </row>
    <row r="8" spans="1:15" ht="12.75" customHeight="1">
      <c r="A8" s="116" t="s">
        <v>132</v>
      </c>
      <c r="B8" s="117"/>
      <c r="C8" s="118"/>
      <c r="D8" s="89"/>
      <c r="E8" s="89"/>
      <c r="F8" s="89"/>
      <c r="G8" s="53"/>
      <c r="H8" s="53"/>
      <c r="I8" s="53"/>
      <c r="J8" s="53"/>
      <c r="K8" s="53"/>
      <c r="L8" s="53"/>
      <c r="M8" s="53"/>
      <c r="N8" s="53"/>
      <c r="O8" s="53"/>
    </row>
    <row r="9" spans="1:15" ht="12.75" customHeight="1">
      <c r="A9" s="119" t="s">
        <v>133</v>
      </c>
      <c r="B9" s="120"/>
      <c r="C9" s="121"/>
      <c r="D9" s="90"/>
      <c r="E9" s="90"/>
      <c r="F9" s="90"/>
      <c r="G9" s="53"/>
      <c r="H9" s="91"/>
      <c r="I9" s="91"/>
      <c r="J9" s="53"/>
      <c r="K9" s="53"/>
      <c r="L9" s="53"/>
      <c r="M9" s="91"/>
      <c r="N9" s="91"/>
      <c r="O9" s="91"/>
    </row>
    <row r="10" spans="1:15" ht="12.75" customHeight="1">
      <c r="A10" s="92" t="s">
        <v>134</v>
      </c>
      <c r="B10" s="93" t="s">
        <v>135</v>
      </c>
      <c r="C10" s="93" t="s">
        <v>136</v>
      </c>
      <c r="D10" s="93" t="s">
        <v>137</v>
      </c>
      <c r="E10" s="93" t="s">
        <v>138</v>
      </c>
      <c r="F10" s="93" t="s">
        <v>139</v>
      </c>
      <c r="G10" s="94"/>
      <c r="H10" s="95" t="s">
        <v>140</v>
      </c>
      <c r="I10" s="95" t="s">
        <v>141</v>
      </c>
      <c r="J10" s="53"/>
      <c r="K10" s="53"/>
      <c r="L10" s="94"/>
      <c r="M10" s="96" t="s">
        <v>78</v>
      </c>
      <c r="N10" s="96" t="s">
        <v>79</v>
      </c>
      <c r="O10" s="96" t="s">
        <v>142</v>
      </c>
    </row>
    <row r="11" spans="1:15" ht="80.25" customHeight="1">
      <c r="A11" s="88" t="s">
        <v>143</v>
      </c>
      <c r="B11" s="88"/>
      <c r="C11" s="88" t="s">
        <v>144</v>
      </c>
      <c r="D11" s="97" t="s">
        <v>145</v>
      </c>
      <c r="E11" s="98">
        <v>414.37</v>
      </c>
      <c r="F11" s="98">
        <v>0</v>
      </c>
      <c r="G11" s="94"/>
      <c r="H11" s="99">
        <v>1595832.9</v>
      </c>
      <c r="I11" s="99">
        <v>1667645.38</v>
      </c>
      <c r="J11" s="53"/>
      <c r="K11" s="53"/>
      <c r="L11" s="94"/>
      <c r="M11" s="100" t="s">
        <v>145</v>
      </c>
      <c r="N11" s="101">
        <v>1</v>
      </c>
      <c r="O11" s="99">
        <v>1667645.38</v>
      </c>
    </row>
    <row r="12" spans="1:15" ht="78.75" customHeight="1">
      <c r="A12" s="88" t="s">
        <v>143</v>
      </c>
      <c r="B12" s="88"/>
      <c r="C12" s="88" t="s">
        <v>144</v>
      </c>
      <c r="D12" s="97" t="s">
        <v>146</v>
      </c>
      <c r="E12" s="98">
        <v>285.41000000000003</v>
      </c>
      <c r="F12" s="98">
        <v>0</v>
      </c>
      <c r="G12" s="94"/>
      <c r="H12" s="99">
        <v>1099164.32</v>
      </c>
      <c r="I12" s="99">
        <v>1148626.71</v>
      </c>
      <c r="J12" s="53"/>
      <c r="K12" s="53"/>
      <c r="L12" s="94"/>
      <c r="M12" s="100" t="s">
        <v>146</v>
      </c>
      <c r="N12" s="101">
        <v>1</v>
      </c>
      <c r="O12" s="99">
        <v>1148626.71</v>
      </c>
    </row>
    <row r="13" spans="1:15" ht="123" customHeight="1">
      <c r="A13" s="88" t="s">
        <v>147</v>
      </c>
      <c r="B13" s="88"/>
      <c r="C13" s="88" t="s">
        <v>148</v>
      </c>
      <c r="D13" s="97" t="s">
        <v>149</v>
      </c>
      <c r="E13" s="98">
        <v>63.44</v>
      </c>
      <c r="F13" s="98">
        <v>0</v>
      </c>
      <c r="G13" s="94"/>
      <c r="H13" s="99">
        <v>244320.19</v>
      </c>
      <c r="I13" s="99">
        <v>255314.6</v>
      </c>
      <c r="J13" s="53"/>
      <c r="K13" s="53"/>
      <c r="L13" s="94"/>
      <c r="M13" s="100" t="s">
        <v>149</v>
      </c>
      <c r="N13" s="101">
        <v>1</v>
      </c>
      <c r="O13" s="99">
        <v>255314.6</v>
      </c>
    </row>
    <row r="14" spans="1:15" ht="124.5" customHeight="1">
      <c r="A14" s="88" t="s">
        <v>147</v>
      </c>
      <c r="B14" s="88"/>
      <c r="C14" s="88" t="s">
        <v>148</v>
      </c>
      <c r="D14" s="97" t="s">
        <v>149</v>
      </c>
      <c r="E14" s="98">
        <v>63.44</v>
      </c>
      <c r="F14" s="98">
        <v>0</v>
      </c>
      <c r="G14" s="94"/>
      <c r="H14" s="99">
        <v>244320.19</v>
      </c>
      <c r="I14" s="99">
        <v>255314.6</v>
      </c>
      <c r="J14" s="53"/>
      <c r="K14" s="53"/>
      <c r="L14" s="94"/>
      <c r="M14" s="100" t="s">
        <v>149</v>
      </c>
      <c r="N14" s="101">
        <v>1</v>
      </c>
      <c r="O14" s="99">
        <v>255314.6</v>
      </c>
    </row>
    <row r="15" spans="1:15" ht="36" customHeight="1">
      <c r="A15" s="88" t="s">
        <v>150</v>
      </c>
      <c r="B15" s="88"/>
      <c r="C15" s="88" t="s">
        <v>144</v>
      </c>
      <c r="D15" s="97" t="s">
        <v>151</v>
      </c>
      <c r="E15" s="98">
        <v>915.38</v>
      </c>
      <c r="F15" s="98">
        <v>0</v>
      </c>
      <c r="G15" s="94"/>
      <c r="H15" s="99">
        <v>3525312.28</v>
      </c>
      <c r="I15" s="99">
        <v>3683951.33</v>
      </c>
      <c r="J15" s="53"/>
      <c r="K15" s="53"/>
      <c r="L15" s="94"/>
      <c r="M15" s="100" t="s">
        <v>151</v>
      </c>
      <c r="N15" s="101">
        <v>1</v>
      </c>
      <c r="O15" s="99">
        <v>3683951.33</v>
      </c>
    </row>
    <row r="16" spans="1:15" ht="60" customHeight="1">
      <c r="A16" s="88" t="s">
        <v>152</v>
      </c>
      <c r="B16" s="88"/>
      <c r="C16" s="88" t="s">
        <v>148</v>
      </c>
      <c r="D16" s="97" t="s">
        <v>153</v>
      </c>
      <c r="E16" s="98">
        <v>5.26</v>
      </c>
      <c r="F16" s="98">
        <v>0</v>
      </c>
      <c r="G16" s="94"/>
      <c r="H16" s="99">
        <v>20241.91</v>
      </c>
      <c r="I16" s="99">
        <v>21152.799999999999</v>
      </c>
      <c r="J16" s="53"/>
      <c r="K16" s="53"/>
      <c r="L16" s="94"/>
      <c r="M16" s="100" t="s">
        <v>153</v>
      </c>
      <c r="N16" s="101">
        <v>1</v>
      </c>
      <c r="O16" s="99">
        <v>21152.799999999999</v>
      </c>
    </row>
    <row r="17" spans="1:15" ht="12.75" customHeight="1">
      <c r="A17" s="88" t="s">
        <v>154</v>
      </c>
      <c r="B17" s="88"/>
      <c r="C17" s="88"/>
      <c r="D17" s="102" t="s">
        <v>154</v>
      </c>
      <c r="E17" s="103">
        <v>0</v>
      </c>
      <c r="F17" s="103">
        <v>0</v>
      </c>
      <c r="G17" s="94"/>
      <c r="H17" s="101">
        <v>0</v>
      </c>
      <c r="I17" s="101">
        <v>0</v>
      </c>
      <c r="J17" s="53"/>
      <c r="K17" s="53"/>
      <c r="L17" s="94"/>
      <c r="M17" s="100" t="s">
        <v>154</v>
      </c>
      <c r="N17" s="101">
        <v>1</v>
      </c>
      <c r="O17" s="101">
        <v>0</v>
      </c>
    </row>
    <row r="18" spans="1:15" ht="12.75" customHeight="1">
      <c r="A18" s="88"/>
      <c r="B18" s="88"/>
      <c r="C18" s="104"/>
      <c r="D18" s="105" t="s">
        <v>155</v>
      </c>
      <c r="E18" s="106" t="s">
        <v>156</v>
      </c>
      <c r="F18" s="90"/>
      <c r="G18" s="53"/>
      <c r="H18" s="53"/>
      <c r="I18" s="53"/>
      <c r="J18" s="53"/>
      <c r="K18" s="53"/>
      <c r="L18" s="53"/>
      <c r="M18" s="53"/>
      <c r="N18" s="94"/>
      <c r="O18" s="107">
        <f>SUM(O11:O17)</f>
        <v>7032005.4199999999</v>
      </c>
    </row>
    <row r="19" spans="1:15" ht="12.75" customHeight="1">
      <c r="A19" s="88"/>
      <c r="B19" s="88"/>
      <c r="C19" s="104"/>
      <c r="D19" s="105" t="s">
        <v>157</v>
      </c>
      <c r="E19" s="108">
        <v>1747.3</v>
      </c>
      <c r="F19" s="108">
        <v>0</v>
      </c>
      <c r="G19" s="53"/>
      <c r="H19" s="53"/>
      <c r="I19" s="53"/>
      <c r="J19" s="53"/>
      <c r="K19" s="53"/>
      <c r="L19" s="53"/>
      <c r="M19" s="53"/>
      <c r="N19" s="94"/>
      <c r="O19" s="109">
        <f>O18*12</f>
        <v>84384065.039999992</v>
      </c>
    </row>
    <row r="20" spans="1:15" ht="12.75" customHeight="1"/>
    <row r="21" spans="1:15" ht="12.75" customHeight="1"/>
    <row r="22" spans="1:15" ht="12.75" customHeight="1"/>
    <row r="23" spans="1:15" ht="12.75" customHeight="1"/>
    <row r="24" spans="1:15" ht="12.75" customHeight="1"/>
    <row r="25" spans="1:15" ht="12.75" customHeight="1"/>
    <row r="26" spans="1:15" ht="12.75" customHeight="1"/>
    <row r="27" spans="1:15" ht="12.75" customHeight="1"/>
    <row r="28" spans="1:15" ht="12.75" customHeight="1"/>
    <row r="29" spans="1:15" ht="12.75" customHeight="1"/>
    <row r="30" spans="1:15" ht="12.75" customHeight="1"/>
    <row r="31" spans="1:15" ht="12.75" customHeight="1"/>
    <row r="32" spans="1:1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8:C8"/>
    <mergeCell ref="A9:C9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4.42578125" defaultRowHeight="15" customHeight="1"/>
  <cols>
    <col min="1" max="1" width="19.42578125" customWidth="1"/>
    <col min="2" max="2" width="20.5703125" customWidth="1"/>
    <col min="3" max="3" width="25.42578125" customWidth="1"/>
    <col min="4" max="4" width="21.42578125" customWidth="1"/>
    <col min="5" max="5" width="19.7109375" customWidth="1"/>
    <col min="6" max="6" width="19" customWidth="1"/>
    <col min="7" max="26" width="10.7109375" customWidth="1"/>
  </cols>
  <sheetData>
    <row r="1" spans="1:6" ht="12.75" customHeight="1">
      <c r="A1" s="79"/>
      <c r="B1" s="110"/>
      <c r="C1" s="79"/>
    </row>
    <row r="2" spans="1:6" ht="12.75" customHeight="1">
      <c r="A2" s="79"/>
      <c r="B2" s="76"/>
      <c r="C2" s="79"/>
    </row>
    <row r="3" spans="1:6" ht="12.75" customHeight="1">
      <c r="A3" s="79" t="s">
        <v>158</v>
      </c>
      <c r="B3" s="111" t="s">
        <v>159</v>
      </c>
      <c r="C3" s="112" t="s">
        <v>160</v>
      </c>
      <c r="D3" s="112" t="s">
        <v>161</v>
      </c>
      <c r="E3" s="112" t="s">
        <v>162</v>
      </c>
      <c r="F3" s="112" t="s">
        <v>163</v>
      </c>
    </row>
    <row r="4" spans="1:6" ht="12.75" customHeight="1">
      <c r="B4" s="113"/>
      <c r="C4" s="100"/>
      <c r="D4" s="100"/>
      <c r="E4" s="100"/>
      <c r="F4" s="100"/>
    </row>
    <row r="5" spans="1:6" ht="12.75" customHeight="1">
      <c r="B5" s="113" t="s">
        <v>164</v>
      </c>
      <c r="C5" s="99">
        <f>F5/12</f>
        <v>20776312.084589664</v>
      </c>
      <c r="D5" s="99">
        <f>Cloud!Q28+Azure!O19</f>
        <v>183689745.01507598</v>
      </c>
      <c r="E5" s="99">
        <f>E9/1.5</f>
        <v>65625999.999999993</v>
      </c>
      <c r="F5" s="99">
        <f>E5+D5</f>
        <v>249315745.01507598</v>
      </c>
    </row>
    <row r="6" spans="1:6" ht="12.75" customHeight="1">
      <c r="B6" s="113"/>
      <c r="C6" s="100"/>
      <c r="D6" s="100"/>
      <c r="E6" s="100"/>
      <c r="F6" s="100"/>
    </row>
    <row r="7" spans="1:6" ht="12.75" customHeight="1">
      <c r="B7" s="113" t="s">
        <v>165</v>
      </c>
      <c r="C7" s="99">
        <f>F7/12</f>
        <v>11755364.375628166</v>
      </c>
      <c r="D7" s="99">
        <f>D5/2</f>
        <v>91844872.507537991</v>
      </c>
      <c r="E7" s="99">
        <f>E9/2</f>
        <v>49219499.999999993</v>
      </c>
      <c r="F7" s="99">
        <f>E7+D7</f>
        <v>141064372.50753799</v>
      </c>
    </row>
    <row r="8" spans="1:6" ht="12.75" customHeight="1">
      <c r="B8" s="113"/>
      <c r="C8" s="100"/>
      <c r="D8" s="100"/>
      <c r="E8" s="100"/>
      <c r="F8" s="100"/>
    </row>
    <row r="9" spans="1:6" ht="12.75" customHeight="1">
      <c r="B9" s="113" t="s">
        <v>166</v>
      </c>
      <c r="C9" s="99">
        <f>F9/12</f>
        <v>13667036.453207588</v>
      </c>
      <c r="D9" s="99">
        <f>Equipos!M34+Software!M32+Materiales!M15</f>
        <v>65565437.438491054</v>
      </c>
      <c r="E9" s="99">
        <f>Servicios!M31</f>
        <v>98438999.999999985</v>
      </c>
      <c r="F9" s="99">
        <f>E9+D9</f>
        <v>164004437.43849105</v>
      </c>
    </row>
    <row r="10" spans="1:6" ht="12.75" customHeight="1">
      <c r="B10" s="113"/>
      <c r="C10" s="100"/>
      <c r="D10" s="100"/>
      <c r="E10" s="100"/>
      <c r="F10" s="100"/>
    </row>
    <row r="11" spans="1:6" ht="12.75" customHeight="1">
      <c r="B11" s="113" t="s">
        <v>167</v>
      </c>
      <c r="C11" s="99">
        <f>F11/12</f>
        <v>34443348.53779725</v>
      </c>
      <c r="D11" s="100"/>
      <c r="E11" s="100"/>
      <c r="F11" s="99">
        <f>F5+F9</f>
        <v>413320182.45356703</v>
      </c>
    </row>
    <row r="12" spans="1:6" ht="12.75" customHeight="1"/>
    <row r="13" spans="1:6" ht="12.75" customHeight="1">
      <c r="B13" s="53"/>
      <c r="C13" s="53"/>
      <c r="D13" s="53"/>
      <c r="E13" s="53"/>
      <c r="F13" s="53"/>
    </row>
    <row r="14" spans="1:6" ht="12.75" customHeight="1">
      <c r="B14" s="53"/>
      <c r="C14" s="53"/>
      <c r="D14" s="53"/>
      <c r="E14" s="53"/>
      <c r="F14" s="53"/>
    </row>
    <row r="15" spans="1:6" ht="12.75" customHeight="1">
      <c r="B15" s="53"/>
      <c r="C15" s="53"/>
      <c r="D15" s="53"/>
      <c r="E15" s="53"/>
      <c r="F15" s="53"/>
    </row>
    <row r="16" spans="1:6" ht="12.75" customHeight="1">
      <c r="B16" s="53"/>
      <c r="C16" s="53"/>
      <c r="D16" s="53"/>
      <c r="E16" s="53"/>
      <c r="F16" s="53"/>
    </row>
    <row r="17" spans="2:6" ht="12.75" customHeight="1">
      <c r="B17" s="91"/>
      <c r="C17" s="91"/>
      <c r="D17" s="53"/>
      <c r="E17" s="53"/>
      <c r="F17" s="53"/>
    </row>
    <row r="18" spans="2:6" ht="12.75" customHeight="1">
      <c r="B18" s="114" t="s">
        <v>168</v>
      </c>
      <c r="C18" s="107">
        <v>68000000000000</v>
      </c>
      <c r="D18" s="53"/>
      <c r="E18" s="53"/>
      <c r="F18" s="53"/>
    </row>
    <row r="19" spans="2:6" ht="12.75" customHeight="1">
      <c r="B19" s="115" t="s">
        <v>169</v>
      </c>
      <c r="C19" s="107">
        <v>5666666666666.6699</v>
      </c>
      <c r="D19" s="53"/>
      <c r="E19" s="53"/>
      <c r="F19" s="53"/>
    </row>
    <row r="20" spans="2:6" ht="12.75" customHeight="1">
      <c r="B20" s="115" t="s">
        <v>170</v>
      </c>
      <c r="C20" s="107">
        <v>188888888888.89001</v>
      </c>
      <c r="D20" s="53"/>
      <c r="E20" s="53"/>
      <c r="F20" s="53"/>
    </row>
    <row r="21" spans="2:6" ht="12.75" customHeight="1"/>
    <row r="22" spans="2:6" ht="12.75" customHeight="1"/>
    <row r="23" spans="2:6" ht="12.75" customHeight="1"/>
    <row r="24" spans="2:6" ht="12.75" customHeight="1"/>
    <row r="25" spans="2:6" ht="12.75" customHeight="1"/>
    <row r="26" spans="2:6" ht="12.75" customHeight="1"/>
    <row r="27" spans="2:6" ht="12.75" customHeight="1"/>
    <row r="28" spans="2:6" ht="12.75" customHeight="1"/>
    <row r="29" spans="2:6" ht="12.75" customHeight="1"/>
    <row r="30" spans="2:6" ht="12.75" customHeight="1"/>
    <row r="31" spans="2:6" ht="12.75" customHeight="1"/>
    <row r="32" spans="2: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</vt:lpstr>
      <vt:lpstr>Equipos</vt:lpstr>
      <vt:lpstr>Software</vt:lpstr>
      <vt:lpstr>Materiales</vt:lpstr>
      <vt:lpstr>Herramientas</vt:lpstr>
      <vt:lpstr>Servicios</vt:lpstr>
      <vt:lpstr>Cloud</vt:lpstr>
      <vt:lpstr>Azure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Franco</cp:lastModifiedBy>
  <dcterms:modified xsi:type="dcterms:W3CDTF">2021-07-15T06:37:42Z</dcterms:modified>
</cp:coreProperties>
</file>