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5TO\TFI\segunda entrega\"/>
    </mc:Choice>
  </mc:AlternateContent>
  <bookViews>
    <workbookView xWindow="-120" yWindow="-120" windowWidth="29040" windowHeight="15840" tabRatio="787" firstSheet="8" activeTab="8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riesgo" sheetId="14" r:id="rId14"/>
    <sheet name="Escenario 1" sheetId="20" r:id="rId15"/>
    <sheet name="Escenario 2" sheetId="25" r:id="rId16"/>
    <sheet name="Escenario 3" sheetId="26" r:id="rId17"/>
    <sheet name="Plan de contingencia" sheetId="27" r:id="rId1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3" l="1"/>
  <c r="G12" i="20" l="1"/>
  <c r="E12" i="27"/>
  <c r="E18" i="27" s="1"/>
  <c r="F12" i="27"/>
  <c r="F15" i="26"/>
  <c r="G12" i="27"/>
  <c r="G18" i="27" s="1"/>
  <c r="F12" i="20"/>
  <c r="F18" i="27"/>
  <c r="F15" i="27"/>
  <c r="G15" i="27"/>
  <c r="G15" i="26"/>
  <c r="G22" i="27"/>
  <c r="F22" i="27"/>
  <c r="E22" i="27"/>
  <c r="D22" i="27"/>
  <c r="D23" i="27" s="1"/>
  <c r="E15" i="27"/>
  <c r="G13" i="27"/>
  <c r="F13" i="27"/>
  <c r="E13" i="27"/>
  <c r="E15" i="26"/>
  <c r="D18" i="11"/>
  <c r="E18" i="11" s="1"/>
  <c r="G22" i="26"/>
  <c r="F22" i="26"/>
  <c r="G13" i="26"/>
  <c r="F13" i="26"/>
  <c r="E13" i="26"/>
  <c r="G22" i="25"/>
  <c r="F22" i="25"/>
  <c r="G13" i="25"/>
  <c r="F13" i="25"/>
  <c r="E13" i="25"/>
  <c r="G22" i="20"/>
  <c r="F22" i="20"/>
  <c r="G13" i="20"/>
  <c r="F13" i="20"/>
  <c r="E13" i="20"/>
  <c r="C40" i="7"/>
  <c r="F5" i="7"/>
  <c r="E5" i="7"/>
  <c r="D12" i="3"/>
  <c r="D32" i="11"/>
  <c r="E32" i="11" s="1"/>
  <c r="D33" i="11"/>
  <c r="E33" i="11" s="1"/>
  <c r="D25" i="11"/>
  <c r="E25" i="11" s="1"/>
  <c r="D26" i="11"/>
  <c r="E26" i="11" s="1"/>
  <c r="D19" i="11"/>
  <c r="E19" i="11" s="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Z46" i="5"/>
  <c r="X46" i="5"/>
  <c r="V46" i="5"/>
  <c r="T46" i="5"/>
  <c r="R46" i="5"/>
  <c r="P46" i="5"/>
  <c r="N46" i="5"/>
  <c r="L46" i="5"/>
  <c r="J46" i="5"/>
  <c r="H46" i="5"/>
  <c r="F46" i="5"/>
  <c r="Z36" i="5"/>
  <c r="X36" i="5"/>
  <c r="V36" i="5"/>
  <c r="T36" i="5"/>
  <c r="R36" i="5"/>
  <c r="P36" i="5"/>
  <c r="L36" i="5"/>
  <c r="J36" i="5"/>
  <c r="H36" i="5"/>
  <c r="F36" i="5"/>
  <c r="Z26" i="5"/>
  <c r="X26" i="5"/>
  <c r="V26" i="5"/>
  <c r="T26" i="5"/>
  <c r="R26" i="5"/>
  <c r="P42" i="5"/>
  <c r="N42" i="5"/>
  <c r="L42" i="5"/>
  <c r="J42" i="5"/>
  <c r="H42" i="5"/>
  <c r="F42" i="5"/>
  <c r="D42" i="5"/>
  <c r="Z45" i="5"/>
  <c r="X45" i="5"/>
  <c r="V45" i="5"/>
  <c r="T45" i="5"/>
  <c r="R45" i="5"/>
  <c r="P45" i="5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G23" i="7"/>
  <c r="H23" i="7"/>
  <c r="I23" i="7"/>
  <c r="J23" i="7"/>
  <c r="K23" i="7"/>
  <c r="L23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E33" i="24" l="1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E6" i="1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2" i="25" l="1"/>
  <c r="E22" i="20"/>
  <c r="E22" i="26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E15" i="25" l="1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L9" i="13" l="1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C27" i="11" l="1"/>
  <c r="E27" i="11" s="1"/>
  <c r="E28" i="11" s="1"/>
  <c r="J6" i="11" s="1"/>
  <c r="E12" i="11"/>
  <c r="E14" i="11" s="1"/>
  <c r="M11" i="12"/>
  <c r="K11" i="12"/>
  <c r="K14" i="12" s="1"/>
  <c r="L11" i="12"/>
  <c r="D12" i="12"/>
  <c r="I12" i="12" s="1"/>
  <c r="C34" i="11"/>
  <c r="E34" i="11" s="1"/>
  <c r="E35" i="11" s="1"/>
  <c r="K6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2" i="26" l="1"/>
  <c r="D23" i="26" s="1"/>
  <c r="D22" i="25"/>
  <c r="D23" i="25" s="1"/>
  <c r="D22" i="20"/>
  <c r="D23" i="20" s="1"/>
  <c r="H55" i="4"/>
  <c r="J55" i="4"/>
  <c r="F55" i="4"/>
  <c r="L55" i="4"/>
  <c r="N55" i="4" s="1"/>
  <c r="P55" i="4" s="1"/>
  <c r="R55" i="4" s="1"/>
  <c r="T55" i="4" s="1"/>
  <c r="V55" i="4" s="1"/>
  <c r="M20" i="13"/>
  <c r="G22" i="13" s="1"/>
  <c r="L12" i="12"/>
  <c r="L14" i="12" s="1"/>
  <c r="M12" i="12"/>
  <c r="M13" i="12"/>
  <c r="M14" i="12"/>
  <c r="H56" i="4"/>
  <c r="P52" i="4"/>
  <c r="N52" i="4"/>
  <c r="L52" i="4"/>
  <c r="J52" i="4"/>
  <c r="H57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L20" i="13"/>
  <c r="F22" i="13" s="1"/>
  <c r="K20" i="13"/>
  <c r="E22" i="13" s="1"/>
  <c r="F5" i="12"/>
  <c r="K16" i="13"/>
  <c r="L16" i="13"/>
  <c r="G5" i="12"/>
  <c r="F12" i="13"/>
  <c r="K9" i="13"/>
  <c r="E12" i="13" s="1"/>
  <c r="B6" i="10"/>
  <c r="X55" i="4" l="1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E17" i="27" s="1"/>
  <c r="G16" i="27"/>
  <c r="G17" i="27" s="1"/>
  <c r="G19" i="27" s="1"/>
  <c r="F16" i="27"/>
  <c r="F17" i="27" s="1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6"/>
  <c r="F16" i="25"/>
  <c r="G6" i="9"/>
  <c r="M11" i="13" s="1"/>
  <c r="G16" i="26"/>
  <c r="G16" i="20"/>
  <c r="G16" i="25"/>
  <c r="D22" i="13"/>
  <c r="D23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F19" i="27"/>
  <c r="G20" i="27"/>
  <c r="G21" i="27" s="1"/>
  <c r="G23" i="27" s="1"/>
  <c r="B7" i="10"/>
  <c r="B9" i="10" s="1"/>
  <c r="E19" i="27"/>
  <c r="F20" i="27"/>
  <c r="F21" i="27" s="1"/>
  <c r="F23" i="27" s="1"/>
  <c r="E21" i="27"/>
  <c r="E23" i="27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G29" i="27" l="1"/>
  <c r="G28" i="27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6"/>
  <c r="I88" i="4"/>
  <c r="J86" i="4"/>
  <c r="L5" i="13"/>
  <c r="C10" i="10"/>
  <c r="D57" i="4"/>
  <c r="F11" i="13"/>
  <c r="F17" i="13" s="1"/>
  <c r="O85" i="4"/>
  <c r="N85" i="4"/>
  <c r="J88" i="4"/>
  <c r="K86" i="4"/>
  <c r="F18" i="26" l="1"/>
  <c r="F17" i="26"/>
  <c r="F18" i="25"/>
  <c r="F17" i="25"/>
  <c r="K88" i="4"/>
  <c r="L86" i="4"/>
  <c r="F18" i="20"/>
  <c r="F17" i="20"/>
  <c r="L88" i="4"/>
  <c r="M86" i="4"/>
  <c r="F18" i="13"/>
  <c r="F19" i="13" s="1"/>
  <c r="P85" i="4"/>
  <c r="Q85" i="4"/>
  <c r="G20" i="26" l="1"/>
  <c r="F19" i="26"/>
  <c r="F19" i="25"/>
  <c r="G20" i="25"/>
  <c r="M88" i="4"/>
  <c r="N86" i="4"/>
  <c r="G20" i="20"/>
  <c r="F19" i="20"/>
  <c r="R85" i="4"/>
  <c r="S85" i="4"/>
  <c r="G20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K5" i="13"/>
  <c r="B10" i="10"/>
  <c r="E11" i="13"/>
  <c r="U86" i="4"/>
  <c r="Y85" i="4"/>
  <c r="E18" i="26" l="1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F20" i="25" l="1"/>
  <c r="F21" i="25" s="1"/>
  <c r="F23" i="25" s="1"/>
  <c r="E19" i="25"/>
  <c r="E21" i="25"/>
  <c r="E23" i="25" s="1"/>
  <c r="E19" i="26"/>
  <c r="F20" i="26"/>
  <c r="F21" i="26" s="1"/>
  <c r="F23" i="26" s="1"/>
  <c r="E21" i="26"/>
  <c r="E23" i="26" s="1"/>
  <c r="W88" i="4"/>
  <c r="X86" i="4"/>
  <c r="E19" i="13"/>
  <c r="E19" i="20"/>
  <c r="E21" i="20"/>
  <c r="E23" i="20" s="1"/>
  <c r="F20" i="20"/>
  <c r="F21" i="20" s="1"/>
  <c r="F23" i="20" s="1"/>
  <c r="E21" i="13"/>
  <c r="E23" i="13" s="1"/>
  <c r="F20" i="13"/>
  <c r="F21" i="13" s="1"/>
  <c r="F23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6" l="1"/>
  <c r="G12" i="25"/>
  <c r="M5" i="13"/>
  <c r="D10" i="10"/>
  <c r="G11" i="13"/>
  <c r="G17" i="13" s="1"/>
  <c r="G18" i="25" l="1"/>
  <c r="G17" i="25"/>
  <c r="G18" i="26"/>
  <c r="G17" i="26"/>
  <c r="G18" i="20"/>
  <c r="G17" i="20"/>
  <c r="G18" i="13"/>
  <c r="G19" i="13" s="1"/>
  <c r="G19" i="25" l="1"/>
  <c r="G21" i="25"/>
  <c r="G23" i="25" s="1"/>
  <c r="G19" i="26"/>
  <c r="G21" i="26"/>
  <c r="G23" i="26" s="1"/>
  <c r="G19" i="20"/>
  <c r="G21" i="20"/>
  <c r="G23" i="20" s="1"/>
  <c r="G21" i="13"/>
  <c r="G23" i="13" s="1"/>
  <c r="G28" i="26" l="1"/>
  <c r="G29" i="26"/>
  <c r="G28" i="25"/>
  <c r="G29" i="25"/>
  <c r="G28" i="20"/>
  <c r="G29" i="20"/>
  <c r="G28" i="13"/>
  <c r="G29" i="13"/>
</calcChain>
</file>

<file path=xl/sharedStrings.xml><?xml version="1.0" encoding="utf-8"?>
<sst xmlns="http://schemas.openxmlformats.org/spreadsheetml/2006/main" count="1485" uniqueCount="283">
  <si>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</si>
  <si>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</si>
  <si>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</si>
  <si>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</si>
  <si>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</si>
  <si>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</si>
  <si>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</si>
  <si>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</si>
  <si>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</si>
  <si>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</si>
  <si>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</si>
  <si>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</si>
  <si>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</si>
  <si>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</si>
  <si>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</si>
  <si>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</si>
  <si>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</si>
  <si>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</si>
  <si>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</si>
  <si>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</si>
  <si>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</si>
  <si>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</si>
  <si>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</si>
  <si>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</si>
  <si>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</si>
  <si>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</si>
  <si>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</si>
  <si>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</si>
  <si>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</si>
  <si>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</si>
  <si>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</si>
  <si>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</si>
  <si>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</si>
  <si>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</si>
  <si>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</si>
  <si>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</si>
  <si>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</si>
  <si>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</si>
  <si>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</si>
  <si>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</si>
  <si>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</si>
  <si>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</si>
  <si>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</si>
  <si>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</si>
  <si>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</si>
  <si>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</si>
  <si>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</si>
  <si>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</si>
  <si>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</si>
  <si>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</si>
  <si>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</si>
  <si>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</si>
  <si>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</si>
  <si>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</si>
  <si>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</si>
  <si>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</si>
  <si>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</si>
  <si>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</si>
  <si>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</si>
  <si>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</si>
  <si>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</si>
  <si>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</si>
  <si>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</si>
  <si>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</si>
  <si>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</si>
  <si>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</si>
  <si>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</si>
  <si>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</si>
  <si>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</si>
  <si>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</si>
  <si>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</si>
  <si>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</si>
  <si>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</si>
  <si>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</si>
  <si>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</si>
  <si>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</si>
  <si>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</si>
  <si>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</si>
  <si>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</si>
  <si>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</si>
  <si>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</si>
  <si>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</si>
  <si>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</si>
  <si>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</si>
  <si>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</si>
  <si>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</si>
  <si>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</si>
  <si>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</si>
  <si>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</si>
  <si>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</si>
  <si>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</si>
  <si>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</si>
  <si>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</si>
  <si>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</si>
  <si>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</si>
  <si>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</si>
  <si>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</si>
  <si>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</si>
  <si>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</si>
  <si>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</si>
  <si>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</si>
  <si>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</si>
  <si>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</si>
  <si>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</si>
  <si>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</si>
  <si>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</si>
  <si>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</si>
  <si>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</si>
  <si>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</si>
  <si>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</si>
  <si>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</si>
  <si>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</si>
  <si>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</si>
  <si>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</si>
  <si>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</si>
  <si>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</si>
  <si>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</si>
  <si>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</si>
  <si>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</si>
  <si>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</si>
  <si>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</si>
  <si>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</si>
  <si>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</si>
  <si>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</si>
  <si>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</si>
  <si>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</si>
  <si>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</si>
  <si>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</si>
  <si>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</si>
  <si>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</si>
  <si>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</si>
  <si>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</si>
  <si>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</si>
  <si>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</si>
  <si>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</si>
  <si>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</si>
  <si>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</si>
  <si>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</si>
  <si>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</si>
  <si>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</si>
  <si>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</si>
  <si>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Monto Imponible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</si>
  <si>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</si>
  <si>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</si>
  <si>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</si>
  <si>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</si>
  <si>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</si>
  <si>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</si>
  <si>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</si>
  <si>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</si>
  <si>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</si>
  <si>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</si>
  <si>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</si>
  <si>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</si>
  <si>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</si>
  <si>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</si>
  <si>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</si>
  <si>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</si>
  <si>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</si>
  <si>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</si>
  <si>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</si>
  <si>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</si>
  <si>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</si>
  <si>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</si>
  <si>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</si>
  <si>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</si>
  <si>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</si>
  <si>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</si>
  <si>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</si>
  <si>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</si>
  <si>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 xml:space="preserve">Alta 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</si>
  <si>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</si>
  <si>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</si>
  <si>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</si>
  <si>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</si>
  <si>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</si>
  <si>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</si>
  <si>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</si>
  <si>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</si>
  <si>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</si>
  <si>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</si>
  <si>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</si>
  <si>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</si>
  <si>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</si>
  <si>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</si>
  <si>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</si>
  <si>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</si>
  <si>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</si>
  <si>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</si>
  <si>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</si>
  <si>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</si>
  <si>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</si>
  <si>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</si>
  <si>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</si>
  <si>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</si>
  <si>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</si>
  <si>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</si>
  <si>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</si>
  <si>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</si>
  <si>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</si>
  <si>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</si>
  <si>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</si>
  <si>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</si>
  <si>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</si>
  <si>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</si>
  <si>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</si>
  <si>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</si>
  <si>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</si>
  <si>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</si>
  <si>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</si>
  <si>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</si>
  <si>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</si>
  <si>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</si>
  <si>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</si>
  <si>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</si>
  <si>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</si>
  <si>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</si>
  <si>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</si>
  <si>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</si>
  <si>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</si>
  <si>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</si>
  <si>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</si>
  <si>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</si>
  <si>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</si>
  <si>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</si>
  <si>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</si>
  <si>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</si>
  <si>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</si>
  <si>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</si>
  <si>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</si>
  <si>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</si>
  <si>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</si>
  <si>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</si>
  <si>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</si>
  <si>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</si>
  <si>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</si>
  <si>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</si>
  <si>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</si>
  <si>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</si>
  <si>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</si>
  <si>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</si>
  <si>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</si>
  <si>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</si>
  <si>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</si>
  <si>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</si>
  <si>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</si>
  <si>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</si>
  <si>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</si>
  <si>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</si>
  <si>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</si>
  <si>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</si>
  <si>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</si>
  <si>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</si>
  <si>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</si>
  <si>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</si>
  <si>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</si>
  <si>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</si>
  <si>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</si>
  <si>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</si>
  <si>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</si>
  <si>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</si>
  <si>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</si>
  <si>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</si>
  <si>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</si>
  <si>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Desarrollo de nuevas features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</si>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</sst>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</fills>
  <borders count="12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8" fillId="0" borderId="75"/>
    <xf numFmtId="0" fontId="21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3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4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6" fillId="0" borderId="75"/>
    <xf numFmtId="179" fontId="36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7" fillId="0" borderId="0" applyFont="0" applyFill="0" applyBorder="0" applyAlignment="0" applyProtection="0"/>
    <xf numFmtId="43" fontId="48" fillId="0" borderId="0" applyFont="0" applyFill="0" applyBorder="0" applyAlignment="0" applyProtection="0"/>
  </cellStyleXfs>
  <cellXfs count="610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4" fillId="0" borderId="0" xfId="0" applyFont="1"/>
    <xf numFmtId="0" fontId="6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20" fillId="2" borderId="1" xfId="0" applyFont="1" applyFill="1" applyBorder="1" applyAlignment="1">
      <alignment horizontal="left" vertical="top" wrapText="1"/>
    </xf>
    <xf numFmtId="0" fontId="20" fillId="2" borderId="15" xfId="0" applyFont="1" applyFill="1" applyBorder="1" applyAlignment="1">
      <alignment horizontal="center" vertical="top" wrapText="1"/>
    </xf>
    <xf numFmtId="170" fontId="20" fillId="2" borderId="15" xfId="0" applyNumberFormat="1" applyFont="1" applyFill="1" applyBorder="1" applyAlignment="1">
      <alignment horizontal="center" vertical="top" wrapText="1"/>
    </xf>
    <xf numFmtId="169" fontId="20" fillId="2" borderId="15" xfId="0" applyNumberFormat="1" applyFont="1" applyFill="1" applyBorder="1" applyAlignment="1">
      <alignment horizontal="left" vertical="top" wrapText="1"/>
    </xf>
    <xf numFmtId="9" fontId="20" fillId="2" borderId="1" xfId="0" applyNumberFormat="1" applyFont="1" applyFill="1" applyBorder="1" applyAlignment="1">
      <alignment horizontal="left" vertical="top" wrapText="1"/>
    </xf>
    <xf numFmtId="169" fontId="20" fillId="2" borderId="1" xfId="0" applyNumberFormat="1" applyFont="1" applyFill="1" applyBorder="1" applyAlignment="1">
      <alignment horizontal="left" vertical="top" wrapText="1"/>
    </xf>
    <xf numFmtId="171" fontId="20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2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2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2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2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2" fillId="2" borderId="70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1" fontId="22" fillId="0" borderId="72" xfId="0" applyNumberFormat="1" applyFont="1" applyBorder="1" applyAlignment="1">
      <alignment horizontal="center" vertical="center" wrapText="1"/>
    </xf>
    <xf numFmtId="0" fontId="22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/>
    </xf>
    <xf numFmtId="173" fontId="6" fillId="2" borderId="15" xfId="0" applyNumberFormat="1" applyFont="1" applyFill="1" applyBorder="1" applyAlignment="1">
      <alignment horizontal="center"/>
    </xf>
    <xf numFmtId="171" fontId="18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8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2" fillId="8" borderId="19" xfId="0" applyFont="1" applyFill="1" applyBorder="1" applyAlignment="1">
      <alignment wrapText="1"/>
    </xf>
    <xf numFmtId="169" fontId="22" fillId="8" borderId="20" xfId="0" applyNumberFormat="1" applyFont="1" applyFill="1" applyBorder="1" applyAlignment="1">
      <alignment wrapText="1"/>
    </xf>
    <xf numFmtId="169" fontId="22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2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2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2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6" fillId="0" borderId="15" xfId="0" applyNumberFormat="1" applyFont="1" applyBorder="1" applyAlignment="1">
      <alignment horizontal="center"/>
    </xf>
    <xf numFmtId="173" fontId="22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173" fontId="6" fillId="2" borderId="29" xfId="0" applyNumberFormat="1" applyFont="1" applyFill="1" applyBorder="1" applyAlignment="1">
      <alignment horizontal="center"/>
    </xf>
    <xf numFmtId="173" fontId="6" fillId="2" borderId="30" xfId="0" applyNumberFormat="1" applyFont="1" applyFill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57" xfId="0" applyFont="1" applyBorder="1" applyAlignment="1">
      <alignment horizontal="center"/>
    </xf>
    <xf numFmtId="0" fontId="6" fillId="0" borderId="42" xfId="0" applyFont="1" applyBorder="1"/>
    <xf numFmtId="0" fontId="6" fillId="0" borderId="77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173" fontId="6" fillId="0" borderId="104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2" fillId="5" borderId="23" xfId="0" applyNumberFormat="1" applyFont="1" applyFill="1" applyBorder="1"/>
    <xf numFmtId="9" fontId="22" fillId="3" borderId="48" xfId="0" applyNumberFormat="1" applyFont="1" applyFill="1" applyBorder="1" applyAlignment="1">
      <alignment horizontal="center"/>
    </xf>
    <xf numFmtId="173" fontId="22" fillId="5" borderId="29" xfId="0" applyNumberFormat="1" applyFont="1" applyFill="1" applyBorder="1"/>
    <xf numFmtId="164" fontId="22" fillId="3" borderId="30" xfId="0" applyNumberFormat="1" applyFont="1" applyFill="1" applyBorder="1" applyAlignment="1">
      <alignment horizontal="center"/>
    </xf>
    <xf numFmtId="173" fontId="22" fillId="5" borderId="19" xfId="0" applyNumberFormat="1" applyFont="1" applyFill="1" applyBorder="1"/>
    <xf numFmtId="9" fontId="22" fillId="3" borderId="35" xfId="0" applyNumberFormat="1" applyFont="1" applyFill="1" applyBorder="1" applyAlignment="1">
      <alignment horizontal="center"/>
    </xf>
    <xf numFmtId="169" fontId="22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2" fillId="9" borderId="43" xfId="0" applyFont="1" applyFill="1" applyBorder="1" applyAlignment="1">
      <alignment horizontal="center" vertical="center"/>
    </xf>
    <xf numFmtId="1" fontId="6" fillId="2" borderId="110" xfId="0" applyNumberFormat="1" applyFont="1" applyFill="1" applyBorder="1"/>
    <xf numFmtId="173" fontId="6" fillId="0" borderId="110" xfId="0" applyNumberFormat="1" applyFont="1" applyBorder="1" applyAlignment="1">
      <alignment horizontal="left" wrapText="1"/>
    </xf>
    <xf numFmtId="1" fontId="6" fillId="10" borderId="110" xfId="0" applyNumberFormat="1" applyFont="1" applyFill="1" applyBorder="1"/>
    <xf numFmtId="0" fontId="29" fillId="0" borderId="110" xfId="0" applyFont="1" applyBorder="1" applyAlignment="1">
      <alignment horizontal="center" vertical="center"/>
    </xf>
    <xf numFmtId="0" fontId="29" fillId="0" borderId="110" xfId="0" applyFont="1" applyBorder="1" applyAlignment="1">
      <alignment horizontal="center"/>
    </xf>
    <xf numFmtId="0" fontId="6" fillId="11" borderId="1" xfId="0" applyFont="1" applyFill="1" applyBorder="1"/>
    <xf numFmtId="173" fontId="22" fillId="5" borderId="110" xfId="0" applyNumberFormat="1" applyFont="1" applyFill="1" applyBorder="1"/>
    <xf numFmtId="0" fontId="6" fillId="0" borderId="110" xfId="0" applyFont="1" applyBorder="1" applyAlignment="1">
      <alignment vertical="center"/>
    </xf>
    <xf numFmtId="173" fontId="6" fillId="0" borderId="110" xfId="0" applyNumberFormat="1" applyFont="1" applyBorder="1" applyAlignment="1">
      <alignment horizontal="center"/>
    </xf>
    <xf numFmtId="0" fontId="27" fillId="0" borderId="110" xfId="0" applyFont="1" applyBorder="1"/>
    <xf numFmtId="0" fontId="21" fillId="0" borderId="0" xfId="2" applyAlignment="1"/>
    <xf numFmtId="10" fontId="6" fillId="2" borderId="1" xfId="0" applyNumberFormat="1" applyFont="1" applyFill="1" applyBorder="1"/>
    <xf numFmtId="173" fontId="29" fillId="0" borderId="113" xfId="0" applyNumberFormat="1" applyFont="1" applyBorder="1" applyAlignment="1">
      <alignment horizontal="left" wrapText="1"/>
    </xf>
    <xf numFmtId="0" fontId="29" fillId="0" borderId="113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9" fillId="0" borderId="113" xfId="0" applyNumberFormat="1" applyFont="1" applyBorder="1" applyAlignment="1">
      <alignment horizontal="center"/>
    </xf>
    <xf numFmtId="173" fontId="6" fillId="9" borderId="95" xfId="0" applyNumberFormat="1" applyFont="1" applyFill="1" applyBorder="1" applyAlignment="1">
      <alignment horizontal="center"/>
    </xf>
    <xf numFmtId="0" fontId="4" fillId="15" borderId="75" xfId="10" applyFill="1"/>
    <xf numFmtId="0" fontId="38" fillId="2" borderId="1" xfId="2" applyFont="1" applyFill="1" applyBorder="1" applyAlignment="1">
      <alignment horizontal="left"/>
    </xf>
    <xf numFmtId="0" fontId="6" fillId="17" borderId="1" xfId="0" applyFont="1" applyFill="1" applyBorder="1"/>
    <xf numFmtId="0" fontId="41" fillId="17" borderId="15" xfId="0" applyFont="1" applyFill="1" applyBorder="1" applyAlignment="1">
      <alignment horizontal="center" vertical="top" wrapText="1"/>
    </xf>
    <xf numFmtId="0" fontId="41" fillId="17" borderId="15" xfId="0" applyFont="1" applyFill="1" applyBorder="1" applyAlignment="1">
      <alignment horizontal="left" vertical="top" wrapText="1"/>
    </xf>
    <xf numFmtId="0" fontId="17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7" fillId="2" borderId="75" xfId="0" applyNumberFormat="1" applyFont="1" applyFill="1" applyBorder="1" applyAlignment="1">
      <alignment horizontal="left" vertical="top" wrapText="1"/>
    </xf>
    <xf numFmtId="168" fontId="17" fillId="2" borderId="75" xfId="0" applyNumberFormat="1" applyFont="1" applyFill="1" applyBorder="1" applyAlignment="1">
      <alignment horizontal="left" vertical="top" wrapText="1"/>
    </xf>
    <xf numFmtId="169" fontId="19" fillId="19" borderId="75" xfId="0" applyNumberFormat="1" applyFont="1" applyFill="1" applyBorder="1" applyAlignment="1">
      <alignment horizontal="left" vertical="top" wrapText="1"/>
    </xf>
    <xf numFmtId="0" fontId="18" fillId="17" borderId="110" xfId="0" applyFont="1" applyFill="1" applyBorder="1" applyAlignment="1">
      <alignment horizontal="center" vertical="center" wrapText="1"/>
    </xf>
    <xf numFmtId="167" fontId="17" fillId="2" borderId="110" xfId="0" applyNumberFormat="1" applyFont="1" applyFill="1" applyBorder="1" applyAlignment="1">
      <alignment horizontal="left" vertical="top" wrapText="1"/>
    </xf>
    <xf numFmtId="168" fontId="17" fillId="2" borderId="110" xfId="0" applyNumberFormat="1" applyFont="1" applyFill="1" applyBorder="1" applyAlignment="1">
      <alignment horizontal="left" vertical="top" wrapText="1"/>
    </xf>
    <xf numFmtId="169" fontId="19" fillId="3" borderId="110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9" fillId="17" borderId="19" xfId="0" applyFont="1" applyFill="1" applyBorder="1" applyAlignment="1">
      <alignment horizontal="left" vertical="top" wrapText="1"/>
    </xf>
    <xf numFmtId="0" fontId="19" fillId="17" borderId="20" xfId="0" applyFont="1" applyFill="1" applyBorder="1" applyAlignment="1">
      <alignment horizontal="left" vertical="top" wrapText="1"/>
    </xf>
    <xf numFmtId="0" fontId="18" fillId="20" borderId="23" xfId="0" applyFont="1" applyFill="1" applyBorder="1" applyAlignment="1">
      <alignment vertical="center"/>
    </xf>
    <xf numFmtId="172" fontId="18" fillId="20" borderId="24" xfId="0" applyNumberFormat="1" applyFont="1" applyFill="1" applyBorder="1" applyAlignment="1">
      <alignment vertical="center"/>
    </xf>
    <xf numFmtId="0" fontId="18" fillId="21" borderId="23" xfId="0" applyFont="1" applyFill="1" applyBorder="1" applyAlignment="1">
      <alignment vertical="center"/>
    </xf>
    <xf numFmtId="172" fontId="18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2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173" fontId="29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2" fillId="17" borderId="1" xfId="0" applyFont="1" applyFill="1" applyBorder="1" applyAlignment="1">
      <alignment vertical="center"/>
    </xf>
    <xf numFmtId="0" fontId="31" fillId="17" borderId="103" xfId="0" applyFont="1" applyFill="1" applyBorder="1" applyAlignment="1">
      <alignment horizontal="center" vertical="center" wrapText="1"/>
    </xf>
    <xf numFmtId="0" fontId="22" fillId="17" borderId="103" xfId="0" applyFont="1" applyFill="1" applyBorder="1" applyAlignment="1">
      <alignment horizontal="center" vertical="center" wrapText="1"/>
    </xf>
    <xf numFmtId="0" fontId="18" fillId="34" borderId="23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center" vertical="center"/>
    </xf>
    <xf numFmtId="0" fontId="22" fillId="31" borderId="54" xfId="0" applyFont="1" applyFill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2" fillId="15" borderId="108" xfId="0" applyFont="1" applyFill="1" applyBorder="1" applyAlignment="1">
      <alignment horizontal="center" vertical="center"/>
    </xf>
    <xf numFmtId="173" fontId="6" fillId="0" borderId="75" xfId="0" applyNumberFormat="1" applyFont="1" applyBorder="1" applyAlignment="1">
      <alignment horizontal="left" wrapText="1"/>
    </xf>
    <xf numFmtId="0" fontId="28" fillId="0" borderId="0" xfId="0" applyFont="1"/>
    <xf numFmtId="0" fontId="6" fillId="41" borderId="1" xfId="0" applyFont="1" applyFill="1" applyBorder="1"/>
    <xf numFmtId="0" fontId="12" fillId="41" borderId="1" xfId="0" applyFont="1" applyFill="1" applyBorder="1" applyAlignment="1">
      <alignment vertical="center"/>
    </xf>
    <xf numFmtId="0" fontId="24" fillId="41" borderId="1" xfId="0" applyFont="1" applyFill="1" applyBorder="1" applyAlignment="1">
      <alignment vertical="center"/>
    </xf>
    <xf numFmtId="0" fontId="22" fillId="41" borderId="15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8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8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8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8" fillId="41" borderId="51" xfId="0" applyNumberFormat="1" applyFont="1" applyFill="1" applyBorder="1" applyAlignment="1">
      <alignment horizontal="center" wrapText="1"/>
    </xf>
    <xf numFmtId="171" fontId="23" fillId="41" borderId="64" xfId="0" applyNumberFormat="1" applyFont="1" applyFill="1" applyBorder="1" applyAlignment="1">
      <alignment horizontal="center" vertical="center" wrapText="1"/>
    </xf>
    <xf numFmtId="171" fontId="23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2" fillId="29" borderId="1" xfId="0" applyFont="1" applyFill="1" applyBorder="1" applyAlignment="1">
      <alignment vertical="center"/>
    </xf>
    <xf numFmtId="0" fontId="24" fillId="29" borderId="1" xfId="0" applyFont="1" applyFill="1" applyBorder="1" applyAlignment="1">
      <alignment vertical="center"/>
    </xf>
    <xf numFmtId="0" fontId="22" fillId="41" borderId="29" xfId="0" applyFont="1" applyFill="1" applyBorder="1" applyAlignment="1">
      <alignment horizontal="center"/>
    </xf>
    <xf numFmtId="0" fontId="22" fillId="41" borderId="30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/>
    </xf>
    <xf numFmtId="169" fontId="22" fillId="41" borderId="2" xfId="0" applyNumberFormat="1" applyFont="1" applyFill="1" applyBorder="1" applyAlignment="1">
      <alignment horizontal="center"/>
    </xf>
    <xf numFmtId="0" fontId="47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7" fillId="41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left"/>
    </xf>
    <xf numFmtId="0" fontId="22" fillId="41" borderId="2" xfId="0" applyFont="1" applyFill="1" applyBorder="1"/>
    <xf numFmtId="172" fontId="18" fillId="34" borderId="24" xfId="0" applyNumberFormat="1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26" fillId="41" borderId="1" xfId="0" applyFont="1" applyFill="1" applyBorder="1" applyAlignment="1">
      <alignment vertical="center"/>
    </xf>
    <xf numFmtId="0" fontId="11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2" fillId="47" borderId="2" xfId="0" applyNumberFormat="1" applyFont="1" applyFill="1" applyBorder="1" applyAlignment="1">
      <alignment horizontal="center" vertical="center"/>
    </xf>
    <xf numFmtId="167" fontId="22" fillId="33" borderId="2" xfId="0" applyNumberFormat="1" applyFont="1" applyFill="1" applyBorder="1" applyAlignment="1">
      <alignment horizontal="center" vertical="center"/>
    </xf>
    <xf numFmtId="169" fontId="22" fillId="37" borderId="2" xfId="0" applyNumberFormat="1" applyFont="1" applyFill="1" applyBorder="1" applyAlignment="1">
      <alignment horizontal="center" vertical="center"/>
    </xf>
    <xf numFmtId="174" fontId="18" fillId="34" borderId="2" xfId="0" applyNumberFormat="1" applyFont="1" applyFill="1" applyBorder="1" applyAlignment="1">
      <alignment horizontal="center" vertical="center"/>
    </xf>
    <xf numFmtId="44" fontId="20" fillId="42" borderId="2" xfId="19" applyFont="1" applyFill="1" applyBorder="1" applyAlignment="1">
      <alignment horizontal="center" vertical="center"/>
    </xf>
    <xf numFmtId="44" fontId="18" fillId="34" borderId="2" xfId="19" applyFont="1" applyFill="1" applyBorder="1" applyAlignment="1">
      <alignment horizontal="center" vertical="center"/>
    </xf>
    <xf numFmtId="169" fontId="22" fillId="43" borderId="2" xfId="0" applyNumberFormat="1" applyFont="1" applyFill="1" applyBorder="1" applyAlignment="1">
      <alignment horizontal="center" vertical="center"/>
    </xf>
    <xf numFmtId="174" fontId="18" fillId="26" borderId="2" xfId="0" applyNumberFormat="1" applyFont="1" applyFill="1" applyBorder="1" applyAlignment="1">
      <alignment horizontal="center" vertical="center"/>
    </xf>
    <xf numFmtId="44" fontId="20" fillId="44" borderId="2" xfId="19" applyFont="1" applyFill="1" applyBorder="1" applyAlignment="1">
      <alignment horizontal="center" vertical="center"/>
    </xf>
    <xf numFmtId="44" fontId="18" fillId="26" borderId="2" xfId="19" applyFont="1" applyFill="1" applyBorder="1" applyAlignment="1">
      <alignment horizontal="center" vertical="center"/>
    </xf>
    <xf numFmtId="169" fontId="22" fillId="45" borderId="2" xfId="0" applyNumberFormat="1" applyFont="1" applyFill="1" applyBorder="1" applyAlignment="1">
      <alignment horizontal="center" vertical="center"/>
    </xf>
    <xf numFmtId="174" fontId="18" fillId="27" borderId="2" xfId="0" applyNumberFormat="1" applyFont="1" applyFill="1" applyBorder="1" applyAlignment="1">
      <alignment horizontal="center" vertical="center"/>
    </xf>
    <xf numFmtId="44" fontId="20" fillId="46" borderId="2" xfId="19" applyFont="1" applyFill="1" applyBorder="1" applyAlignment="1">
      <alignment horizontal="center" vertical="center"/>
    </xf>
    <xf numFmtId="44" fontId="18" fillId="27" borderId="2" xfId="19" applyFont="1" applyFill="1" applyBorder="1" applyAlignment="1">
      <alignment horizontal="center" vertical="center"/>
    </xf>
    <xf numFmtId="174" fontId="18" fillId="24" borderId="2" xfId="0" applyNumberFormat="1" applyFont="1" applyFill="1" applyBorder="1" applyAlignment="1">
      <alignment horizontal="center" vertical="center"/>
    </xf>
    <xf numFmtId="169" fontId="22" fillId="2" borderId="2" xfId="0" applyNumberFormat="1" applyFont="1" applyFill="1" applyBorder="1" applyAlignment="1">
      <alignment horizontal="center" vertical="center"/>
    </xf>
    <xf numFmtId="174" fontId="18" fillId="13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171" fontId="20" fillId="25" borderId="2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8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8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2" fillId="30" borderId="2" xfId="0" applyNumberFormat="1" applyFont="1" applyFill="1" applyBorder="1" applyAlignment="1">
      <alignment horizontal="center" vertical="center"/>
    </xf>
    <xf numFmtId="169" fontId="22" fillId="36" borderId="2" xfId="0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9" fillId="0" borderId="2" xfId="0" applyNumberFormat="1" applyFont="1" applyBorder="1" applyAlignment="1">
      <alignment vertical="center"/>
    </xf>
    <xf numFmtId="0" fontId="28" fillId="30" borderId="110" xfId="0" applyFont="1" applyFill="1" applyBorder="1"/>
    <xf numFmtId="44" fontId="0" fillId="0" borderId="110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8" fillId="0" borderId="0" xfId="19" applyFont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10" fontId="18" fillId="41" borderId="2" xfId="0" applyNumberFormat="1" applyFont="1" applyFill="1" applyBorder="1" applyAlignment="1">
      <alignment horizontal="center" vertical="center"/>
    </xf>
    <xf numFmtId="9" fontId="18" fillId="41" borderId="2" xfId="0" applyNumberFormat="1" applyFont="1" applyFill="1" applyBorder="1" applyAlignment="1">
      <alignment horizontal="center" vertical="center"/>
    </xf>
    <xf numFmtId="169" fontId="22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10" xfId="0" applyNumberFormat="1" applyFont="1" applyBorder="1" applyAlignment="1">
      <alignment horizontal="center"/>
    </xf>
    <xf numFmtId="1" fontId="22" fillId="0" borderId="110" xfId="0" applyNumberFormat="1" applyFont="1" applyBorder="1" applyAlignment="1">
      <alignment horizont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8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8" fillId="41" borderId="19" xfId="0" applyFont="1" applyFill="1" applyBorder="1" applyAlignment="1">
      <alignment horizontal="center" vertical="center"/>
    </xf>
    <xf numFmtId="0" fontId="22" fillId="41" borderId="20" xfId="0" applyFont="1" applyFill="1" applyBorder="1" applyAlignment="1">
      <alignment horizontal="center"/>
    </xf>
    <xf numFmtId="175" fontId="22" fillId="41" borderId="20" xfId="0" applyNumberFormat="1" applyFont="1" applyFill="1" applyBorder="1" applyAlignment="1">
      <alignment horizontal="center"/>
    </xf>
    <xf numFmtId="0" fontId="18" fillId="41" borderId="45" xfId="0" applyFont="1" applyFill="1" applyBorder="1" applyAlignment="1">
      <alignment horizontal="center" vertical="center"/>
    </xf>
    <xf numFmtId="0" fontId="22" fillId="41" borderId="96" xfId="0" applyFont="1" applyFill="1" applyBorder="1" applyAlignment="1">
      <alignment horizontal="center"/>
    </xf>
    <xf numFmtId="0" fontId="18" fillId="41" borderId="110" xfId="0" applyFont="1" applyFill="1" applyBorder="1" applyAlignment="1">
      <alignment horizontal="center" vertical="center"/>
    </xf>
    <xf numFmtId="0" fontId="22" fillId="41" borderId="110" xfId="0" applyFont="1" applyFill="1" applyBorder="1" applyAlignment="1">
      <alignment horizontal="center"/>
    </xf>
    <xf numFmtId="175" fontId="22" fillId="41" borderId="110" xfId="0" applyNumberFormat="1" applyFont="1" applyFill="1" applyBorder="1" applyAlignment="1">
      <alignment horizontal="center"/>
    </xf>
    <xf numFmtId="0" fontId="22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2" fillId="41" borderId="87" xfId="0" applyFont="1" applyFill="1" applyBorder="1" applyAlignment="1">
      <alignment horizontal="center"/>
    </xf>
    <xf numFmtId="0" fontId="22" fillId="41" borderId="88" xfId="0" applyFont="1" applyFill="1" applyBorder="1" applyAlignment="1">
      <alignment horizontal="center"/>
    </xf>
    <xf numFmtId="0" fontId="22" fillId="41" borderId="89" xfId="0" applyFont="1" applyFill="1" applyBorder="1" applyAlignment="1">
      <alignment horizontal="center"/>
    </xf>
    <xf numFmtId="0" fontId="18" fillId="41" borderId="99" xfId="0" applyFont="1" applyFill="1" applyBorder="1" applyAlignment="1">
      <alignment horizontal="center"/>
    </xf>
    <xf numFmtId="0" fontId="18" fillId="41" borderId="98" xfId="0" applyFont="1" applyFill="1" applyBorder="1" applyAlignment="1">
      <alignment horizontal="center"/>
    </xf>
    <xf numFmtId="0" fontId="18" fillId="41" borderId="100" xfId="0" applyFont="1" applyFill="1" applyBorder="1" applyAlignment="1">
      <alignment horizontal="center"/>
    </xf>
    <xf numFmtId="0" fontId="28" fillId="0" borderId="110" xfId="0" applyFont="1" applyBorder="1" applyAlignment="1">
      <alignment horizontal="center"/>
    </xf>
    <xf numFmtId="0" fontId="28" fillId="0" borderId="110" xfId="0" applyFont="1" applyBorder="1" applyAlignment="1">
      <alignment horizontal="center" vertical="center"/>
    </xf>
    <xf numFmtId="0" fontId="28" fillId="0" borderId="110" xfId="1" applyBorder="1" applyAlignment="1">
      <alignment horizontal="center" vertic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9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8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9" fillId="41" borderId="3" xfId="0" applyFont="1" applyFill="1" applyBorder="1" applyAlignment="1">
      <alignment horizontal="center" vertical="center"/>
    </xf>
    <xf numFmtId="0" fontId="22" fillId="41" borderId="74" xfId="0" applyFont="1" applyFill="1" applyBorder="1"/>
    <xf numFmtId="0" fontId="22" fillId="41" borderId="80" xfId="0" applyFont="1" applyFill="1" applyBorder="1" applyAlignment="1">
      <alignment horizontal="center"/>
    </xf>
    <xf numFmtId="0" fontId="22" fillId="41" borderId="81" xfId="0" applyFont="1" applyFill="1" applyBorder="1" applyAlignment="1">
      <alignment horizontal="center"/>
    </xf>
    <xf numFmtId="0" fontId="22" fillId="41" borderId="73" xfId="0" applyFont="1" applyFill="1" applyBorder="1" applyAlignment="1">
      <alignment horizontal="center"/>
    </xf>
    <xf numFmtId="0" fontId="28" fillId="30" borderId="110" xfId="0" applyFont="1" applyFill="1" applyBorder="1" applyAlignment="1">
      <alignment horizontal="center"/>
    </xf>
    <xf numFmtId="0" fontId="22" fillId="41" borderId="19" xfId="0" applyFont="1" applyFill="1" applyBorder="1" applyAlignment="1">
      <alignment horizontal="center"/>
    </xf>
    <xf numFmtId="0" fontId="22" fillId="41" borderId="20" xfId="0" applyFont="1" applyFill="1" applyBorder="1" applyAlignment="1">
      <alignment horizontal="center" vertical="center" wrapText="1"/>
    </xf>
    <xf numFmtId="0" fontId="22" fillId="41" borderId="35" xfId="0" applyFont="1" applyFill="1" applyBorder="1" applyAlignment="1">
      <alignment horizontal="center"/>
    </xf>
    <xf numFmtId="0" fontId="22" fillId="41" borderId="55" xfId="0" applyFont="1" applyFill="1" applyBorder="1" applyAlignment="1">
      <alignment horizontal="center" vertical="center"/>
    </xf>
    <xf numFmtId="0" fontId="22" fillId="41" borderId="86" xfId="0" applyFont="1" applyFill="1" applyBorder="1" applyAlignment="1">
      <alignment horizontal="center" vertical="center"/>
    </xf>
    <xf numFmtId="0" fontId="6" fillId="53" borderId="72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center" vertical="center"/>
    </xf>
    <xf numFmtId="0" fontId="6" fillId="43" borderId="105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center" vertical="center"/>
    </xf>
    <xf numFmtId="0" fontId="6" fillId="54" borderId="80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center" vertical="center"/>
    </xf>
    <xf numFmtId="0" fontId="6" fillId="54" borderId="73" xfId="0" applyFont="1" applyFill="1" applyBorder="1" applyAlignment="1">
      <alignment horizontal="center" vertical="center"/>
    </xf>
    <xf numFmtId="0" fontId="35" fillId="30" borderId="110" xfId="10" applyFont="1" applyFill="1" applyBorder="1" applyAlignment="1">
      <alignment horizontal="center" vertical="center" wrapText="1"/>
    </xf>
    <xf numFmtId="0" fontId="35" fillId="30" borderId="110" xfId="10" applyFont="1" applyFill="1" applyBorder="1" applyAlignment="1">
      <alignment horizontal="center"/>
    </xf>
    <xf numFmtId="0" fontId="49" fillId="41" borderId="4" xfId="2" applyFont="1" applyFill="1" applyBorder="1" applyAlignment="1">
      <alignment horizontal="center" vertical="center"/>
    </xf>
    <xf numFmtId="0" fontId="49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2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7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9" fillId="41" borderId="91" xfId="2" quotePrefix="1" applyFont="1" applyFill="1" applyBorder="1" applyAlignment="1">
      <alignment horizontal="center" vertical="center"/>
    </xf>
    <xf numFmtId="0" fontId="22" fillId="9" borderId="38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9" fillId="15" borderId="113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6" borderId="2" xfId="0" applyNumberFormat="1" applyFont="1" applyFill="1" applyBorder="1" applyAlignment="1">
      <alignment horizontal="center"/>
    </xf>
    <xf numFmtId="169" fontId="6" fillId="55" borderId="2" xfId="0" applyNumberFormat="1" applyFont="1" applyFill="1" applyBorder="1" applyAlignment="1">
      <alignment horizontal="center"/>
    </xf>
    <xf numFmtId="169" fontId="50" fillId="9" borderId="2" xfId="0" applyNumberFormat="1" applyFont="1" applyFill="1" applyBorder="1" applyAlignment="1">
      <alignment horizontal="center"/>
    </xf>
    <xf numFmtId="169" fontId="50" fillId="15" borderId="2" xfId="0" applyNumberFormat="1" applyFont="1" applyFill="1" applyBorder="1" applyAlignment="1">
      <alignment horizontal="center"/>
    </xf>
    <xf numFmtId="0" fontId="6" fillId="0" borderId="110" xfId="0" applyFont="1" applyBorder="1" applyAlignment="1">
      <alignment horizontal="center" vertical="center"/>
    </xf>
    <xf numFmtId="0" fontId="42" fillId="30" borderId="114" xfId="0" applyFont="1" applyFill="1" applyBorder="1"/>
    <xf numFmtId="0" fontId="42" fillId="30" borderId="115" xfId="0" applyFont="1" applyFill="1" applyBorder="1"/>
    <xf numFmtId="0" fontId="42" fillId="30" borderId="116" xfId="0" applyFont="1" applyFill="1" applyBorder="1"/>
    <xf numFmtId="44" fontId="6" fillId="2" borderId="15" xfId="19" applyFont="1" applyFill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5" xfId="0" applyFont="1" applyBorder="1" applyAlignment="1">
      <alignment horizontal="center"/>
    </xf>
    <xf numFmtId="173" fontId="6" fillId="0" borderId="98" xfId="0" applyNumberFormat="1" applyFont="1" applyBorder="1" applyAlignment="1">
      <alignment horizontal="center"/>
    </xf>
    <xf numFmtId="0" fontId="0" fillId="55" borderId="0" xfId="0" applyFill="1"/>
    <xf numFmtId="0" fontId="51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8" fillId="0" borderId="110" xfId="19" applyFont="1" applyBorder="1"/>
    <xf numFmtId="180" fontId="28" fillId="0" borderId="110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6" fillId="15" borderId="0" xfId="0" applyFont="1" applyFill="1"/>
    <xf numFmtId="1" fontId="22" fillId="0" borderId="15" xfId="0" applyNumberFormat="1" applyFont="1" applyBorder="1" applyAlignment="1">
      <alignment horizont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left"/>
    </xf>
    <xf numFmtId="0" fontId="16" fillId="18" borderId="7" xfId="0" applyFont="1" applyFill="1" applyBorder="1"/>
    <xf numFmtId="0" fontId="16" fillId="18" borderId="8" xfId="0" applyFont="1" applyFill="1" applyBorder="1"/>
    <xf numFmtId="0" fontId="17" fillId="2" borderId="9" xfId="0" applyFont="1" applyFill="1" applyBorder="1" applyAlignment="1">
      <alignment horizontal="left" vertical="top" wrapText="1"/>
    </xf>
    <xf numFmtId="0" fontId="16" fillId="0" borderId="10" xfId="0" applyFont="1" applyBorder="1"/>
    <xf numFmtId="0" fontId="16" fillId="0" borderId="11" xfId="0" applyFont="1" applyBorder="1"/>
    <xf numFmtId="0" fontId="17" fillId="2" borderId="12" xfId="0" applyFont="1" applyFill="1" applyBorder="1" applyAlignment="1">
      <alignment horizontal="left" vertical="top" wrapText="1"/>
    </xf>
    <xf numFmtId="0" fontId="16" fillId="0" borderId="13" xfId="0" applyFont="1" applyBorder="1"/>
    <xf numFmtId="0" fontId="16" fillId="0" borderId="14" xfId="0" applyFont="1" applyBorder="1"/>
    <xf numFmtId="0" fontId="15" fillId="17" borderId="54" xfId="0" applyFont="1" applyFill="1" applyBorder="1" applyAlignment="1">
      <alignment horizontal="left"/>
    </xf>
    <xf numFmtId="0" fontId="15" fillId="17" borderId="7" xfId="0" applyFont="1" applyFill="1" applyBorder="1" applyAlignment="1">
      <alignment horizontal="left"/>
    </xf>
    <xf numFmtId="0" fontId="15" fillId="17" borderId="53" xfId="0" applyFont="1" applyFill="1" applyBorder="1" applyAlignment="1">
      <alignment horizontal="left"/>
    </xf>
    <xf numFmtId="0" fontId="17" fillId="2" borderId="47" xfId="0" applyFont="1" applyFill="1" applyBorder="1" applyAlignment="1">
      <alignment horizontal="left" vertical="top" wrapText="1"/>
    </xf>
    <xf numFmtId="0" fontId="17" fillId="2" borderId="65" xfId="0" applyFont="1" applyFill="1" applyBorder="1" applyAlignment="1">
      <alignment horizontal="left" vertical="top" wrapText="1"/>
    </xf>
    <xf numFmtId="0" fontId="17" fillId="2" borderId="49" xfId="0" applyFont="1" applyFill="1" applyBorder="1" applyAlignment="1">
      <alignment horizontal="left" vertical="top" wrapText="1"/>
    </xf>
    <xf numFmtId="0" fontId="40" fillId="17" borderId="54" xfId="0" applyFont="1" applyFill="1" applyBorder="1" applyAlignment="1">
      <alignment horizontal="left"/>
    </xf>
    <xf numFmtId="0" fontId="40" fillId="17" borderId="7" xfId="0" applyFont="1" applyFill="1" applyBorder="1" applyAlignment="1">
      <alignment horizontal="left"/>
    </xf>
    <xf numFmtId="0" fontId="40" fillId="17" borderId="53" xfId="0" applyFont="1" applyFill="1" applyBorder="1" applyAlignment="1">
      <alignment horizontal="left"/>
    </xf>
    <xf numFmtId="0" fontId="15" fillId="17" borderId="66" xfId="0" applyFont="1" applyFill="1" applyBorder="1" applyAlignment="1">
      <alignment horizontal="center"/>
    </xf>
    <xf numFmtId="0" fontId="15" fillId="17" borderId="65" xfId="0" applyFont="1" applyFill="1" applyBorder="1" applyAlignment="1">
      <alignment horizontal="center"/>
    </xf>
    <xf numFmtId="0" fontId="15" fillId="17" borderId="82" xfId="0" applyFont="1" applyFill="1" applyBorder="1" applyAlignment="1">
      <alignment horizontal="center"/>
    </xf>
    <xf numFmtId="0" fontId="19" fillId="17" borderId="21" xfId="0" applyFont="1" applyFill="1" applyBorder="1" applyAlignment="1">
      <alignment horizontal="center" vertical="top" wrapText="1"/>
    </xf>
    <xf numFmtId="0" fontId="19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5" fillId="29" borderId="92" xfId="0" applyFont="1" applyFill="1" applyBorder="1" applyAlignment="1">
      <alignment horizontal="center" vertical="center"/>
    </xf>
    <xf numFmtId="0" fontId="15" fillId="29" borderId="107" xfId="0" applyFont="1" applyFill="1" applyBorder="1" applyAlignment="1">
      <alignment horizontal="center" vertical="center"/>
    </xf>
    <xf numFmtId="0" fontId="15" fillId="29" borderId="108" xfId="0" applyFont="1" applyFill="1" applyBorder="1" applyAlignment="1">
      <alignment horizontal="center" vertical="center"/>
    </xf>
    <xf numFmtId="0" fontId="15" fillId="29" borderId="109" xfId="0" applyFont="1" applyFill="1" applyBorder="1" applyAlignment="1">
      <alignment horizontal="center" vertical="center"/>
    </xf>
    <xf numFmtId="171" fontId="18" fillId="34" borderId="54" xfId="0" applyNumberFormat="1" applyFont="1" applyFill="1" applyBorder="1" applyAlignment="1">
      <alignment horizontal="left"/>
    </xf>
    <xf numFmtId="171" fontId="18" fillId="34" borderId="7" xfId="0" applyNumberFormat="1" applyFont="1" applyFill="1" applyBorder="1" applyAlignment="1">
      <alignment horizontal="left"/>
    </xf>
    <xf numFmtId="171" fontId="18" fillId="34" borderId="53" xfId="0" applyNumberFormat="1" applyFont="1" applyFill="1" applyBorder="1" applyAlignment="1">
      <alignment horizontal="left"/>
    </xf>
    <xf numFmtId="171" fontId="18" fillId="26" borderId="54" xfId="0" applyNumberFormat="1" applyFont="1" applyFill="1" applyBorder="1" applyAlignment="1">
      <alignment horizontal="left"/>
    </xf>
    <xf numFmtId="171" fontId="18" fillId="26" borderId="7" xfId="0" applyNumberFormat="1" applyFont="1" applyFill="1" applyBorder="1" applyAlignment="1">
      <alignment horizontal="left"/>
    </xf>
    <xf numFmtId="171" fontId="18" fillId="26" borderId="53" xfId="0" applyNumberFormat="1" applyFont="1" applyFill="1" applyBorder="1" applyAlignment="1">
      <alignment horizontal="left"/>
    </xf>
    <xf numFmtId="171" fontId="18" fillId="27" borderId="54" xfId="0" applyNumberFormat="1" applyFont="1" applyFill="1" applyBorder="1" applyAlignment="1">
      <alignment horizontal="left"/>
    </xf>
    <xf numFmtId="171" fontId="18" fillId="27" borderId="7" xfId="0" applyNumberFormat="1" applyFont="1" applyFill="1" applyBorder="1" applyAlignment="1">
      <alignment horizontal="left"/>
    </xf>
    <xf numFmtId="171" fontId="18" fillId="27" borderId="53" xfId="0" applyNumberFormat="1" applyFont="1" applyFill="1" applyBorder="1" applyAlignment="1">
      <alignment horizontal="left"/>
    </xf>
    <xf numFmtId="0" fontId="6" fillId="14" borderId="74" xfId="0" applyFont="1" applyFill="1" applyBorder="1" applyAlignment="1">
      <alignment horizontal="center" vertical="center"/>
    </xf>
    <xf numFmtId="0" fontId="6" fillId="14" borderId="106" xfId="0" applyFont="1" applyFill="1" applyBorder="1" applyAlignment="1">
      <alignment horizontal="center" vertical="center"/>
    </xf>
    <xf numFmtId="0" fontId="6" fillId="14" borderId="2" xfId="0" applyFont="1" applyFill="1" applyBorder="1" applyAlignment="1">
      <alignment horizontal="center" vertical="center"/>
    </xf>
    <xf numFmtId="0" fontId="6" fillId="7" borderId="58" xfId="0" applyFont="1" applyFill="1" applyBorder="1" applyAlignment="1">
      <alignment horizontal="center" vertical="center"/>
    </xf>
    <xf numFmtId="0" fontId="16" fillId="0" borderId="44" xfId="0" applyFont="1" applyBorder="1"/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16" fillId="0" borderId="57" xfId="0" applyFont="1" applyBorder="1"/>
    <xf numFmtId="0" fontId="6" fillId="7" borderId="74" xfId="0" applyFont="1" applyFill="1" applyBorder="1" applyAlignment="1">
      <alignment horizontal="center" vertical="center"/>
    </xf>
    <xf numFmtId="0" fontId="6" fillId="7" borderId="106" xfId="0" applyFont="1" applyFill="1" applyBorder="1" applyAlignment="1">
      <alignment horizontal="center" vertical="center"/>
    </xf>
    <xf numFmtId="0" fontId="6" fillId="7" borderId="84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6" fillId="0" borderId="25" xfId="0" applyFont="1" applyBorder="1"/>
    <xf numFmtId="9" fontId="22" fillId="31" borderId="2" xfId="0" applyNumberFormat="1" applyFont="1" applyFill="1" applyBorder="1" applyAlignment="1">
      <alignment horizontal="center" vertical="center"/>
    </xf>
    <xf numFmtId="0" fontId="16" fillId="30" borderId="2" xfId="0" applyFont="1" applyFill="1" applyBorder="1" applyAlignment="1">
      <alignment horizontal="center" vertical="center"/>
    </xf>
    <xf numFmtId="171" fontId="22" fillId="29" borderId="2" xfId="0" applyNumberFormat="1" applyFont="1" applyFill="1" applyBorder="1" applyAlignment="1">
      <alignment horizontal="center" vertical="center"/>
    </xf>
    <xf numFmtId="0" fontId="11" fillId="29" borderId="31" xfId="0" applyFont="1" applyFill="1" applyBorder="1" applyAlignment="1">
      <alignment horizontal="center" vertical="center"/>
    </xf>
    <xf numFmtId="0" fontId="16" fillId="30" borderId="32" xfId="0" applyFont="1" applyFill="1" applyBorder="1"/>
    <xf numFmtId="0" fontId="16" fillId="30" borderId="36" xfId="0" applyFont="1" applyFill="1" applyBorder="1"/>
    <xf numFmtId="0" fontId="16" fillId="30" borderId="37" xfId="0" applyFont="1" applyFill="1" applyBorder="1"/>
    <xf numFmtId="171" fontId="18" fillId="34" borderId="54" xfId="0" applyNumberFormat="1" applyFont="1" applyFill="1" applyBorder="1" applyAlignment="1">
      <alignment horizontal="left" vertical="center"/>
    </xf>
    <xf numFmtId="171" fontId="18" fillId="34" borderId="7" xfId="0" applyNumberFormat="1" applyFont="1" applyFill="1" applyBorder="1" applyAlignment="1">
      <alignment horizontal="left" vertical="center"/>
    </xf>
    <xf numFmtId="171" fontId="18" fillId="34" borderId="53" xfId="0" applyNumberFormat="1" applyFont="1" applyFill="1" applyBorder="1" applyAlignment="1">
      <alignment horizontal="left" vertical="center"/>
    </xf>
    <xf numFmtId="171" fontId="18" fillId="26" borderId="54" xfId="0" applyNumberFormat="1" applyFont="1" applyFill="1" applyBorder="1" applyAlignment="1">
      <alignment horizontal="left" vertical="center"/>
    </xf>
    <xf numFmtId="171" fontId="18" fillId="26" borderId="7" xfId="0" applyNumberFormat="1" applyFont="1" applyFill="1" applyBorder="1" applyAlignment="1">
      <alignment horizontal="left" vertical="center"/>
    </xf>
    <xf numFmtId="171" fontId="18" fillId="26" borderId="53" xfId="0" applyNumberFormat="1" applyFont="1" applyFill="1" applyBorder="1" applyAlignment="1">
      <alignment horizontal="left" vertical="center"/>
    </xf>
    <xf numFmtId="171" fontId="18" fillId="27" borderId="54" xfId="0" applyNumberFormat="1" applyFont="1" applyFill="1" applyBorder="1" applyAlignment="1">
      <alignment horizontal="left" vertical="center"/>
    </xf>
    <xf numFmtId="171" fontId="18" fillId="27" borderId="7" xfId="0" applyNumberFormat="1" applyFont="1" applyFill="1" applyBorder="1" applyAlignment="1">
      <alignment horizontal="left" vertical="center"/>
    </xf>
    <xf numFmtId="171" fontId="18" fillId="27" borderId="53" xfId="0" applyNumberFormat="1" applyFont="1" applyFill="1" applyBorder="1" applyAlignment="1">
      <alignment horizontal="left" vertical="center"/>
    </xf>
    <xf numFmtId="0" fontId="22" fillId="29" borderId="6" xfId="0" applyFont="1" applyFill="1" applyBorder="1" applyAlignment="1">
      <alignment horizontal="center" vertical="center"/>
    </xf>
    <xf numFmtId="0" fontId="16" fillId="30" borderId="8" xfId="0" applyFont="1" applyFill="1" applyBorder="1"/>
    <xf numFmtId="0" fontId="12" fillId="23" borderId="26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vertical="center"/>
    </xf>
    <xf numFmtId="0" fontId="16" fillId="18" borderId="28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left" vertical="center"/>
    </xf>
    <xf numFmtId="0" fontId="16" fillId="30" borderId="2" xfId="0" applyFont="1" applyFill="1" applyBorder="1" applyAlignment="1">
      <alignment horizontal="left" vertical="center"/>
    </xf>
    <xf numFmtId="171" fontId="22" fillId="29" borderId="2" xfId="0" applyNumberFormat="1" applyFont="1" applyFill="1" applyBorder="1" applyAlignment="1">
      <alignment horizontal="left" vertical="center"/>
    </xf>
    <xf numFmtId="0" fontId="22" fillId="29" borderId="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67" xfId="0" applyFont="1" applyFill="1" applyBorder="1" applyAlignment="1">
      <alignment horizontal="center" vertical="center"/>
    </xf>
    <xf numFmtId="0" fontId="11" fillId="31" borderId="6" xfId="0" applyFont="1" applyFill="1" applyBorder="1" applyAlignment="1">
      <alignment horizontal="center" vertical="center"/>
    </xf>
    <xf numFmtId="0" fontId="15" fillId="29" borderId="31" xfId="0" applyFont="1" applyFill="1" applyBorder="1" applyAlignment="1">
      <alignment horizontal="center" vertical="center"/>
    </xf>
    <xf numFmtId="0" fontId="16" fillId="30" borderId="33" xfId="0" applyFont="1" applyFill="1" applyBorder="1"/>
    <xf numFmtId="0" fontId="16" fillId="30" borderId="34" xfId="0" applyFont="1" applyFill="1" applyBorder="1"/>
    <xf numFmtId="0" fontId="11" fillId="29" borderId="6" xfId="0" applyFont="1" applyFill="1" applyBorder="1" applyAlignment="1">
      <alignment horizontal="left" vertical="center"/>
    </xf>
    <xf numFmtId="0" fontId="16" fillId="30" borderId="7" xfId="0" applyFont="1" applyFill="1" applyBorder="1" applyAlignment="1">
      <alignment vertical="center"/>
    </xf>
    <xf numFmtId="0" fontId="16" fillId="30" borderId="8" xfId="0" applyFont="1" applyFill="1" applyBorder="1" applyAlignment="1">
      <alignment vertical="center"/>
    </xf>
    <xf numFmtId="0" fontId="18" fillId="32" borderId="54" xfId="0" applyFont="1" applyFill="1" applyBorder="1" applyAlignment="1">
      <alignment horizontal="left" vertical="center"/>
    </xf>
    <xf numFmtId="0" fontId="18" fillId="32" borderId="53" xfId="0" applyFont="1" applyFill="1" applyBorder="1" applyAlignment="1">
      <alignment horizontal="left" vertical="center"/>
    </xf>
    <xf numFmtId="171" fontId="30" fillId="13" borderId="2" xfId="0" applyNumberFormat="1" applyFont="1" applyFill="1" applyBorder="1" applyAlignment="1">
      <alignment horizontal="left" vertical="center"/>
    </xf>
    <xf numFmtId="0" fontId="16" fillId="12" borderId="2" xfId="0" applyFont="1" applyFill="1" applyBorder="1" applyAlignment="1">
      <alignment horizontal="left" vertical="center"/>
    </xf>
    <xf numFmtId="0" fontId="15" fillId="29" borderId="6" xfId="0" applyFont="1" applyFill="1" applyBorder="1" applyAlignment="1">
      <alignment horizontal="left"/>
    </xf>
    <xf numFmtId="0" fontId="16" fillId="30" borderId="7" xfId="0" applyFont="1" applyFill="1" applyBorder="1"/>
    <xf numFmtId="0" fontId="19" fillId="2" borderId="6" xfId="0" applyFont="1" applyFill="1" applyBorder="1" applyAlignment="1">
      <alignment horizontal="left" vertical="top" wrapText="1"/>
    </xf>
    <xf numFmtId="0" fontId="16" fillId="0" borderId="7" xfId="0" applyFont="1" applyBorder="1"/>
    <xf numFmtId="0" fontId="16" fillId="0" borderId="8" xfId="0" applyFont="1" applyBorder="1"/>
    <xf numFmtId="0" fontId="6" fillId="7" borderId="38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/>
    </xf>
    <xf numFmtId="0" fontId="16" fillId="30" borderId="2" xfId="0" applyFont="1" applyFill="1" applyBorder="1"/>
    <xf numFmtId="171" fontId="30" fillId="13" borderId="2" xfId="0" applyNumberFormat="1" applyFont="1" applyFill="1" applyBorder="1" applyAlignment="1">
      <alignment horizontal="left"/>
    </xf>
    <xf numFmtId="0" fontId="16" fillId="12" borderId="2" xfId="0" applyFont="1" applyFill="1" applyBorder="1"/>
    <xf numFmtId="0" fontId="11" fillId="31" borderId="2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49" fontId="19" fillId="2" borderId="2" xfId="0" applyNumberFormat="1" applyFont="1" applyFill="1" applyBorder="1" applyAlignment="1">
      <alignment horizontal="left" vertical="top" wrapText="1"/>
    </xf>
    <xf numFmtId="0" fontId="18" fillId="32" borderId="2" xfId="0" applyFont="1" applyFill="1" applyBorder="1" applyAlignment="1">
      <alignment horizontal="left"/>
    </xf>
    <xf numFmtId="0" fontId="16" fillId="33" borderId="2" xfId="0" applyFont="1" applyFill="1" applyBorder="1"/>
    <xf numFmtId="0" fontId="11" fillId="29" borderId="6" xfId="0" applyFont="1" applyFill="1" applyBorder="1" applyAlignment="1">
      <alignment vertical="center"/>
    </xf>
    <xf numFmtId="0" fontId="15" fillId="29" borderId="61" xfId="0" applyFont="1" applyFill="1" applyBorder="1" applyAlignment="1">
      <alignment horizontal="center" vertical="center"/>
    </xf>
    <xf numFmtId="0" fontId="16" fillId="30" borderId="62" xfId="0" applyFont="1" applyFill="1" applyBorder="1"/>
    <xf numFmtId="0" fontId="16" fillId="30" borderId="59" xfId="0" applyFont="1" applyFill="1" applyBorder="1"/>
    <xf numFmtId="0" fontId="16" fillId="30" borderId="60" xfId="0" applyFont="1" applyFill="1" applyBorder="1"/>
    <xf numFmtId="0" fontId="15" fillId="29" borderId="54" xfId="0" applyFont="1" applyFill="1" applyBorder="1" applyAlignment="1">
      <alignment horizontal="center" vertical="center"/>
    </xf>
    <xf numFmtId="0" fontId="15" fillId="29" borderId="53" xfId="0" applyFont="1" applyFill="1" applyBorder="1" applyAlignment="1">
      <alignment horizontal="center" vertical="center"/>
    </xf>
    <xf numFmtId="0" fontId="43" fillId="15" borderId="117" xfId="0" applyFont="1" applyFill="1" applyBorder="1" applyAlignment="1">
      <alignment horizontal="left" vertical="top" wrapText="1"/>
    </xf>
    <xf numFmtId="0" fontId="43" fillId="15" borderId="118" xfId="0" applyFont="1" applyFill="1" applyBorder="1" applyAlignment="1">
      <alignment horizontal="left" vertical="top" wrapText="1"/>
    </xf>
    <xf numFmtId="0" fontId="43" fillId="15" borderId="119" xfId="0" applyFont="1" applyFill="1" applyBorder="1" applyAlignment="1">
      <alignment horizontal="left" vertical="top" wrapText="1"/>
    </xf>
    <xf numFmtId="0" fontId="43" fillId="15" borderId="120" xfId="0" applyFont="1" applyFill="1" applyBorder="1" applyAlignment="1">
      <alignment horizontal="left" vertical="top" wrapText="1"/>
    </xf>
    <xf numFmtId="0" fontId="43" fillId="15" borderId="75" xfId="0" applyFont="1" applyFill="1" applyBorder="1" applyAlignment="1">
      <alignment horizontal="left" vertical="top" wrapText="1"/>
    </xf>
    <xf numFmtId="0" fontId="43" fillId="15" borderId="121" xfId="0" applyFont="1" applyFill="1" applyBorder="1" applyAlignment="1">
      <alignment horizontal="left" vertical="top" wrapText="1"/>
    </xf>
    <xf numFmtId="0" fontId="43" fillId="15" borderId="122" xfId="0" applyFont="1" applyFill="1" applyBorder="1" applyAlignment="1">
      <alignment horizontal="left" vertical="top" wrapText="1"/>
    </xf>
    <xf numFmtId="0" fontId="43" fillId="15" borderId="123" xfId="0" applyFont="1" applyFill="1" applyBorder="1" applyAlignment="1">
      <alignment horizontal="left" vertical="top" wrapText="1"/>
    </xf>
    <xf numFmtId="0" fontId="43" fillId="15" borderId="124" xfId="0" applyFont="1" applyFill="1" applyBorder="1" applyAlignment="1">
      <alignment horizontal="left" vertical="top" wrapText="1"/>
    </xf>
    <xf numFmtId="0" fontId="11" fillId="29" borderId="2" xfId="0" applyFont="1" applyFill="1" applyBorder="1" applyAlignment="1">
      <alignment horizontal="center" vertical="center"/>
    </xf>
    <xf numFmtId="0" fontId="11" fillId="29" borderId="2" xfId="0" applyFont="1" applyFill="1" applyBorder="1" applyAlignment="1">
      <alignment horizontal="left"/>
    </xf>
    <xf numFmtId="0" fontId="15" fillId="29" borderId="2" xfId="0" applyFont="1" applyFill="1" applyBorder="1" applyAlignment="1">
      <alignment horizontal="center" vertical="center"/>
    </xf>
    <xf numFmtId="49" fontId="19" fillId="2" borderId="54" xfId="0" applyNumberFormat="1" applyFont="1" applyFill="1" applyBorder="1" applyAlignment="1">
      <alignment horizontal="left" vertical="top" wrapText="1"/>
    </xf>
    <xf numFmtId="49" fontId="19" fillId="2" borderId="7" xfId="0" applyNumberFormat="1" applyFont="1" applyFill="1" applyBorder="1" applyAlignment="1">
      <alignment horizontal="left" vertical="top" wrapText="1"/>
    </xf>
    <xf numFmtId="49" fontId="19" fillId="2" borderId="53" xfId="0" applyNumberFormat="1" applyFont="1" applyFill="1" applyBorder="1" applyAlignment="1">
      <alignment horizontal="left" vertical="top" wrapText="1"/>
    </xf>
    <xf numFmtId="0" fontId="15" fillId="29" borderId="54" xfId="0" applyFont="1" applyFill="1" applyBorder="1" applyAlignment="1">
      <alignment horizontal="left"/>
    </xf>
    <xf numFmtId="0" fontId="15" fillId="29" borderId="7" xfId="0" applyFont="1" applyFill="1" applyBorder="1" applyAlignment="1">
      <alignment horizontal="left"/>
    </xf>
    <xf numFmtId="0" fontId="15" fillId="29" borderId="53" xfId="0" applyFont="1" applyFill="1" applyBorder="1" applyAlignment="1">
      <alignment horizontal="left"/>
    </xf>
    <xf numFmtId="0" fontId="7" fillId="17" borderId="76" xfId="0" applyFont="1" applyFill="1" applyBorder="1" applyAlignment="1">
      <alignment horizontal="center" vertical="center"/>
    </xf>
    <xf numFmtId="0" fontId="16" fillId="18" borderId="77" xfId="0" applyFont="1" applyFill="1" applyBorder="1"/>
    <xf numFmtId="0" fontId="16" fillId="18" borderId="78" xfId="0" applyFont="1" applyFill="1" applyBorder="1"/>
    <xf numFmtId="0" fontId="16" fillId="18" borderId="79" xfId="0" applyFont="1" applyFill="1" applyBorder="1"/>
    <xf numFmtId="0" fontId="22" fillId="17" borderId="58" xfId="0" applyFont="1" applyFill="1" applyBorder="1" applyAlignment="1">
      <alignment horizontal="center" vertical="center"/>
    </xf>
    <xf numFmtId="0" fontId="16" fillId="18" borderId="57" xfId="0" applyFont="1" applyFill="1" applyBorder="1"/>
    <xf numFmtId="0" fontId="22" fillId="17" borderId="78" xfId="0" applyFont="1" applyFill="1" applyBorder="1" applyAlignment="1">
      <alignment horizontal="center" vertical="center"/>
    </xf>
    <xf numFmtId="0" fontId="22" fillId="17" borderId="97" xfId="0" applyFont="1" applyFill="1" applyBorder="1" applyAlignment="1">
      <alignment horizontal="center" vertical="center"/>
    </xf>
    <xf numFmtId="0" fontId="22" fillId="17" borderId="74" xfId="0" applyFont="1" applyFill="1" applyBorder="1" applyAlignment="1">
      <alignment horizontal="center" vertical="center"/>
    </xf>
    <xf numFmtId="0" fontId="22" fillId="17" borderId="106" xfId="0" applyFont="1" applyFill="1" applyBorder="1" applyAlignment="1">
      <alignment horizontal="center" vertical="center"/>
    </xf>
    <xf numFmtId="0" fontId="32" fillId="17" borderId="6" xfId="0" applyFont="1" applyFill="1" applyBorder="1" applyAlignment="1">
      <alignment horizontal="center"/>
    </xf>
    <xf numFmtId="0" fontId="15" fillId="17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6" fillId="0" borderId="71" xfId="0" applyFont="1" applyBorder="1"/>
    <xf numFmtId="0" fontId="0" fillId="0" borderId="75" xfId="0" applyBorder="1" applyAlignment="1">
      <alignment horizontal="center"/>
    </xf>
    <xf numFmtId="0" fontId="15" fillId="41" borderId="6" xfId="0" applyFont="1" applyFill="1" applyBorder="1" applyAlignment="1">
      <alignment horizontal="center" wrapText="1"/>
    </xf>
    <xf numFmtId="0" fontId="16" fillId="30" borderId="7" xfId="0" applyFont="1" applyFill="1" applyBorder="1" applyAlignment="1">
      <alignment horizontal="center"/>
    </xf>
    <xf numFmtId="0" fontId="16" fillId="30" borderId="8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center" vertical="center"/>
    </xf>
    <xf numFmtId="0" fontId="15" fillId="41" borderId="6" xfId="0" applyFont="1" applyFill="1" applyBorder="1" applyAlignment="1">
      <alignment horizontal="left"/>
    </xf>
    <xf numFmtId="0" fontId="28" fillId="0" borderId="110" xfId="1" applyFont="1" applyBorder="1" applyAlignment="1">
      <alignment horizontal="center" vertical="center"/>
    </xf>
    <xf numFmtId="0" fontId="28" fillId="0" borderId="110" xfId="0" applyFont="1" applyBorder="1" applyAlignment="1">
      <alignment horizontal="center" vertic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5" fillId="41" borderId="54" xfId="0" applyFont="1" applyFill="1" applyBorder="1"/>
    <xf numFmtId="0" fontId="15" fillId="41" borderId="7" xfId="0" applyFont="1" applyFill="1" applyBorder="1"/>
    <xf numFmtId="0" fontId="15" fillId="41" borderId="53" xfId="0" applyFont="1" applyFill="1" applyBorder="1"/>
    <xf numFmtId="0" fontId="19" fillId="41" borderId="71" xfId="0" applyFont="1" applyFill="1" applyBorder="1" applyAlignment="1">
      <alignment horizontal="center" vertical="center"/>
    </xf>
    <xf numFmtId="0" fontId="16" fillId="30" borderId="71" xfId="0" applyFont="1" applyFill="1" applyBorder="1"/>
    <xf numFmtId="0" fontId="28" fillId="30" borderId="110" xfId="0" applyFont="1" applyFill="1" applyBorder="1" applyAlignment="1">
      <alignment horizontal="center"/>
    </xf>
    <xf numFmtId="0" fontId="18" fillId="41" borderId="12" xfId="0" applyFont="1" applyFill="1" applyBorder="1" applyAlignment="1">
      <alignment horizontal="center" vertical="center"/>
    </xf>
    <xf numFmtId="0" fontId="16" fillId="30" borderId="14" xfId="0" applyFont="1" applyFill="1" applyBorder="1"/>
    <xf numFmtId="0" fontId="18" fillId="41" borderId="100" xfId="0" applyFont="1" applyFill="1" applyBorder="1" applyAlignment="1">
      <alignment horizontal="center" vertical="center"/>
    </xf>
    <xf numFmtId="0" fontId="16" fillId="30" borderId="94" xfId="0" applyFont="1" applyFill="1" applyBorder="1"/>
    <xf numFmtId="0" fontId="18" fillId="41" borderId="99" xfId="0" applyFont="1" applyFill="1" applyBorder="1" applyAlignment="1">
      <alignment horizontal="center" vertical="center"/>
    </xf>
    <xf numFmtId="0" fontId="16" fillId="30" borderId="93" xfId="0" applyFont="1" applyFill="1" applyBorder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0" fontId="18" fillId="41" borderId="69" xfId="0" applyFont="1" applyFill="1" applyBorder="1" applyAlignment="1">
      <alignment horizontal="center" vertical="center"/>
    </xf>
    <xf numFmtId="0" fontId="18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41" borderId="75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right"/>
    </xf>
    <xf numFmtId="0" fontId="15" fillId="41" borderId="16" xfId="0" applyFont="1" applyFill="1" applyBorder="1" applyAlignment="1">
      <alignment horizontal="left"/>
    </xf>
    <xf numFmtId="0" fontId="16" fillId="30" borderId="17" xfId="0" applyFont="1" applyFill="1" applyBorder="1"/>
    <xf numFmtId="0" fontId="16" fillId="30" borderId="18" xfId="0" applyFont="1" applyFill="1" applyBorder="1"/>
    <xf numFmtId="0" fontId="22" fillId="41" borderId="2" xfId="0" applyFont="1" applyFill="1" applyBorder="1" applyAlignment="1">
      <alignment horizontal="center" vertical="center"/>
    </xf>
    <xf numFmtId="0" fontId="22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2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22" fillId="41" borderId="46" xfId="0" applyFont="1" applyFill="1" applyBorder="1" applyAlignment="1">
      <alignment horizontal="center"/>
    </xf>
    <xf numFmtId="0" fontId="22" fillId="41" borderId="94" xfId="0" applyFont="1" applyFill="1" applyBorder="1" applyAlignment="1">
      <alignment horizontal="center"/>
    </xf>
    <xf numFmtId="173" fontId="6" fillId="2" borderId="41" xfId="0" applyNumberFormat="1" applyFont="1" applyFill="1" applyBorder="1" applyAlignment="1">
      <alignment horizontal="center"/>
    </xf>
    <xf numFmtId="173" fontId="6" fillId="2" borderId="45" xfId="0" applyNumberFormat="1" applyFont="1" applyFill="1" applyBorder="1" applyAlignment="1">
      <alignment horizontal="center"/>
    </xf>
    <xf numFmtId="173" fontId="6" fillId="2" borderId="103" xfId="0" applyNumberFormat="1" applyFont="1" applyFill="1" applyBorder="1" applyAlignment="1">
      <alignment horizontal="center"/>
    </xf>
    <xf numFmtId="173" fontId="6" fillId="2" borderId="96" xfId="0" applyNumberFormat="1" applyFont="1" applyFill="1" applyBorder="1" applyAlignment="1">
      <alignment horizontal="center"/>
    </xf>
    <xf numFmtId="173" fontId="6" fillId="2" borderId="46" xfId="0" applyNumberFormat="1" applyFont="1" applyFill="1" applyBorder="1" applyAlignment="1">
      <alignment horizontal="center"/>
    </xf>
    <xf numFmtId="173" fontId="6" fillId="2" borderId="125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15" fillId="41" borderId="6" xfId="0" applyFont="1" applyFill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0" fontId="6" fillId="0" borderId="126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2" borderId="69" xfId="0" applyFont="1" applyFill="1" applyBorder="1" applyAlignment="1">
      <alignment horizontal="left" vertical="center" wrapText="1"/>
    </xf>
    <xf numFmtId="0" fontId="16" fillId="15" borderId="83" xfId="0" applyFont="1" applyFill="1" applyBorder="1"/>
    <xf numFmtId="0" fontId="16" fillId="15" borderId="91" xfId="0" applyFont="1" applyFill="1" applyBorder="1"/>
    <xf numFmtId="0" fontId="6" fillId="2" borderId="90" xfId="0" applyFont="1" applyFill="1" applyBorder="1" applyAlignment="1">
      <alignment horizontal="left" vertical="center" wrapText="1"/>
    </xf>
    <xf numFmtId="0" fontId="16" fillId="15" borderId="71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6" fillId="0" borderId="67" xfId="0" applyFont="1" applyBorder="1" applyAlignment="1">
      <alignment horizontal="left"/>
    </xf>
    <xf numFmtId="0" fontId="6" fillId="0" borderId="84" xfId="0" applyFont="1" applyBorder="1" applyAlignment="1">
      <alignment horizontal="left"/>
    </xf>
    <xf numFmtId="0" fontId="22" fillId="41" borderId="54" xfId="0" applyFont="1" applyFill="1" applyBorder="1" applyAlignment="1">
      <alignment horizontal="left"/>
    </xf>
    <xf numFmtId="0" fontId="22" fillId="41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4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0" fontId="3" fillId="15" borderId="111" xfId="10" applyFont="1" applyFill="1" applyBorder="1" applyAlignment="1">
      <alignment horizontal="center" vertical="top" wrapText="1"/>
    </xf>
    <xf numFmtId="0" fontId="4" fillId="15" borderId="113" xfId="10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2" fillId="15" borderId="111" xfId="10" applyFont="1" applyFill="1" applyBorder="1" applyAlignment="1">
      <alignment horizontal="left" vertical="top" wrapText="1"/>
    </xf>
    <xf numFmtId="0" fontId="4" fillId="15" borderId="113" xfId="10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16" fillId="0" borderId="83" xfId="0" applyFont="1" applyBorder="1"/>
    <xf numFmtId="0" fontId="16" fillId="0" borderId="91" xfId="0" applyFont="1" applyBorder="1"/>
    <xf numFmtId="0" fontId="16" fillId="0" borderId="71" xfId="0" applyFont="1" applyBorder="1" applyAlignment="1">
      <alignment horizontal="left"/>
    </xf>
  </cellXfs>
  <cellStyles count="21">
    <cellStyle name="40% - Accent1 2" xfId="11"/>
    <cellStyle name="Comma 2" xfId="12"/>
    <cellStyle name="Currency 2" xfId="4"/>
    <cellStyle name="Currency 3" xfId="18"/>
    <cellStyle name="Euro" xfId="8"/>
    <cellStyle name="Hipervínculo" xfId="2" builtinId="8"/>
    <cellStyle name="Hyperlink 2" xfId="5"/>
    <cellStyle name="Millares" xfId="20" builtinId="3"/>
    <cellStyle name="Millares 2" xfId="13"/>
    <cellStyle name="Moneda" xfId="19" builtinId="4"/>
    <cellStyle name="Moneda 2" xfId="6"/>
    <cellStyle name="Moneda 2 2" xfId="16"/>
    <cellStyle name="Normal" xfId="0" builtinId="0"/>
    <cellStyle name="Normal 2" xfId="1"/>
    <cellStyle name="Normal 2 14" xfId="14"/>
    <cellStyle name="Normal 2 15" xfId="15"/>
    <cellStyle name="Normal 3" xfId="3"/>
    <cellStyle name="Normal 4" xfId="10"/>
    <cellStyle name="Normal 5" xfId="7"/>
    <cellStyle name="Percent 2" xfId="9"/>
    <cellStyle name="Percent 3" xfId="1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7074219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6890400</c:v>
                </c:pt>
                <c:pt idx="2">
                  <c:v>7130400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183306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34042350.2707</c:v>
                </c:pt>
                <c:pt idx="2">
                  <c:v>40369462.605900005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layout/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8970226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4" workbookViewId="0">
      <selection activeCell="I17" sqref="I17"/>
    </sheetView>
  </sheetViews>
  <sheetFormatPr baseColWidth="10" defaultColWidth="12.59765625" defaultRowHeight="15" customHeight="1" x14ac:dyDescent="0.25"/>
  <cols>
    <col min="1" max="1" width="10" customWidth="1"/>
    <col min="2" max="2" width="11" customWidth="1"/>
    <col min="3" max="3" width="23.59765625" customWidth="1"/>
    <col min="4" max="4" width="10.69921875" customWidth="1"/>
    <col min="5" max="26" width="10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55000000000000004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55000000000000004">
      <c r="A21" s="1"/>
      <c r="B21" s="1"/>
      <c r="C21" s="3" t="s">
        <v>1</v>
      </c>
      <c r="D21" s="4" t="s">
        <v>172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55000000000000004">
      <c r="A22" s="1"/>
      <c r="B22" s="1"/>
      <c r="C22" s="3" t="s">
        <v>2</v>
      </c>
      <c r="D22" s="4" t="s">
        <v>174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55000000000000004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55000000000000004">
      <c r="A24" s="1"/>
      <c r="B24" s="1"/>
      <c r="C24" s="3" t="s">
        <v>5</v>
      </c>
      <c r="D24" s="4" t="s">
        <v>173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55000000000000004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55000000000000004">
      <c r="A26" s="1"/>
      <c r="B26" s="1"/>
      <c r="C26" s="6" t="s">
        <v>8</v>
      </c>
      <c r="D26" s="129" t="s">
        <v>175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/>
    <hyperlink ref="D26" r:id="rId2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I24" sqref="I24"/>
    </sheetView>
  </sheetViews>
  <sheetFormatPr baseColWidth="10" defaultColWidth="12.59765625" defaultRowHeight="15" customHeight="1" x14ac:dyDescent="0.25"/>
  <cols>
    <col min="1" max="1" width="10" customWidth="1"/>
    <col min="2" max="2" width="11.3984375" customWidth="1"/>
    <col min="3" max="3" width="10" customWidth="1"/>
    <col min="4" max="4" width="46.09765625" customWidth="1"/>
    <col min="5" max="26" width="10" customWidth="1"/>
  </cols>
  <sheetData>
    <row r="1" spans="1:26" ht="14.4" x14ac:dyDescent="0.3">
      <c r="A1" s="360"/>
      <c r="B1" s="360"/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360"/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8"/>
      <c r="S2" s="8"/>
      <c r="T2" s="8"/>
      <c r="U2" s="8"/>
      <c r="V2" s="8"/>
      <c r="W2" s="8"/>
      <c r="X2" s="8"/>
      <c r="Y2" s="8"/>
      <c r="Z2" s="8"/>
    </row>
    <row r="3" spans="1:26" ht="14.4" x14ac:dyDescent="0.3">
      <c r="A3" s="360"/>
      <c r="B3" s="360"/>
      <c r="C3" s="360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4">
      <c r="A4" s="360"/>
      <c r="B4" s="360"/>
      <c r="C4" s="360"/>
      <c r="D4" s="208" t="s">
        <v>9</v>
      </c>
      <c r="E4" s="360"/>
      <c r="F4" s="360"/>
      <c r="G4" s="360"/>
      <c r="H4" s="360"/>
      <c r="I4" s="360"/>
      <c r="J4" s="360"/>
      <c r="K4" s="360"/>
      <c r="L4" s="360"/>
      <c r="M4" s="360"/>
      <c r="N4" s="360"/>
      <c r="O4" s="360"/>
      <c r="P4" s="360"/>
      <c r="Q4" s="360"/>
      <c r="R4" s="8"/>
      <c r="S4" s="8"/>
      <c r="T4" s="8"/>
      <c r="U4" s="8"/>
      <c r="V4" s="8"/>
      <c r="W4" s="8"/>
      <c r="X4" s="8"/>
      <c r="Y4" s="8"/>
      <c r="Z4" s="8"/>
    </row>
    <row r="5" spans="1:26" ht="14.4" x14ac:dyDescent="0.3">
      <c r="A5" s="360"/>
      <c r="B5" s="360"/>
      <c r="C5" s="360"/>
      <c r="D5" s="360"/>
      <c r="E5" s="360"/>
      <c r="F5" s="360"/>
      <c r="G5" s="360"/>
      <c r="H5" s="360"/>
      <c r="I5" s="360"/>
      <c r="J5" s="360"/>
      <c r="K5" s="360"/>
      <c r="L5" s="360"/>
      <c r="M5" s="360"/>
      <c r="N5" s="360"/>
      <c r="O5" s="360"/>
      <c r="P5" s="360"/>
      <c r="Q5" s="360"/>
      <c r="R5" s="8"/>
      <c r="S5" s="8"/>
      <c r="T5" s="8"/>
      <c r="U5" s="8"/>
      <c r="V5" s="8"/>
      <c r="W5" s="8"/>
      <c r="X5" s="8"/>
      <c r="Y5" s="8"/>
      <c r="Z5" s="8"/>
    </row>
    <row r="6" spans="1:26" ht="17.399999999999999" x14ac:dyDescent="0.3">
      <c r="A6" s="360"/>
      <c r="B6" s="360"/>
      <c r="C6" s="360"/>
      <c r="D6" s="300" t="s">
        <v>10</v>
      </c>
      <c r="E6" s="360"/>
      <c r="F6" s="360"/>
      <c r="G6" s="360"/>
      <c r="H6" s="360"/>
      <c r="I6" s="360"/>
      <c r="J6" s="360"/>
      <c r="K6" s="360"/>
      <c r="L6" s="360"/>
      <c r="M6" s="360"/>
      <c r="N6" s="360"/>
      <c r="O6" s="360"/>
      <c r="P6" s="360"/>
      <c r="Q6" s="360"/>
      <c r="R6" s="8"/>
      <c r="S6" s="8"/>
      <c r="T6" s="8"/>
      <c r="U6" s="8"/>
      <c r="V6" s="8"/>
      <c r="W6" s="8"/>
      <c r="X6" s="8"/>
      <c r="Y6" s="8"/>
      <c r="Z6" s="8"/>
    </row>
    <row r="7" spans="1:26" ht="17.399999999999999" x14ac:dyDescent="0.3">
      <c r="A7" s="360"/>
      <c r="B7" s="360"/>
      <c r="C7" s="360"/>
      <c r="D7" s="323" t="s">
        <v>11</v>
      </c>
      <c r="E7" s="360"/>
      <c r="F7" s="360"/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8"/>
      <c r="S7" s="8"/>
      <c r="T7" s="8"/>
      <c r="U7" s="8"/>
      <c r="V7" s="8"/>
      <c r="W7" s="8"/>
      <c r="X7" s="8"/>
      <c r="Y7" s="8"/>
      <c r="Z7" s="8"/>
    </row>
    <row r="8" spans="1:26" ht="17.399999999999999" x14ac:dyDescent="0.3">
      <c r="A8" s="360"/>
      <c r="B8" s="360"/>
      <c r="C8" s="360"/>
      <c r="D8" s="323" t="s">
        <v>12</v>
      </c>
      <c r="E8" s="360"/>
      <c r="F8" s="360"/>
      <c r="G8" s="360"/>
      <c r="H8" s="360"/>
      <c r="I8" s="360"/>
      <c r="J8" s="360"/>
      <c r="K8" s="360"/>
      <c r="L8" s="360"/>
      <c r="M8" s="360"/>
      <c r="N8" s="360"/>
      <c r="O8" s="360"/>
      <c r="P8" s="360"/>
      <c r="Q8" s="360"/>
      <c r="R8" s="8"/>
      <c r="S8" s="8"/>
      <c r="T8" s="8"/>
      <c r="U8" s="8"/>
      <c r="V8" s="8"/>
      <c r="W8" s="8"/>
      <c r="X8" s="8"/>
      <c r="Y8" s="8"/>
      <c r="Z8" s="8"/>
    </row>
    <row r="9" spans="1:26" ht="17.399999999999999" x14ac:dyDescent="0.3">
      <c r="A9" s="360"/>
      <c r="B9" s="360"/>
      <c r="C9" s="360"/>
      <c r="D9" s="323" t="s">
        <v>13</v>
      </c>
      <c r="E9" s="360"/>
      <c r="F9" s="360"/>
      <c r="G9" s="360"/>
      <c r="H9" s="360"/>
      <c r="I9" s="360"/>
      <c r="J9" s="360"/>
      <c r="K9" s="360"/>
      <c r="L9" s="360"/>
      <c r="M9" s="360"/>
      <c r="N9" s="360"/>
      <c r="O9" s="360"/>
      <c r="P9" s="360"/>
      <c r="Q9" s="360"/>
      <c r="R9" s="8"/>
      <c r="S9" s="8"/>
      <c r="T9" s="8"/>
      <c r="U9" s="8"/>
      <c r="V9" s="8"/>
      <c r="W9" s="8"/>
      <c r="X9" s="8"/>
      <c r="Y9" s="8"/>
      <c r="Z9" s="8"/>
    </row>
    <row r="10" spans="1:26" ht="17.399999999999999" x14ac:dyDescent="0.3">
      <c r="A10" s="360"/>
      <c r="B10" s="360"/>
      <c r="C10" s="360"/>
      <c r="D10" s="333" t="s">
        <v>256</v>
      </c>
      <c r="E10" s="360"/>
      <c r="F10" s="360"/>
      <c r="G10" s="360"/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8"/>
      <c r="S10" s="8"/>
      <c r="T10" s="8"/>
      <c r="U10" s="8"/>
      <c r="V10" s="8"/>
      <c r="W10" s="8"/>
      <c r="X10" s="8"/>
      <c r="Y10" s="8"/>
      <c r="Z10" s="8"/>
    </row>
    <row r="11" spans="1:26" ht="17.399999999999999" x14ac:dyDescent="0.3">
      <c r="A11" s="360"/>
      <c r="B11" s="360"/>
      <c r="C11" s="360"/>
      <c r="D11" s="323" t="s">
        <v>14</v>
      </c>
      <c r="E11" s="360"/>
      <c r="F11" s="360"/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8"/>
      <c r="S11" s="8"/>
      <c r="T11" s="8"/>
      <c r="U11" s="8"/>
      <c r="V11" s="8"/>
      <c r="W11" s="8"/>
      <c r="X11" s="8"/>
      <c r="Y11" s="8"/>
      <c r="Z11" s="8"/>
    </row>
    <row r="12" spans="1:26" ht="17.399999999999999" x14ac:dyDescent="0.3">
      <c r="A12" s="360"/>
      <c r="B12" s="360"/>
      <c r="C12" s="360"/>
      <c r="D12" s="323" t="s">
        <v>15</v>
      </c>
      <c r="E12" s="360"/>
      <c r="F12" s="360"/>
      <c r="G12" s="360"/>
      <c r="H12" s="360"/>
      <c r="I12" s="360"/>
      <c r="J12" s="360"/>
      <c r="K12" s="360"/>
      <c r="L12" s="360"/>
      <c r="M12" s="360"/>
      <c r="N12" s="360"/>
      <c r="O12" s="360"/>
      <c r="P12" s="360"/>
      <c r="Q12" s="360"/>
      <c r="R12" s="8"/>
      <c r="S12" s="8"/>
      <c r="T12" s="8"/>
      <c r="U12" s="8"/>
      <c r="V12" s="8"/>
      <c r="W12" s="8"/>
      <c r="X12" s="8"/>
      <c r="Y12" s="8"/>
      <c r="Z12" s="8"/>
    </row>
    <row r="13" spans="1:26" ht="17.399999999999999" x14ac:dyDescent="0.3">
      <c r="A13" s="360"/>
      <c r="B13" s="360"/>
      <c r="C13" s="360"/>
      <c r="D13" s="323" t="s">
        <v>16</v>
      </c>
      <c r="E13" s="360"/>
      <c r="F13" s="360"/>
      <c r="G13" s="360"/>
      <c r="H13" s="360"/>
      <c r="I13" s="360"/>
      <c r="J13" s="360"/>
      <c r="K13" s="360"/>
      <c r="L13" s="360"/>
      <c r="M13" s="360"/>
      <c r="N13" s="360"/>
      <c r="O13" s="360"/>
      <c r="P13" s="360"/>
      <c r="Q13" s="360"/>
      <c r="R13" s="8"/>
      <c r="S13" s="8"/>
      <c r="T13" s="8"/>
      <c r="U13" s="8"/>
      <c r="V13" s="8"/>
      <c r="W13" s="8"/>
      <c r="X13" s="8"/>
      <c r="Y13" s="8"/>
      <c r="Z13" s="8"/>
    </row>
    <row r="14" spans="1:26" ht="17.399999999999999" x14ac:dyDescent="0.3">
      <c r="A14" s="360"/>
      <c r="B14" s="360"/>
      <c r="C14" s="360"/>
      <c r="D14" s="323" t="s">
        <v>17</v>
      </c>
      <c r="E14" s="360"/>
      <c r="F14" s="360"/>
      <c r="G14" s="360"/>
      <c r="H14" s="360"/>
      <c r="I14" s="360"/>
      <c r="J14" s="360"/>
      <c r="K14" s="360"/>
      <c r="L14" s="360"/>
      <c r="M14" s="360"/>
      <c r="N14" s="360"/>
      <c r="O14" s="360"/>
      <c r="P14" s="360"/>
      <c r="Q14" s="360"/>
      <c r="R14" s="8"/>
      <c r="S14" s="8"/>
      <c r="T14" s="8"/>
      <c r="U14" s="8"/>
      <c r="V14" s="8"/>
      <c r="W14" s="8"/>
      <c r="X14" s="8"/>
      <c r="Y14" s="8"/>
      <c r="Z14" s="8"/>
    </row>
    <row r="15" spans="1:26" ht="17.399999999999999" x14ac:dyDescent="0.3">
      <c r="A15" s="360"/>
      <c r="B15" s="360"/>
      <c r="C15" s="360"/>
      <c r="D15" s="323" t="s">
        <v>18</v>
      </c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8"/>
      <c r="S15" s="8"/>
      <c r="T15" s="8"/>
      <c r="U15" s="8"/>
      <c r="V15" s="8"/>
      <c r="W15" s="8"/>
      <c r="X15" s="8"/>
      <c r="Y15" s="8"/>
      <c r="Z15" s="8"/>
    </row>
    <row r="16" spans="1:26" ht="17.399999999999999" x14ac:dyDescent="0.3">
      <c r="A16" s="360"/>
      <c r="B16" s="360"/>
      <c r="C16" s="360"/>
      <c r="D16" s="323" t="s">
        <v>19</v>
      </c>
      <c r="E16" s="360"/>
      <c r="F16" s="360"/>
      <c r="G16" s="360"/>
      <c r="H16" s="360"/>
      <c r="I16" s="360"/>
      <c r="J16" s="360"/>
      <c r="K16" s="360"/>
      <c r="L16" s="360"/>
      <c r="M16" s="360"/>
      <c r="N16" s="360"/>
      <c r="O16" s="360"/>
      <c r="P16" s="360"/>
      <c r="Q16" s="360"/>
      <c r="R16" s="8"/>
      <c r="S16" s="8"/>
      <c r="T16" s="8"/>
      <c r="U16" s="8"/>
      <c r="V16" s="8"/>
      <c r="W16" s="8"/>
      <c r="X16" s="8"/>
      <c r="Y16" s="8"/>
      <c r="Z16" s="8"/>
    </row>
    <row r="17" spans="1:26" ht="17.399999999999999" x14ac:dyDescent="0.3">
      <c r="A17" s="360"/>
      <c r="B17" s="360"/>
      <c r="C17" s="360"/>
      <c r="D17" s="323" t="s">
        <v>20</v>
      </c>
      <c r="E17" s="360"/>
      <c r="F17" s="360"/>
      <c r="G17" s="360"/>
      <c r="H17" s="360"/>
      <c r="I17" s="360"/>
      <c r="J17" s="360"/>
      <c r="K17" s="360"/>
      <c r="L17" s="360"/>
      <c r="M17" s="360"/>
      <c r="N17" s="360"/>
      <c r="O17" s="360"/>
      <c r="P17" s="360"/>
      <c r="Q17" s="360"/>
      <c r="R17" s="8"/>
      <c r="S17" s="8"/>
      <c r="T17" s="8"/>
      <c r="U17" s="8"/>
      <c r="V17" s="8"/>
      <c r="W17" s="8"/>
      <c r="X17" s="8"/>
      <c r="Y17" s="8"/>
      <c r="Z17" s="8"/>
    </row>
    <row r="18" spans="1:26" ht="17.399999999999999" x14ac:dyDescent="0.3">
      <c r="A18" s="360"/>
      <c r="B18" s="360"/>
      <c r="C18" s="360"/>
      <c r="D18" s="323" t="s">
        <v>21</v>
      </c>
      <c r="E18" s="360"/>
      <c r="F18" s="360"/>
      <c r="G18" s="360"/>
      <c r="H18" s="360"/>
      <c r="I18" s="360"/>
      <c r="J18" s="360"/>
      <c r="K18" s="360"/>
      <c r="L18" s="360"/>
      <c r="M18" s="360"/>
      <c r="N18" s="360"/>
      <c r="O18" s="360"/>
      <c r="P18" s="360"/>
      <c r="Q18" s="360"/>
      <c r="R18" s="8"/>
      <c r="S18" s="8"/>
      <c r="T18" s="8"/>
      <c r="U18" s="8"/>
      <c r="V18" s="8"/>
      <c r="W18" s="8"/>
      <c r="X18" s="8"/>
      <c r="Y18" s="8"/>
      <c r="Z18" s="8"/>
    </row>
    <row r="19" spans="1:26" ht="17.399999999999999" x14ac:dyDescent="0.3">
      <c r="A19" s="360"/>
      <c r="B19" s="360"/>
      <c r="C19" s="360"/>
      <c r="D19" s="323" t="s">
        <v>22</v>
      </c>
      <c r="E19" s="360"/>
      <c r="F19" s="360"/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8"/>
      <c r="S19" s="8"/>
      <c r="T19" s="8"/>
      <c r="U19" s="8"/>
      <c r="V19" s="8"/>
      <c r="W19" s="8"/>
      <c r="X19" s="8"/>
      <c r="Y19" s="8"/>
      <c r="Z19" s="8"/>
    </row>
    <row r="20" spans="1:26" ht="17.399999999999999" x14ac:dyDescent="0.3">
      <c r="A20" s="360"/>
      <c r="B20" s="360"/>
      <c r="C20" s="360"/>
      <c r="D20" s="324" t="s">
        <v>23</v>
      </c>
      <c r="E20" s="360"/>
      <c r="F20" s="360"/>
      <c r="G20" s="360"/>
      <c r="H20" s="360"/>
      <c r="I20" s="360"/>
      <c r="J20" s="360"/>
      <c r="K20" s="360"/>
      <c r="L20" s="360"/>
      <c r="M20" s="360"/>
      <c r="N20" s="360"/>
      <c r="O20" s="360"/>
      <c r="P20" s="360"/>
      <c r="Q20" s="360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3">
      <c r="A21" s="360"/>
      <c r="B21" s="360"/>
      <c r="C21" s="360"/>
      <c r="D21" s="360"/>
      <c r="E21" s="360"/>
      <c r="F21" s="360"/>
      <c r="G21" s="360"/>
      <c r="H21" s="360"/>
      <c r="I21" s="360"/>
      <c r="J21" s="360"/>
      <c r="K21" s="360"/>
      <c r="L21" s="360"/>
      <c r="M21" s="360"/>
      <c r="N21" s="360"/>
      <c r="O21" s="360"/>
      <c r="P21" s="360"/>
      <c r="Q21" s="360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3">
      <c r="A22" s="360"/>
      <c r="B22" s="360"/>
      <c r="C22" s="360"/>
      <c r="D22" s="360"/>
      <c r="E22" s="360"/>
      <c r="F22" s="360"/>
      <c r="G22" s="360"/>
      <c r="H22" s="360"/>
      <c r="I22" s="360"/>
      <c r="J22" s="360"/>
      <c r="K22" s="360"/>
      <c r="L22" s="360"/>
      <c r="M22" s="360"/>
      <c r="N22" s="360"/>
      <c r="O22" s="360"/>
      <c r="P22" s="360"/>
      <c r="Q22" s="360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3">
      <c r="A23" s="360"/>
      <c r="B23" s="360"/>
      <c r="C23" s="360"/>
      <c r="D23" s="360"/>
      <c r="E23" s="360"/>
      <c r="F23" s="360"/>
      <c r="G23" s="360"/>
      <c r="H23" s="360"/>
      <c r="I23" s="360"/>
      <c r="J23" s="360"/>
      <c r="K23" s="360"/>
      <c r="L23" s="360"/>
      <c r="M23" s="360"/>
      <c r="N23" s="360"/>
      <c r="O23" s="360"/>
      <c r="P23" s="360"/>
      <c r="Q23" s="360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3">
      <c r="A24" s="360"/>
      <c r="B24" s="360"/>
      <c r="C24" s="360"/>
      <c r="D24" s="360"/>
      <c r="E24" s="360"/>
      <c r="F24" s="360"/>
      <c r="G24" s="360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3">
      <c r="A25" s="360"/>
      <c r="B25" s="360"/>
      <c r="C25" s="360"/>
      <c r="D25" s="360"/>
      <c r="E25" s="360"/>
      <c r="F25" s="360"/>
      <c r="G25" s="360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3">
      <c r="A26" s="360"/>
      <c r="B26" s="360"/>
      <c r="C26" s="360"/>
      <c r="D26" s="360"/>
      <c r="E26" s="360"/>
      <c r="F26" s="360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0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3">
      <c r="A27" s="360"/>
      <c r="B27" s="360"/>
      <c r="C27" s="360"/>
      <c r="D27" s="360"/>
      <c r="E27" s="360"/>
      <c r="F27" s="360"/>
      <c r="G27" s="360"/>
      <c r="H27" s="360"/>
      <c r="I27" s="360"/>
      <c r="J27" s="360"/>
      <c r="K27" s="360"/>
      <c r="L27" s="360"/>
      <c r="M27" s="360"/>
      <c r="N27" s="360"/>
      <c r="O27" s="360"/>
      <c r="P27" s="360"/>
      <c r="Q27" s="360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3">
      <c r="A28" s="360"/>
      <c r="B28" s="360"/>
      <c r="C28" s="360"/>
      <c r="D28" s="360"/>
      <c r="E28" s="360"/>
      <c r="F28" s="360"/>
      <c r="G28" s="360"/>
      <c r="H28" s="360"/>
      <c r="I28" s="360"/>
      <c r="J28" s="360"/>
      <c r="K28" s="360"/>
      <c r="L28" s="360"/>
      <c r="M28" s="360"/>
      <c r="N28" s="360"/>
      <c r="O28" s="360"/>
      <c r="P28" s="360"/>
      <c r="Q28" s="360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3">
      <c r="A29" s="360"/>
      <c r="B29" s="360"/>
      <c r="C29" s="360"/>
      <c r="D29" s="360"/>
      <c r="E29" s="360"/>
      <c r="F29" s="360"/>
      <c r="G29" s="360"/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3">
      <c r="A30" s="360"/>
      <c r="B30" s="360"/>
      <c r="C30" s="360"/>
      <c r="D30" s="360"/>
      <c r="E30" s="360"/>
      <c r="F30" s="360"/>
      <c r="G30" s="360"/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3">
      <c r="A31" s="360"/>
      <c r="B31" s="360"/>
      <c r="C31" s="360"/>
      <c r="D31" s="360"/>
      <c r="E31" s="360"/>
      <c r="F31" s="360"/>
      <c r="G31" s="360"/>
      <c r="H31" s="360"/>
      <c r="I31" s="360"/>
      <c r="J31" s="360"/>
      <c r="K31" s="360"/>
      <c r="L31" s="360"/>
      <c r="M31" s="360"/>
      <c r="N31" s="360"/>
      <c r="O31" s="360"/>
      <c r="P31" s="360"/>
      <c r="Q31" s="360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  <c r="K32" s="360"/>
      <c r="L32" s="360"/>
      <c r="M32" s="360"/>
      <c r="N32" s="360"/>
      <c r="O32" s="360"/>
      <c r="P32" s="360"/>
      <c r="Q32" s="360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3">
      <c r="A33" s="360"/>
      <c r="B33" s="360"/>
      <c r="C33" s="360"/>
      <c r="D33" s="360"/>
      <c r="E33" s="360"/>
      <c r="F33" s="360"/>
      <c r="G33" s="360"/>
      <c r="H33" s="360"/>
      <c r="I33" s="360"/>
      <c r="J33" s="360"/>
      <c r="K33" s="360"/>
      <c r="L33" s="360"/>
      <c r="M33" s="360"/>
      <c r="N33" s="360"/>
      <c r="O33" s="360"/>
      <c r="P33" s="360"/>
      <c r="Q33" s="360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3">
      <c r="A34" s="360"/>
      <c r="B34" s="360"/>
      <c r="C34" s="360"/>
      <c r="D34" s="360"/>
      <c r="E34" s="360"/>
      <c r="F34" s="360"/>
      <c r="G34" s="360"/>
      <c r="H34" s="360"/>
      <c r="I34" s="360"/>
      <c r="J34" s="360"/>
      <c r="K34" s="360"/>
      <c r="L34" s="360"/>
      <c r="M34" s="360"/>
      <c r="N34" s="360"/>
      <c r="O34" s="360"/>
      <c r="P34" s="360"/>
      <c r="Q34" s="360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3">
      <c r="A35" s="360"/>
      <c r="B35" s="360"/>
      <c r="C35" s="360"/>
      <c r="D35" s="360"/>
      <c r="E35" s="360"/>
      <c r="F35" s="360"/>
      <c r="G35" s="360"/>
      <c r="H35" s="360"/>
      <c r="I35" s="360"/>
      <c r="J35" s="360"/>
      <c r="K35" s="360"/>
      <c r="L35" s="360"/>
      <c r="M35" s="360"/>
      <c r="N35" s="360"/>
      <c r="O35" s="360"/>
      <c r="P35" s="360"/>
      <c r="Q35" s="360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3">
      <c r="A36" s="360"/>
      <c r="B36" s="360"/>
      <c r="C36" s="360"/>
      <c r="D36" s="360"/>
      <c r="E36" s="360"/>
      <c r="F36" s="360"/>
      <c r="G36" s="360"/>
      <c r="H36" s="360"/>
      <c r="I36" s="360"/>
      <c r="J36" s="360"/>
      <c r="K36" s="360"/>
      <c r="L36" s="360"/>
      <c r="M36" s="360"/>
      <c r="N36" s="360"/>
      <c r="O36" s="360"/>
      <c r="P36" s="360"/>
      <c r="Q36" s="360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3">
      <c r="A37" s="360"/>
      <c r="B37" s="360"/>
      <c r="C37" s="360"/>
      <c r="D37" s="360"/>
      <c r="E37" s="360"/>
      <c r="F37" s="360"/>
      <c r="G37" s="360"/>
      <c r="H37" s="360"/>
      <c r="I37" s="360"/>
      <c r="J37" s="360"/>
      <c r="K37" s="360"/>
      <c r="L37" s="360"/>
      <c r="M37" s="360"/>
      <c r="N37" s="360"/>
      <c r="O37" s="360"/>
      <c r="P37" s="360"/>
      <c r="Q37" s="360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3">
      <c r="A38" s="360"/>
      <c r="B38" s="360"/>
      <c r="C38" s="360"/>
      <c r="D38" s="360"/>
      <c r="E38" s="360"/>
      <c r="F38" s="360"/>
      <c r="G38" s="360"/>
      <c r="H38" s="360"/>
      <c r="I38" s="360"/>
      <c r="J38" s="360"/>
      <c r="K38" s="360"/>
      <c r="L38" s="360"/>
      <c r="M38" s="360"/>
      <c r="N38" s="360"/>
      <c r="O38" s="360"/>
      <c r="P38" s="360"/>
      <c r="Q38" s="360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3">
      <c r="A39" s="360"/>
      <c r="B39" s="360"/>
      <c r="C39" s="360"/>
      <c r="D39" s="360"/>
      <c r="E39" s="360"/>
      <c r="F39" s="360"/>
      <c r="G39" s="360"/>
      <c r="H39" s="360"/>
      <c r="I39" s="360"/>
      <c r="J39" s="360"/>
      <c r="K39" s="360"/>
      <c r="L39" s="360"/>
      <c r="M39" s="360"/>
      <c r="N39" s="360"/>
      <c r="O39" s="360"/>
      <c r="P39" s="360"/>
      <c r="Q39" s="360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3">
      <c r="A40" s="360"/>
      <c r="B40" s="360"/>
      <c r="C40" s="360"/>
      <c r="D40" s="360"/>
      <c r="E40" s="360"/>
      <c r="F40" s="360"/>
      <c r="G40" s="360"/>
      <c r="H40" s="360"/>
      <c r="I40" s="360"/>
      <c r="J40" s="360"/>
      <c r="K40" s="360"/>
      <c r="L40" s="360"/>
      <c r="M40" s="360"/>
      <c r="N40" s="360"/>
      <c r="O40" s="360"/>
      <c r="P40" s="360"/>
      <c r="Q40" s="360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3">
      <c r="A41" s="360"/>
      <c r="B41" s="360"/>
      <c r="C41" s="360"/>
      <c r="D41" s="360"/>
      <c r="E41" s="360"/>
      <c r="F41" s="360"/>
      <c r="G41" s="360"/>
      <c r="H41" s="360"/>
      <c r="I41" s="360"/>
      <c r="J41" s="360"/>
      <c r="K41" s="360"/>
      <c r="L41" s="360"/>
      <c r="M41" s="360"/>
      <c r="N41" s="360"/>
      <c r="O41" s="360"/>
      <c r="P41" s="360"/>
      <c r="Q41" s="360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3">
      <c r="A42" s="360"/>
      <c r="B42" s="360"/>
      <c r="C42" s="360"/>
      <c r="D42" s="360"/>
      <c r="E42" s="360"/>
      <c r="F42" s="360"/>
      <c r="G42" s="360"/>
      <c r="H42" s="360"/>
      <c r="I42" s="360"/>
      <c r="J42" s="360"/>
      <c r="K42" s="360"/>
      <c r="L42" s="360"/>
      <c r="M42" s="360"/>
      <c r="N42" s="360"/>
      <c r="O42" s="360"/>
      <c r="P42" s="360"/>
      <c r="Q42" s="360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3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3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3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3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3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3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3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3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3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3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3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3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3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3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3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3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3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3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3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3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3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3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3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3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3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3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3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3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3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3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3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3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3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3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3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3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3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3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3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3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3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3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3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3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3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3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3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3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3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3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3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3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3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3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3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3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3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3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3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3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3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3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3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3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3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3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3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3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3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3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3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3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3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3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3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3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3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3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3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3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3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3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3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3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3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3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3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3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3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3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3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3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3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3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3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3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3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3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3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3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3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3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3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3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3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3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3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3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3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3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3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3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3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3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3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3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3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3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3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3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3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3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3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3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3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3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3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3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3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3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3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3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3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3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3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3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3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3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3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3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3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3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3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3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3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3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3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3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3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3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3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3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3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3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3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3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3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3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3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3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3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3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3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3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3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3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3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3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3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3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3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3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3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3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3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3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3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3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3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3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3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3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3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3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3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3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3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3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3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3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3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3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3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3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3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3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3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3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3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3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3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3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3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3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3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3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3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3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3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3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3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3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3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3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3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3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3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3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3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3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3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3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3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3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3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3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3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3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3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3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3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3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3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3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3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3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3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3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3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3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3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3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3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3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3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3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3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3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3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3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3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3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3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3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3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3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3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3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3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3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3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3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3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3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3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3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3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3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3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3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3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3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3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3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3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3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3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3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3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3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3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3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3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3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3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3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3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3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3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3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3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3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3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3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3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3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3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3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3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3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3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3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3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3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3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3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3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3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3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3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3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3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3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3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3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3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3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3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3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3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3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3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3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3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3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3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3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3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3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3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3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3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3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3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3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3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3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3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3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3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3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3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3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3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3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3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3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3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3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3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3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3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3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3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3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3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3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3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3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3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3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3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3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3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3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3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3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3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3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3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3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3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3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3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3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3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3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3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3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3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3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3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3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3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3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3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3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3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3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3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3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3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3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3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3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3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3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3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3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3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3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3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3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3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3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3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3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3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3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3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3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3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3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3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3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3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3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3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3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3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3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3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3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3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3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3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3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3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3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3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3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3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3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3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3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3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3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3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3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3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3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3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3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3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3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3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3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3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3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3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3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3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3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3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3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3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3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3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3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3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3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3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3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3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3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3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3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3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3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3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3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3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3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3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3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3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3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3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3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3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3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3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3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3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3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3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3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3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3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3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3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3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3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3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3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3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3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3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3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3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3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3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3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3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3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3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3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3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3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3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3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3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3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3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3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3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3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3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3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3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3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3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3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3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3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3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3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3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3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3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3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3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3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3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3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3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3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3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3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3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3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3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3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3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3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3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3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3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3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3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3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3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3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3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3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3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3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3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3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3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3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3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/>
    <hyperlink ref="D7" location="'Proy. ventas'!A1" display="Proyección de ventas"/>
    <hyperlink ref="D8" location="'Mod. ingresos'!A1" display="Modelo de ingresos"/>
    <hyperlink ref="D9" location="'Costos fijos'!A1" display="Estructura de costos fijos"/>
    <hyperlink ref="D11" location="'Costos RRHH'!A1" display="Estructura de costos de RRHH"/>
    <hyperlink ref="D12" location="'Mod. egresos'!A1" display="Modelo de egresos"/>
    <hyperlink ref="D13" location="'Mod. inversión'!A1" display="Modelo de inversión"/>
    <hyperlink ref="D14" location="Amortizaciones!A1" display="Amortizaciones"/>
    <hyperlink ref="D15" location="'Presupuesto financiero'!A1" display="Presupuesto Financiero"/>
    <hyperlink ref="D16" location="'Matriz riesgo'!A1" display="Matriz de riesgos"/>
    <hyperlink ref="D18" location="'Escenario 2'!A1" display="Escenario 2"/>
    <hyperlink ref="D19" location="'Escenario 3'!A1" display="Escenario 3"/>
    <hyperlink ref="D17" location="'Escenario 1'!A1" display="Escenario 1"/>
    <hyperlink ref="D20" location="'Plan de contingencia'!A1" display="Plan de contingencia"/>
    <hyperlink ref="D10" location="'Costos fijos'!A1" display="'Costos fijos'!A1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7"/>
  <sheetViews>
    <sheetView workbookViewId="0">
      <pane ySplit="1" topLeftCell="A38" activePane="bottomLeft" state="frozen"/>
      <selection pane="bottomLeft" activeCell="E12" sqref="E12"/>
    </sheetView>
  </sheetViews>
  <sheetFormatPr baseColWidth="10" defaultColWidth="12.59765625" defaultRowHeight="15" customHeight="1" x14ac:dyDescent="0.25"/>
  <cols>
    <col min="1" max="1" width="10" customWidth="1"/>
    <col min="2" max="2" width="13.19921875" bestFit="1" customWidth="1"/>
    <col min="3" max="3" width="15.09765625" bestFit="1" customWidth="1"/>
    <col min="4" max="4" width="35.69921875" customWidth="1"/>
    <col min="5" max="5" width="25.19921875" bestFit="1" customWidth="1"/>
    <col min="6" max="6" width="20.09765625" customWidth="1"/>
    <col min="7" max="7" width="13.59765625" customWidth="1"/>
    <col min="8" max="12" width="10" customWidth="1"/>
    <col min="13" max="13" width="7.69921875" customWidth="1"/>
    <col min="14" max="14" width="72" customWidth="1"/>
    <col min="15" max="16" width="10" customWidth="1"/>
    <col min="17" max="17" width="70.09765625" customWidth="1"/>
    <col min="18" max="26" width="10" customWidth="1"/>
  </cols>
  <sheetData>
    <row r="1" spans="1:27" ht="58.5" customHeight="1" x14ac:dyDescent="0.3">
      <c r="A1" s="169"/>
      <c r="B1" s="169"/>
      <c r="C1" s="169"/>
      <c r="D1" s="169"/>
      <c r="E1" s="205" t="s">
        <v>10</v>
      </c>
      <c r="F1" s="206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9"/>
      <c r="T1" s="9"/>
      <c r="U1" s="9"/>
      <c r="V1" s="9"/>
      <c r="W1" s="9"/>
      <c r="X1" s="9"/>
      <c r="Y1" s="9"/>
      <c r="Z1" s="9"/>
    </row>
    <row r="2" spans="1:27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6.4" thickBot="1" x14ac:dyDescent="0.55000000000000004">
      <c r="A3" s="1"/>
      <c r="B3" s="364" t="s">
        <v>24</v>
      </c>
      <c r="C3" s="365"/>
      <c r="D3" s="365"/>
      <c r="E3" s="365"/>
      <c r="F3" s="365"/>
      <c r="G3" s="365"/>
      <c r="H3" s="365"/>
      <c r="I3" s="36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3">
      <c r="A4" s="1"/>
      <c r="B4" s="367" t="s">
        <v>269</v>
      </c>
      <c r="C4" s="368"/>
      <c r="D4" s="368"/>
      <c r="E4" s="368"/>
      <c r="F4" s="368"/>
      <c r="G4" s="368"/>
      <c r="H4" s="368"/>
      <c r="I4" s="369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6.4" thickBot="1" x14ac:dyDescent="0.55000000000000004">
      <c r="A7" s="1"/>
      <c r="B7" s="364" t="s">
        <v>25</v>
      </c>
      <c r="C7" s="365"/>
      <c r="D7" s="365"/>
      <c r="E7" s="365"/>
      <c r="F7" s="365"/>
      <c r="G7" s="365"/>
      <c r="H7" s="365"/>
      <c r="I7" s="36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3">
      <c r="A8" s="1"/>
      <c r="B8" s="370" t="s">
        <v>275</v>
      </c>
      <c r="C8" s="371"/>
      <c r="D8" s="371"/>
      <c r="E8" s="371"/>
      <c r="F8" s="371"/>
      <c r="G8" s="371"/>
      <c r="H8" s="371"/>
      <c r="I8" s="37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" x14ac:dyDescent="0.3">
      <c r="A9" s="109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" x14ac:dyDescent="0.3">
      <c r="A10" s="109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2" x14ac:dyDescent="0.3">
      <c r="A11" s="142"/>
      <c r="B11" s="138" t="s">
        <v>178</v>
      </c>
      <c r="C11" s="138" t="s">
        <v>176</v>
      </c>
      <c r="D11" s="138" t="s">
        <v>177</v>
      </c>
      <c r="E11" s="138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3">
      <c r="A12" s="142"/>
      <c r="B12" s="139">
        <v>650</v>
      </c>
      <c r="C12" s="140">
        <v>100000</v>
      </c>
      <c r="D12" s="140">
        <f>C12*12</f>
        <v>1200000</v>
      </c>
      <c r="E12" s="141">
        <f>B12*D12</f>
        <v>780000000</v>
      </c>
      <c r="F12" s="133"/>
      <c r="G12" s="133"/>
      <c r="H12" s="133"/>
      <c r="I12" s="133"/>
      <c r="J12" s="133"/>
      <c r="K12" s="109"/>
      <c r="L12" s="109"/>
      <c r="M12" s="109"/>
      <c r="N12" s="109"/>
      <c r="O12" s="134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</row>
    <row r="13" spans="1:27" ht="21" customHeight="1" x14ac:dyDescent="0.3">
      <c r="A13" s="109"/>
      <c r="B13" s="135"/>
      <c r="C13" s="136"/>
      <c r="D13" s="137"/>
      <c r="E13" s="133"/>
      <c r="F13" s="133"/>
      <c r="G13" s="133"/>
      <c r="H13" s="133"/>
      <c r="I13" s="133"/>
      <c r="J13" s="109"/>
      <c r="K13" s="109"/>
      <c r="L13" s="109"/>
      <c r="M13" s="109"/>
      <c r="N13" s="134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7" ht="12" customHeight="1" x14ac:dyDescent="0.3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6.4" thickBot="1" x14ac:dyDescent="0.55000000000000004">
      <c r="A16" s="1"/>
      <c r="B16" s="373" t="s">
        <v>26</v>
      </c>
      <c r="C16" s="374"/>
      <c r="D16" s="374"/>
      <c r="E16" s="374"/>
      <c r="F16" s="374"/>
      <c r="G16" s="374"/>
      <c r="H16" s="374"/>
      <c r="I16" s="375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3">
      <c r="A17" s="1"/>
      <c r="B17" s="376" t="s">
        <v>282</v>
      </c>
      <c r="C17" s="377"/>
      <c r="D17" s="377"/>
      <c r="E17" s="377"/>
      <c r="F17" s="377"/>
      <c r="G17" s="377"/>
      <c r="H17" s="377"/>
      <c r="I17" s="37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6" x14ac:dyDescent="0.3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6" x14ac:dyDescent="0.3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6" x14ac:dyDescent="0.3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55000000000000004">
      <c r="A23" s="1"/>
      <c r="B23" s="379" t="s">
        <v>27</v>
      </c>
      <c r="C23" s="380"/>
      <c r="D23" s="381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31" t="s">
        <v>28</v>
      </c>
      <c r="C24" s="131" t="s">
        <v>29</v>
      </c>
      <c r="D24" s="132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3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3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3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3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3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3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5">
      <c r="A35" s="1"/>
      <c r="B35" s="382" t="s">
        <v>31</v>
      </c>
      <c r="C35" s="383"/>
      <c r="D35" s="383"/>
      <c r="E35" s="38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5">
      <c r="A36" s="1"/>
      <c r="B36" s="143" t="s">
        <v>32</v>
      </c>
      <c r="C36" s="144" t="s">
        <v>33</v>
      </c>
      <c r="D36" s="385" t="s">
        <v>34</v>
      </c>
      <c r="E36" s="38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5">
      <c r="A37" s="1"/>
      <c r="B37" s="157" t="s">
        <v>179</v>
      </c>
      <c r="C37" s="204">
        <v>90000</v>
      </c>
      <c r="D37" s="387" t="s">
        <v>227</v>
      </c>
      <c r="E37" s="388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5">
      <c r="A38" s="1"/>
      <c r="B38" s="145" t="s">
        <v>180</v>
      </c>
      <c r="C38" s="146">
        <v>100000</v>
      </c>
      <c r="D38" s="389" t="s">
        <v>226</v>
      </c>
      <c r="E38" s="390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3">
      <c r="A39" s="1"/>
      <c r="B39" s="147" t="s">
        <v>35</v>
      </c>
      <c r="C39" s="148">
        <v>110000</v>
      </c>
      <c r="D39" s="362" t="s">
        <v>228</v>
      </c>
      <c r="E39" s="36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59765625" defaultRowHeight="15" customHeight="1" x14ac:dyDescent="0.25"/>
  <cols>
    <col min="1" max="1" width="19.5" bestFit="1" customWidth="1"/>
    <col min="2" max="2" width="41.5" customWidth="1"/>
    <col min="3" max="3" width="40.3984375" customWidth="1"/>
    <col min="4" max="4" width="32.59765625" customWidth="1"/>
    <col min="5" max="5" width="7.69921875" bestFit="1" customWidth="1"/>
    <col min="6" max="6" width="14.59765625" bestFit="1" customWidth="1"/>
    <col min="7" max="7" width="7.69921875" bestFit="1" customWidth="1"/>
    <col min="8" max="8" width="15.5" customWidth="1"/>
    <col min="9" max="9" width="7.69921875" bestFit="1" customWidth="1"/>
    <col min="10" max="10" width="16.5" customWidth="1"/>
    <col min="11" max="11" width="7.69921875" bestFit="1" customWidth="1"/>
    <col min="12" max="12" width="14.59765625" bestFit="1" customWidth="1"/>
    <col min="13" max="13" width="7.69921875" bestFit="1" customWidth="1"/>
    <col min="14" max="14" width="14.8984375" customWidth="1"/>
    <col min="15" max="15" width="7.69921875" bestFit="1" customWidth="1"/>
    <col min="16" max="16" width="15.59765625" customWidth="1"/>
    <col min="17" max="17" width="7.69921875" bestFit="1" customWidth="1"/>
    <col min="18" max="18" width="15.69921875" customWidth="1"/>
    <col min="19" max="19" width="7.69921875" bestFit="1" customWidth="1"/>
    <col min="20" max="20" width="16.19921875" customWidth="1"/>
    <col min="21" max="21" width="7.69921875" customWidth="1"/>
    <col min="22" max="22" width="16" customWidth="1"/>
    <col min="23" max="23" width="7.69921875" customWidth="1"/>
    <col min="24" max="24" width="15.3984375" customWidth="1"/>
    <col min="25" max="25" width="7.69921875" bestFit="1" customWidth="1"/>
    <col min="26" max="26" width="15.69921875" customWidth="1"/>
    <col min="27" max="27" width="7.69921875" customWidth="1"/>
    <col min="28" max="28" width="15.8984375" customWidth="1"/>
    <col min="29" max="29" width="16.3984375" customWidth="1"/>
    <col min="30" max="48" width="10" customWidth="1"/>
  </cols>
  <sheetData>
    <row r="1" spans="1:43" ht="84.75" customHeight="1" x14ac:dyDescent="0.3">
      <c r="A1" s="149"/>
      <c r="B1" s="150"/>
      <c r="C1" s="437" t="s">
        <v>11</v>
      </c>
      <c r="D1" s="438"/>
      <c r="E1" s="438"/>
      <c r="F1" s="439"/>
      <c r="G1" s="149"/>
      <c r="H1" s="149"/>
      <c r="I1" s="151"/>
      <c r="J1" s="151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</row>
    <row r="2" spans="1:43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6.4" thickBot="1" x14ac:dyDescent="0.55000000000000004">
      <c r="A5" s="1"/>
      <c r="B5" s="346" t="s">
        <v>36</v>
      </c>
      <c r="C5" s="347"/>
      <c r="D5" s="347"/>
      <c r="E5" s="347"/>
      <c r="F5" s="347"/>
      <c r="G5" s="348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3">
      <c r="A6" s="22"/>
      <c r="B6" s="479" t="s">
        <v>204</v>
      </c>
      <c r="C6" s="480"/>
      <c r="D6" s="480"/>
      <c r="E6" s="480"/>
      <c r="F6" s="480"/>
      <c r="G6" s="481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3">
      <c r="A7" s="22"/>
      <c r="B7" s="482"/>
      <c r="C7" s="483"/>
      <c r="D7" s="483"/>
      <c r="E7" s="483"/>
      <c r="F7" s="483"/>
      <c r="G7" s="484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3">
      <c r="A8" s="22"/>
      <c r="B8" s="482"/>
      <c r="C8" s="483"/>
      <c r="D8" s="483"/>
      <c r="E8" s="483"/>
      <c r="F8" s="483"/>
      <c r="G8" s="484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3">
      <c r="A9" s="1"/>
      <c r="B9" s="482"/>
      <c r="C9" s="483"/>
      <c r="D9" s="483"/>
      <c r="E9" s="483"/>
      <c r="F9" s="483"/>
      <c r="G9" s="484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3">
      <c r="A10" s="1" t="s">
        <v>37</v>
      </c>
      <c r="B10" s="482"/>
      <c r="C10" s="483"/>
      <c r="D10" s="483"/>
      <c r="E10" s="483"/>
      <c r="F10" s="483"/>
      <c r="G10" s="484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3">
      <c r="A11" s="1"/>
      <c r="B11" s="482"/>
      <c r="C11" s="483"/>
      <c r="D11" s="483"/>
      <c r="E11" s="483"/>
      <c r="F11" s="483"/>
      <c r="G11" s="484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5">
      <c r="A12" s="1"/>
      <c r="B12" s="485"/>
      <c r="C12" s="486"/>
      <c r="D12" s="486"/>
      <c r="E12" s="486"/>
      <c r="F12" s="486"/>
      <c r="G12" s="487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5">
      <c r="A15" s="440" t="s">
        <v>67</v>
      </c>
      <c r="B15" s="441"/>
      <c r="C15" s="441"/>
      <c r="D15" s="441"/>
      <c r="E15" s="441"/>
      <c r="F15" s="441"/>
      <c r="G15" s="441"/>
      <c r="H15" s="441"/>
      <c r="I15" s="441"/>
      <c r="J15" s="441"/>
      <c r="K15" s="441"/>
      <c r="L15" s="441"/>
      <c r="M15" s="441"/>
      <c r="N15" s="441"/>
      <c r="O15" s="441"/>
      <c r="P15" s="441"/>
      <c r="Q15" s="441"/>
      <c r="R15" s="441"/>
      <c r="S15" s="441"/>
      <c r="T15" s="441"/>
      <c r="U15" s="441"/>
      <c r="V15" s="441"/>
      <c r="W15" s="441"/>
      <c r="X15" s="441"/>
      <c r="Y15" s="441"/>
      <c r="Z15" s="441"/>
      <c r="AA15" s="441"/>
      <c r="AB15" s="44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thickBot="1" x14ac:dyDescent="0.35">
      <c r="A16" s="442" t="s">
        <v>181</v>
      </c>
      <c r="B16" s="442" t="s">
        <v>33</v>
      </c>
      <c r="C16" s="421" t="s">
        <v>38</v>
      </c>
      <c r="D16" s="420"/>
      <c r="E16" s="443" t="s">
        <v>39</v>
      </c>
      <c r="F16" s="420"/>
      <c r="G16" s="443" t="s">
        <v>40</v>
      </c>
      <c r="H16" s="420"/>
      <c r="I16" s="443" t="s">
        <v>41</v>
      </c>
      <c r="J16" s="420"/>
      <c r="K16" s="443" t="s">
        <v>42</v>
      </c>
      <c r="L16" s="420"/>
      <c r="M16" s="443" t="s">
        <v>43</v>
      </c>
      <c r="N16" s="420"/>
      <c r="O16" s="443" t="s">
        <v>44</v>
      </c>
      <c r="P16" s="420"/>
      <c r="Q16" s="443" t="s">
        <v>45</v>
      </c>
      <c r="R16" s="420"/>
      <c r="S16" s="443" t="s">
        <v>46</v>
      </c>
      <c r="T16" s="420"/>
      <c r="U16" s="443" t="s">
        <v>47</v>
      </c>
      <c r="V16" s="420"/>
      <c r="W16" s="443" t="s">
        <v>48</v>
      </c>
      <c r="X16" s="420"/>
      <c r="Y16" s="443" t="s">
        <v>49</v>
      </c>
      <c r="Z16" s="420"/>
      <c r="AA16" s="443" t="s">
        <v>50</v>
      </c>
      <c r="AB16" s="420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thickBot="1" x14ac:dyDescent="0.35">
      <c r="A17" s="441"/>
      <c r="B17" s="441"/>
      <c r="C17" s="421" t="s">
        <v>52</v>
      </c>
      <c r="D17" s="421" t="s">
        <v>51</v>
      </c>
      <c r="E17" s="419">
        <v>0.05</v>
      </c>
      <c r="F17" s="420"/>
      <c r="G17" s="419">
        <v>0.05</v>
      </c>
      <c r="H17" s="419"/>
      <c r="I17" s="419">
        <v>0.05</v>
      </c>
      <c r="J17" s="420"/>
      <c r="K17" s="419">
        <v>7.0000000000000007E-2</v>
      </c>
      <c r="L17" s="419"/>
      <c r="M17" s="419">
        <v>0.1</v>
      </c>
      <c r="N17" s="420"/>
      <c r="O17" s="419">
        <v>0.15</v>
      </c>
      <c r="P17" s="419"/>
      <c r="Q17" s="419">
        <v>7.0000000000000007E-2</v>
      </c>
      <c r="R17" s="420"/>
      <c r="S17" s="419">
        <v>7.0000000000000007E-2</v>
      </c>
      <c r="T17" s="419"/>
      <c r="U17" s="419">
        <v>7.0000000000000007E-2</v>
      </c>
      <c r="V17" s="420"/>
      <c r="W17" s="419">
        <v>7.0000000000000007E-2</v>
      </c>
      <c r="X17" s="419"/>
      <c r="Y17" s="419">
        <v>0.1</v>
      </c>
      <c r="Z17" s="420"/>
      <c r="AA17" s="419">
        <v>0.15</v>
      </c>
      <c r="AB17" s="419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5">
      <c r="A18" s="441"/>
      <c r="B18" s="441"/>
      <c r="C18" s="420"/>
      <c r="D18" s="420"/>
      <c r="E18" s="174" t="s">
        <v>52</v>
      </c>
      <c r="F18" s="174" t="s">
        <v>51</v>
      </c>
      <c r="G18" s="174" t="s">
        <v>52</v>
      </c>
      <c r="H18" s="174" t="s">
        <v>51</v>
      </c>
      <c r="I18" s="174" t="s">
        <v>52</v>
      </c>
      <c r="J18" s="174" t="s">
        <v>51</v>
      </c>
      <c r="K18" s="174" t="s">
        <v>52</v>
      </c>
      <c r="L18" s="174" t="s">
        <v>51</v>
      </c>
      <c r="M18" s="174" t="s">
        <v>52</v>
      </c>
      <c r="N18" s="174" t="s">
        <v>51</v>
      </c>
      <c r="O18" s="174" t="s">
        <v>52</v>
      </c>
      <c r="P18" s="174" t="s">
        <v>51</v>
      </c>
      <c r="Q18" s="174" t="s">
        <v>52</v>
      </c>
      <c r="R18" s="174" t="s">
        <v>51</v>
      </c>
      <c r="S18" s="174" t="s">
        <v>52</v>
      </c>
      <c r="T18" s="174" t="s">
        <v>51</v>
      </c>
      <c r="U18" s="174" t="s">
        <v>52</v>
      </c>
      <c r="V18" s="174" t="s">
        <v>51</v>
      </c>
      <c r="W18" s="174" t="s">
        <v>52</v>
      </c>
      <c r="X18" s="174" t="s">
        <v>51</v>
      </c>
      <c r="Y18" s="174" t="s">
        <v>52</v>
      </c>
      <c r="Z18" s="174" t="s">
        <v>51</v>
      </c>
      <c r="AA18" s="174" t="s">
        <v>52</v>
      </c>
      <c r="AB18" s="17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2" thickBot="1" x14ac:dyDescent="0.35">
      <c r="A19" s="238" t="str">
        <f>Hipótesis!B37</f>
        <v>Inicial</v>
      </c>
      <c r="B19" s="239">
        <f>Hipótesis!C37</f>
        <v>90000</v>
      </c>
      <c r="C19" s="210">
        <f>E19+G19+I19+K19+M19+O19+Q19+S19+U19+W19+Y19+AA19</f>
        <v>9</v>
      </c>
      <c r="D19" s="209">
        <f>B19*C19</f>
        <v>810000</v>
      </c>
      <c r="E19" s="211">
        <v>0</v>
      </c>
      <c r="F19" s="209">
        <f>B19*E19</f>
        <v>0</v>
      </c>
      <c r="G19" s="211">
        <v>0</v>
      </c>
      <c r="H19" s="209">
        <f>B19*G19</f>
        <v>0</v>
      </c>
      <c r="I19" s="211">
        <v>0</v>
      </c>
      <c r="J19" s="209">
        <f>B19*I19</f>
        <v>0</v>
      </c>
      <c r="K19" s="211">
        <v>1</v>
      </c>
      <c r="L19" s="209">
        <f>K19*B19</f>
        <v>90000</v>
      </c>
      <c r="M19" s="211">
        <v>1</v>
      </c>
      <c r="N19" s="209">
        <f>M19*B19</f>
        <v>90000</v>
      </c>
      <c r="O19" s="211">
        <v>1</v>
      </c>
      <c r="P19" s="209">
        <f>O19*B19</f>
        <v>90000</v>
      </c>
      <c r="Q19" s="211">
        <v>1</v>
      </c>
      <c r="R19" s="209">
        <f t="shared" ref="R19:R21" si="0">N19*Q19</f>
        <v>90000</v>
      </c>
      <c r="S19" s="211">
        <v>1</v>
      </c>
      <c r="T19" s="209">
        <f>S19*B19</f>
        <v>90000</v>
      </c>
      <c r="U19" s="211">
        <v>1</v>
      </c>
      <c r="V19" s="209">
        <f t="shared" ref="V19:V21" si="1">R19*U19</f>
        <v>90000</v>
      </c>
      <c r="W19" s="211">
        <v>1</v>
      </c>
      <c r="X19" s="209">
        <f t="shared" ref="X19:X21" si="2">R19*W19</f>
        <v>90000</v>
      </c>
      <c r="Y19" s="211">
        <v>1</v>
      </c>
      <c r="Z19" s="209">
        <f t="shared" ref="Z19" si="3">V19*Y19</f>
        <v>90000</v>
      </c>
      <c r="AA19" s="211">
        <v>1</v>
      </c>
      <c r="AB19" s="20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2" thickBot="1" x14ac:dyDescent="0.35">
      <c r="A20" s="240" t="str">
        <f>Hipótesis!B38</f>
        <v>Normal</v>
      </c>
      <c r="B20" s="241">
        <f>Hipótesis!C38</f>
        <v>100000</v>
      </c>
      <c r="C20" s="213">
        <f>E20+G20+I20+K20+M20+O20+Q20+S20+U20+W20+Y20+AA20</f>
        <v>18</v>
      </c>
      <c r="D20" s="212">
        <f t="shared" ref="D20:D21" si="4">B20*C20</f>
        <v>1800000</v>
      </c>
      <c r="E20" s="213">
        <v>1</v>
      </c>
      <c r="F20" s="214">
        <f t="shared" ref="F20:F21" si="5">B20*E20</f>
        <v>100000</v>
      </c>
      <c r="G20" s="213">
        <v>1</v>
      </c>
      <c r="H20" s="214">
        <f t="shared" ref="H20:H21" si="6">B20*G20</f>
        <v>100000</v>
      </c>
      <c r="I20" s="213">
        <v>1</v>
      </c>
      <c r="J20" s="214">
        <f>I20*$B$20</f>
        <v>100000</v>
      </c>
      <c r="K20" s="213">
        <v>1</v>
      </c>
      <c r="L20" s="214">
        <f>K20*$B$20</f>
        <v>100000</v>
      </c>
      <c r="M20" s="213">
        <v>2</v>
      </c>
      <c r="N20" s="214">
        <f t="shared" ref="N20:N21" si="7">J20*M20</f>
        <v>200000</v>
      </c>
      <c r="O20" s="213">
        <v>3</v>
      </c>
      <c r="P20" s="214">
        <f t="shared" ref="P20:P21" si="8">J20*O20</f>
        <v>300000</v>
      </c>
      <c r="Q20" s="213">
        <v>1</v>
      </c>
      <c r="R20" s="214">
        <f>Q20*B20</f>
        <v>100000</v>
      </c>
      <c r="S20" s="213">
        <v>1</v>
      </c>
      <c r="T20" s="214">
        <f>B20*S20</f>
        <v>100000</v>
      </c>
      <c r="U20" s="213">
        <v>1</v>
      </c>
      <c r="V20" s="214">
        <f t="shared" si="1"/>
        <v>100000</v>
      </c>
      <c r="W20" s="213">
        <v>1</v>
      </c>
      <c r="X20" s="214">
        <f t="shared" si="2"/>
        <v>100000</v>
      </c>
      <c r="Y20" s="213">
        <v>2</v>
      </c>
      <c r="Z20" s="214">
        <f>$B$20*Y20</f>
        <v>200000</v>
      </c>
      <c r="AA20" s="213">
        <v>3</v>
      </c>
      <c r="AB20" s="21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5">
      <c r="A21" s="242" t="str">
        <f>Hipótesis!B39</f>
        <v>Premium</v>
      </c>
      <c r="B21" s="243">
        <f>Hipótesis!C39</f>
        <v>110000</v>
      </c>
      <c r="C21" s="216">
        <f>E21+G21+I21+K21+M21+O21+Q21+S21+U21+W21+Y21+AA21</f>
        <v>14</v>
      </c>
      <c r="D21" s="215">
        <f t="shared" si="4"/>
        <v>1540000</v>
      </c>
      <c r="E21" s="217">
        <v>1</v>
      </c>
      <c r="F21" s="218">
        <f t="shared" si="5"/>
        <v>110000</v>
      </c>
      <c r="G21" s="217">
        <v>1</v>
      </c>
      <c r="H21" s="218">
        <f t="shared" si="6"/>
        <v>110000</v>
      </c>
      <c r="I21" s="217">
        <v>1</v>
      </c>
      <c r="J21" s="218">
        <f t="shared" ref="J21" si="9">F21*I21</f>
        <v>110000</v>
      </c>
      <c r="K21" s="217">
        <v>1</v>
      </c>
      <c r="L21" s="218">
        <f t="shared" ref="L21" si="10">F21*K21</f>
        <v>110000</v>
      </c>
      <c r="M21" s="217">
        <v>1</v>
      </c>
      <c r="N21" s="218">
        <f t="shared" si="7"/>
        <v>110000</v>
      </c>
      <c r="O21" s="217">
        <v>2</v>
      </c>
      <c r="P21" s="218">
        <f t="shared" si="8"/>
        <v>220000</v>
      </c>
      <c r="Q21" s="217">
        <v>1</v>
      </c>
      <c r="R21" s="218">
        <f t="shared" si="0"/>
        <v>110000</v>
      </c>
      <c r="S21" s="217">
        <v>1</v>
      </c>
      <c r="T21" s="218">
        <f t="shared" ref="T21" si="11">N21*S21</f>
        <v>110000</v>
      </c>
      <c r="U21" s="217">
        <v>1</v>
      </c>
      <c r="V21" s="218">
        <f t="shared" si="1"/>
        <v>110000</v>
      </c>
      <c r="W21" s="217">
        <v>1</v>
      </c>
      <c r="X21" s="218">
        <f t="shared" si="2"/>
        <v>110000</v>
      </c>
      <c r="Y21" s="217">
        <v>1</v>
      </c>
      <c r="Z21" s="218">
        <f>B21*Y21</f>
        <v>110000</v>
      </c>
      <c r="AA21" s="217">
        <v>2</v>
      </c>
      <c r="AB21" s="21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5">
      <c r="A22" s="453" t="s">
        <v>53</v>
      </c>
      <c r="B22" s="454"/>
      <c r="C22" s="220">
        <f t="shared" ref="C22:AB22" si="12">SUM(C19:C21)</f>
        <v>41</v>
      </c>
      <c r="D22" s="219">
        <f t="shared" si="12"/>
        <v>4150000</v>
      </c>
      <c r="E22" s="220">
        <f t="shared" si="12"/>
        <v>2</v>
      </c>
      <c r="F22" s="219">
        <f t="shared" si="12"/>
        <v>210000</v>
      </c>
      <c r="G22" s="220">
        <f t="shared" si="12"/>
        <v>2</v>
      </c>
      <c r="H22" s="219">
        <f t="shared" si="12"/>
        <v>210000</v>
      </c>
      <c r="I22" s="220">
        <f t="shared" si="12"/>
        <v>2</v>
      </c>
      <c r="J22" s="219">
        <f t="shared" si="12"/>
        <v>210000</v>
      </c>
      <c r="K22" s="220">
        <f t="shared" si="12"/>
        <v>3</v>
      </c>
      <c r="L22" s="219">
        <f t="shared" si="12"/>
        <v>300000</v>
      </c>
      <c r="M22" s="220">
        <f t="shared" si="12"/>
        <v>4</v>
      </c>
      <c r="N22" s="219">
        <f t="shared" si="12"/>
        <v>400000</v>
      </c>
      <c r="O22" s="220">
        <f t="shared" si="12"/>
        <v>6</v>
      </c>
      <c r="P22" s="219">
        <f t="shared" si="12"/>
        <v>610000</v>
      </c>
      <c r="Q22" s="220">
        <f t="shared" si="12"/>
        <v>3</v>
      </c>
      <c r="R22" s="219">
        <f t="shared" si="12"/>
        <v>300000</v>
      </c>
      <c r="S22" s="220">
        <f t="shared" si="12"/>
        <v>3</v>
      </c>
      <c r="T22" s="219">
        <f t="shared" si="12"/>
        <v>300000</v>
      </c>
      <c r="U22" s="220">
        <f t="shared" si="12"/>
        <v>3</v>
      </c>
      <c r="V22" s="219">
        <f t="shared" si="12"/>
        <v>300000</v>
      </c>
      <c r="W22" s="220">
        <f t="shared" si="12"/>
        <v>3</v>
      </c>
      <c r="X22" s="219">
        <f t="shared" si="12"/>
        <v>300000</v>
      </c>
      <c r="Y22" s="220">
        <f t="shared" si="12"/>
        <v>4</v>
      </c>
      <c r="Z22" s="219">
        <f t="shared" si="12"/>
        <v>400000</v>
      </c>
      <c r="AA22" s="220">
        <f t="shared" si="12"/>
        <v>6</v>
      </c>
      <c r="AB22" s="219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5">
      <c r="A23" s="426" t="s">
        <v>189</v>
      </c>
      <c r="B23" s="427"/>
      <c r="C23" s="428"/>
      <c r="D23" s="221">
        <f t="shared" ref="D23:D25" si="13">SUM(F23+H23+J23+L23+N23+P23+R23+T23+V23+X23+Z23+AB23)</f>
        <v>4050000</v>
      </c>
      <c r="E23" s="222">
        <f>E19</f>
        <v>0</v>
      </c>
      <c r="F23" s="223">
        <f>B19*E23*E19</f>
        <v>0</v>
      </c>
      <c r="G23" s="222">
        <f>G19+E23</f>
        <v>0</v>
      </c>
      <c r="H23" s="223">
        <f>B19*G23*G19</f>
        <v>0</v>
      </c>
      <c r="I23" s="222">
        <f>I19+G23</f>
        <v>0</v>
      </c>
      <c r="J23" s="223">
        <f>B19*I23*I19</f>
        <v>0</v>
      </c>
      <c r="K23" s="222">
        <f>K19+I23</f>
        <v>1</v>
      </c>
      <c r="L23" s="223">
        <f>B19*K23*K19</f>
        <v>90000</v>
      </c>
      <c r="M23" s="222">
        <f>K23+M19</f>
        <v>2</v>
      </c>
      <c r="N23" s="224">
        <f>L23+B19*M19</f>
        <v>180000</v>
      </c>
      <c r="O23" s="222">
        <f>M23+O19</f>
        <v>3</v>
      </c>
      <c r="P23" s="224">
        <f>N23+B19*O19</f>
        <v>270000</v>
      </c>
      <c r="Q23" s="222">
        <f>O23+Q19</f>
        <v>4</v>
      </c>
      <c r="R23" s="224">
        <f>P23+B19*Q19</f>
        <v>360000</v>
      </c>
      <c r="S23" s="222">
        <f>Q23+1</f>
        <v>5</v>
      </c>
      <c r="T23" s="224">
        <f>R23+B19*S19</f>
        <v>450000</v>
      </c>
      <c r="U23" s="222">
        <f>S23+1</f>
        <v>6</v>
      </c>
      <c r="V23" s="224">
        <f>T23+B19*U19</f>
        <v>540000</v>
      </c>
      <c r="W23" s="222">
        <f>U23+1</f>
        <v>7</v>
      </c>
      <c r="X23" s="224">
        <f>V23+X19*W19</f>
        <v>630000</v>
      </c>
      <c r="Y23" s="222">
        <f>W23+1</f>
        <v>8</v>
      </c>
      <c r="Z23" s="224">
        <f>X23+B19*Y19</f>
        <v>720000</v>
      </c>
      <c r="AA23" s="222">
        <f>Y23+1</f>
        <v>9</v>
      </c>
      <c r="AB23" s="224">
        <f>Z23+B19*AA19</f>
        <v>810000</v>
      </c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</row>
    <row r="24" spans="1:43" ht="15.75" customHeight="1" thickBot="1" x14ac:dyDescent="0.35">
      <c r="A24" s="429" t="s">
        <v>190</v>
      </c>
      <c r="B24" s="430"/>
      <c r="C24" s="431"/>
      <c r="D24" s="225">
        <f t="shared" si="13"/>
        <v>10400000</v>
      </c>
      <c r="E24" s="226">
        <f>E20</f>
        <v>1</v>
      </c>
      <c r="F24" s="227">
        <f>B20*E24*E20</f>
        <v>100000</v>
      </c>
      <c r="G24" s="226">
        <f>G20+E24</f>
        <v>2</v>
      </c>
      <c r="H24" s="227">
        <f>B20*G24*G20</f>
        <v>200000</v>
      </c>
      <c r="I24" s="226">
        <f>I20+G24</f>
        <v>3</v>
      </c>
      <c r="J24" s="227">
        <f>B20*I24*I20</f>
        <v>300000</v>
      </c>
      <c r="K24" s="226">
        <f>K20+I24</f>
        <v>4</v>
      </c>
      <c r="L24" s="227">
        <f>B20*K24*K20</f>
        <v>400000</v>
      </c>
      <c r="M24" s="226">
        <f>K24+M20</f>
        <v>6</v>
      </c>
      <c r="N24" s="228">
        <f>L24+B20*M20</f>
        <v>600000</v>
      </c>
      <c r="O24" s="226">
        <f>M24+O20</f>
        <v>9</v>
      </c>
      <c r="P24" s="228">
        <f>N24+B20*O20</f>
        <v>900000</v>
      </c>
      <c r="Q24" s="226">
        <f>O24+Q20</f>
        <v>10</v>
      </c>
      <c r="R24" s="228">
        <f>P24+B20*Q20</f>
        <v>1000000</v>
      </c>
      <c r="S24" s="226">
        <f>Q24+1</f>
        <v>11</v>
      </c>
      <c r="T24" s="228">
        <f>R24+B20*S20</f>
        <v>1100000</v>
      </c>
      <c r="U24" s="226">
        <f>S24+1</f>
        <v>12</v>
      </c>
      <c r="V24" s="228">
        <f>T24+B20*U20</f>
        <v>1200000</v>
      </c>
      <c r="W24" s="226">
        <f>U24+1</f>
        <v>13</v>
      </c>
      <c r="X24" s="228">
        <f>V24+X20*W20</f>
        <v>1300000</v>
      </c>
      <c r="Y24" s="226">
        <f>W24+Y20</f>
        <v>15</v>
      </c>
      <c r="Z24" s="228">
        <f>X24+B20*Y20</f>
        <v>1500000</v>
      </c>
      <c r="AA24" s="226">
        <f>Y24+AA20</f>
        <v>18</v>
      </c>
      <c r="AB24" s="228">
        <f>Z24+B20*AA20</f>
        <v>1800000</v>
      </c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</row>
    <row r="25" spans="1:43" ht="15.75" customHeight="1" thickBot="1" x14ac:dyDescent="0.35">
      <c r="A25" s="432" t="s">
        <v>191</v>
      </c>
      <c r="B25" s="433"/>
      <c r="C25" s="434"/>
      <c r="D25" s="229">
        <f t="shared" si="13"/>
        <v>9460000</v>
      </c>
      <c r="E25" s="230">
        <f>E21</f>
        <v>1</v>
      </c>
      <c r="F25" s="231">
        <f>B21*E25*E21</f>
        <v>110000</v>
      </c>
      <c r="G25" s="230">
        <f>G21+E25</f>
        <v>2</v>
      </c>
      <c r="H25" s="231">
        <f>B21*G25*G21</f>
        <v>220000</v>
      </c>
      <c r="I25" s="230">
        <f>I21+G25</f>
        <v>3</v>
      </c>
      <c r="J25" s="231">
        <f>B21*I25*I21</f>
        <v>330000</v>
      </c>
      <c r="K25" s="230">
        <f>K21+I25</f>
        <v>4</v>
      </c>
      <c r="L25" s="231">
        <f>B21*K25*K21</f>
        <v>440000</v>
      </c>
      <c r="M25" s="230">
        <f>K25+M21</f>
        <v>5</v>
      </c>
      <c r="N25" s="232">
        <f>L25+B21*M21</f>
        <v>550000</v>
      </c>
      <c r="O25" s="230">
        <f>M25+O21</f>
        <v>7</v>
      </c>
      <c r="P25" s="232">
        <f>N25+B21*O21</f>
        <v>770000</v>
      </c>
      <c r="Q25" s="230">
        <f>O25+Q21</f>
        <v>8</v>
      </c>
      <c r="R25" s="232">
        <f>P25+B21*Q21</f>
        <v>880000</v>
      </c>
      <c r="S25" s="230">
        <f>Q25+1</f>
        <v>9</v>
      </c>
      <c r="T25" s="232">
        <f>R25+B21*S21</f>
        <v>990000</v>
      </c>
      <c r="U25" s="230">
        <f>S25+1</f>
        <v>10</v>
      </c>
      <c r="V25" s="232">
        <f>T25+B21*U21</f>
        <v>1100000</v>
      </c>
      <c r="W25" s="230">
        <f>U25+W21</f>
        <v>11</v>
      </c>
      <c r="X25" s="232">
        <f>V25+X21*W21</f>
        <v>1210000</v>
      </c>
      <c r="Y25" s="230">
        <f>W25+Y21</f>
        <v>12</v>
      </c>
      <c r="Z25" s="232">
        <f>X25+B21*Y21</f>
        <v>1320000</v>
      </c>
      <c r="AA25" s="230">
        <f>Y25+AA21</f>
        <v>14</v>
      </c>
      <c r="AB25" s="232">
        <f>Z25+B21*AA21</f>
        <v>1540000</v>
      </c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</row>
    <row r="26" spans="1:43" ht="15.75" customHeight="1" thickBot="1" x14ac:dyDescent="0.35">
      <c r="A26" s="455" t="s">
        <v>160</v>
      </c>
      <c r="B26" s="456"/>
      <c r="C26" s="233">
        <f>C22</f>
        <v>41</v>
      </c>
      <c r="D26" s="234">
        <f>SUM(D23:D25)</f>
        <v>23910000</v>
      </c>
      <c r="E26" s="235">
        <f>E22</f>
        <v>2</v>
      </c>
      <c r="F26" s="236">
        <f>F22</f>
        <v>210000</v>
      </c>
      <c r="G26" s="235">
        <f>E22+G22</f>
        <v>4</v>
      </c>
      <c r="H26" s="236">
        <f>F26+H22</f>
        <v>420000</v>
      </c>
      <c r="I26" s="235">
        <f>E22+G22+I22</f>
        <v>6</v>
      </c>
      <c r="J26" s="236">
        <f>H26+J22</f>
        <v>630000</v>
      </c>
      <c r="K26" s="235">
        <f>SUM(I26,K22)</f>
        <v>9</v>
      </c>
      <c r="L26" s="237">
        <f>J26+L22</f>
        <v>930000</v>
      </c>
      <c r="M26" s="235">
        <f>K26+M22</f>
        <v>13</v>
      </c>
      <c r="N26" s="233">
        <f t="shared" ref="N26:X26" si="14">SUM(L26,N22)</f>
        <v>1330000</v>
      </c>
      <c r="O26" s="235">
        <f t="shared" si="14"/>
        <v>19</v>
      </c>
      <c r="P26" s="233">
        <f t="shared" si="14"/>
        <v>1940000</v>
      </c>
      <c r="Q26" s="235">
        <f t="shared" si="14"/>
        <v>22</v>
      </c>
      <c r="R26" s="233">
        <f t="shared" si="14"/>
        <v>2240000</v>
      </c>
      <c r="S26" s="235">
        <f t="shared" si="14"/>
        <v>25</v>
      </c>
      <c r="T26" s="233">
        <f t="shared" si="14"/>
        <v>2540000</v>
      </c>
      <c r="U26" s="235">
        <f t="shared" si="14"/>
        <v>28</v>
      </c>
      <c r="V26" s="233">
        <f t="shared" si="14"/>
        <v>2840000</v>
      </c>
      <c r="W26" s="235">
        <f t="shared" si="14"/>
        <v>31</v>
      </c>
      <c r="X26" s="233">
        <f t="shared" si="14"/>
        <v>3140000</v>
      </c>
      <c r="Y26" s="235">
        <f>SUM(Y23:Y25)</f>
        <v>35</v>
      </c>
      <c r="Z26" s="233">
        <f>SUM(X26,Z22)</f>
        <v>3540000</v>
      </c>
      <c r="AA26" s="235">
        <f>SUM(AA23:AA25)</f>
        <v>41</v>
      </c>
      <c r="AB26" s="233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thickBot="1" x14ac:dyDescent="0.35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6.4" thickBot="1" x14ac:dyDescent="0.55000000000000004">
      <c r="A28" s="457" t="s">
        <v>185</v>
      </c>
      <c r="B28" s="458"/>
      <c r="C28" s="458"/>
      <c r="D28" s="458"/>
      <c r="E28" s="458"/>
      <c r="F28" s="458"/>
      <c r="G28" s="458"/>
      <c r="H28" s="458"/>
      <c r="I28" s="458"/>
      <c r="J28" s="458"/>
      <c r="K28" s="458"/>
      <c r="L28" s="458"/>
      <c r="M28" s="458"/>
      <c r="N28" s="458"/>
      <c r="O28" s="458"/>
      <c r="P28" s="458"/>
      <c r="Q28" s="458"/>
      <c r="R28" s="458"/>
      <c r="S28" s="458"/>
      <c r="T28" s="458"/>
      <c r="U28" s="458"/>
      <c r="V28" s="458"/>
      <c r="W28" s="458"/>
      <c r="X28" s="458"/>
      <c r="Y28" s="458"/>
      <c r="Z28" s="458"/>
      <c r="AA28" s="458"/>
      <c r="AB28" s="436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5">
      <c r="A29" s="158" t="s">
        <v>54</v>
      </c>
      <c r="B29" s="459" t="s">
        <v>182</v>
      </c>
      <c r="C29" s="460"/>
      <c r="D29" s="460"/>
      <c r="E29" s="460"/>
      <c r="F29" s="460"/>
      <c r="G29" s="460"/>
      <c r="H29" s="460"/>
      <c r="I29" s="460"/>
      <c r="J29" s="460"/>
      <c r="K29" s="460"/>
      <c r="L29" s="460"/>
      <c r="M29" s="460"/>
      <c r="N29" s="460"/>
      <c r="O29" s="460"/>
      <c r="P29" s="460"/>
      <c r="Q29" s="460"/>
      <c r="R29" s="460"/>
      <c r="S29" s="460"/>
      <c r="T29" s="460"/>
      <c r="U29" s="460"/>
      <c r="V29" s="460"/>
      <c r="W29" s="460"/>
      <c r="X29" s="460"/>
      <c r="Y29" s="460"/>
      <c r="Z29" s="460"/>
      <c r="AA29" s="460"/>
      <c r="AB29" s="46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5">
      <c r="A30" s="422" t="s">
        <v>55</v>
      </c>
      <c r="B30" s="423"/>
      <c r="C30" s="446" t="s">
        <v>56</v>
      </c>
      <c r="D30" s="436"/>
      <c r="E30" s="450" t="s">
        <v>223</v>
      </c>
      <c r="F30" s="451"/>
      <c r="G30" s="451"/>
      <c r="H30" s="451"/>
      <c r="I30" s="451"/>
      <c r="J30" s="451"/>
      <c r="K30" s="451"/>
      <c r="L30" s="451"/>
      <c r="M30" s="451"/>
      <c r="N30" s="451"/>
      <c r="O30" s="451"/>
      <c r="P30" s="451"/>
      <c r="Q30" s="451"/>
      <c r="R30" s="451"/>
      <c r="S30" s="451"/>
      <c r="T30" s="451"/>
      <c r="U30" s="451"/>
      <c r="V30" s="451"/>
      <c r="W30" s="451"/>
      <c r="X30" s="451"/>
      <c r="Y30" s="451"/>
      <c r="Z30" s="451"/>
      <c r="AA30" s="451"/>
      <c r="AB30" s="452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5">
      <c r="A31" s="424"/>
      <c r="B31" s="425"/>
      <c r="C31" s="159" t="s">
        <v>52</v>
      </c>
      <c r="D31" s="160" t="s">
        <v>55</v>
      </c>
      <c r="E31" s="435" t="s">
        <v>39</v>
      </c>
      <c r="F31" s="436"/>
      <c r="G31" s="435" t="s">
        <v>40</v>
      </c>
      <c r="H31" s="436"/>
      <c r="I31" s="435" t="s">
        <v>41</v>
      </c>
      <c r="J31" s="436"/>
      <c r="K31" s="435" t="s">
        <v>42</v>
      </c>
      <c r="L31" s="436"/>
      <c r="M31" s="435" t="s">
        <v>43</v>
      </c>
      <c r="N31" s="436"/>
      <c r="O31" s="435" t="s">
        <v>44</v>
      </c>
      <c r="P31" s="436"/>
      <c r="Q31" s="435" t="s">
        <v>45</v>
      </c>
      <c r="R31" s="436"/>
      <c r="S31" s="435" t="s">
        <v>46</v>
      </c>
      <c r="T31" s="436"/>
      <c r="U31" s="435" t="s">
        <v>47</v>
      </c>
      <c r="V31" s="436"/>
      <c r="W31" s="435" t="s">
        <v>48</v>
      </c>
      <c r="X31" s="436"/>
      <c r="Y31" s="435" t="s">
        <v>49</v>
      </c>
      <c r="Z31" s="436"/>
      <c r="AA31" s="435" t="s">
        <v>50</v>
      </c>
      <c r="AB31" s="436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3">
      <c r="A32" s="447" t="s">
        <v>57</v>
      </c>
      <c r="B32" s="423"/>
      <c r="C32" s="30">
        <f>'Anexo capacidad operativa'!A22</f>
        <v>2</v>
      </c>
      <c r="D32" s="31" t="str">
        <f>'Anexo capacidad operativa'!B22</f>
        <v>Desarrollador</v>
      </c>
      <c r="E32" s="462" t="s">
        <v>58</v>
      </c>
      <c r="F32" s="369"/>
      <c r="G32" s="417" t="s">
        <v>58</v>
      </c>
      <c r="H32" s="369"/>
      <c r="I32" s="417" t="s">
        <v>58</v>
      </c>
      <c r="J32" s="369"/>
      <c r="K32" s="417" t="s">
        <v>58</v>
      </c>
      <c r="L32" s="369"/>
      <c r="M32" s="417" t="s">
        <v>58</v>
      </c>
      <c r="N32" s="369"/>
      <c r="O32" s="417" t="s">
        <v>58</v>
      </c>
      <c r="P32" s="369"/>
      <c r="Q32" s="417" t="s">
        <v>58</v>
      </c>
      <c r="R32" s="369"/>
      <c r="S32" s="417" t="s">
        <v>58</v>
      </c>
      <c r="T32" s="369"/>
      <c r="U32" s="417" t="s">
        <v>58</v>
      </c>
      <c r="V32" s="369"/>
      <c r="W32" s="417" t="s">
        <v>58</v>
      </c>
      <c r="X32" s="369"/>
      <c r="Y32" s="417" t="s">
        <v>58</v>
      </c>
      <c r="Z32" s="369"/>
      <c r="AA32" s="417" t="s">
        <v>58</v>
      </c>
      <c r="AB32" s="418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3">
      <c r="A33" s="448"/>
      <c r="B33" s="449"/>
      <c r="C33" s="32">
        <f>'Anexo capacidad operativa'!A23</f>
        <v>1</v>
      </c>
      <c r="D33" s="33" t="str">
        <f>'Anexo capacidad operativa'!B23</f>
        <v>Gerente de servicios</v>
      </c>
      <c r="E33" s="444" t="s">
        <v>58</v>
      </c>
      <c r="F33" s="413"/>
      <c r="G33" s="409" t="s">
        <v>58</v>
      </c>
      <c r="H33" s="413"/>
      <c r="I33" s="409" t="s">
        <v>58</v>
      </c>
      <c r="J33" s="413"/>
      <c r="K33" s="409" t="s">
        <v>58</v>
      </c>
      <c r="L33" s="413"/>
      <c r="M33" s="409" t="s">
        <v>58</v>
      </c>
      <c r="N33" s="413"/>
      <c r="O33" s="409" t="s">
        <v>58</v>
      </c>
      <c r="P33" s="413"/>
      <c r="Q33" s="409" t="s">
        <v>58</v>
      </c>
      <c r="R33" s="413"/>
      <c r="S33" s="409" t="s">
        <v>58</v>
      </c>
      <c r="T33" s="413"/>
      <c r="U33" s="409" t="s">
        <v>58</v>
      </c>
      <c r="V33" s="413"/>
      <c r="W33" s="409" t="s">
        <v>58</v>
      </c>
      <c r="X33" s="413"/>
      <c r="Y33" s="409" t="s">
        <v>58</v>
      </c>
      <c r="Z33" s="413"/>
      <c r="AA33" s="409" t="s">
        <v>58</v>
      </c>
      <c r="AB33" s="410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3">
      <c r="A34" s="448"/>
      <c r="B34" s="449"/>
      <c r="C34" s="32">
        <f>'Anexo capacidad operativa'!A24</f>
        <v>1</v>
      </c>
      <c r="D34" s="33" t="str">
        <f>'Anexo capacidad operativa'!B24</f>
        <v>Empleado de tecnologia</v>
      </c>
      <c r="E34" s="444" t="s">
        <v>58</v>
      </c>
      <c r="F34" s="413"/>
      <c r="G34" s="409" t="s">
        <v>58</v>
      </c>
      <c r="H34" s="413"/>
      <c r="I34" s="409" t="s">
        <v>58</v>
      </c>
      <c r="J34" s="413"/>
      <c r="K34" s="409" t="s">
        <v>58</v>
      </c>
      <c r="L34" s="413"/>
      <c r="M34" s="409" t="s">
        <v>58</v>
      </c>
      <c r="N34" s="413"/>
      <c r="O34" s="409" t="s">
        <v>58</v>
      </c>
      <c r="P34" s="413"/>
      <c r="Q34" s="409" t="s">
        <v>58</v>
      </c>
      <c r="R34" s="413"/>
      <c r="S34" s="409" t="s">
        <v>58</v>
      </c>
      <c r="T34" s="413"/>
      <c r="U34" s="409" t="s">
        <v>58</v>
      </c>
      <c r="V34" s="413"/>
      <c r="W34" s="409" t="s">
        <v>58</v>
      </c>
      <c r="X34" s="413"/>
      <c r="Y34" s="409" t="s">
        <v>58</v>
      </c>
      <c r="Z34" s="413"/>
      <c r="AA34" s="409" t="s">
        <v>58</v>
      </c>
      <c r="AB34" s="410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3">
      <c r="A35" s="448"/>
      <c r="B35" s="449"/>
      <c r="C35" s="32">
        <f>'Anexo capacidad operativa'!A25</f>
        <v>1</v>
      </c>
      <c r="D35" s="33" t="str">
        <f>'Anexo capacidad operativa'!B25</f>
        <v>Tester</v>
      </c>
      <c r="E35" s="444" t="s">
        <v>58</v>
      </c>
      <c r="F35" s="413"/>
      <c r="G35" s="409" t="s">
        <v>58</v>
      </c>
      <c r="H35" s="413"/>
      <c r="I35" s="409" t="s">
        <v>58</v>
      </c>
      <c r="J35" s="413"/>
      <c r="K35" s="409" t="s">
        <v>58</v>
      </c>
      <c r="L35" s="413"/>
      <c r="M35" s="409" t="s">
        <v>58</v>
      </c>
      <c r="N35" s="413"/>
      <c r="O35" s="409" t="s">
        <v>58</v>
      </c>
      <c r="P35" s="413"/>
      <c r="Q35" s="409" t="s">
        <v>58</v>
      </c>
      <c r="R35" s="413"/>
      <c r="S35" s="409" t="s">
        <v>58</v>
      </c>
      <c r="T35" s="413"/>
      <c r="U35" s="409" t="s">
        <v>58</v>
      </c>
      <c r="V35" s="413"/>
      <c r="W35" s="409" t="s">
        <v>58</v>
      </c>
      <c r="X35" s="413"/>
      <c r="Y35" s="409" t="s">
        <v>58</v>
      </c>
      <c r="Z35" s="413"/>
      <c r="AA35" s="409" t="s">
        <v>58</v>
      </c>
      <c r="AB35" s="410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5">
      <c r="A36" s="448"/>
      <c r="B36" s="449"/>
      <c r="C36" s="32">
        <f>'Anexo capacidad operativa'!A26</f>
        <v>2</v>
      </c>
      <c r="D36" s="33" t="str">
        <f>'Anexo capacidad operativa'!B26</f>
        <v>Empleado administrativo de ventas</v>
      </c>
      <c r="E36" s="445" t="s">
        <v>58</v>
      </c>
      <c r="F36" s="415"/>
      <c r="G36" s="414" t="s">
        <v>58</v>
      </c>
      <c r="H36" s="415"/>
      <c r="I36" s="414" t="s">
        <v>58</v>
      </c>
      <c r="J36" s="415"/>
      <c r="K36" s="414" t="s">
        <v>58</v>
      </c>
      <c r="L36" s="415"/>
      <c r="M36" s="414" t="s">
        <v>58</v>
      </c>
      <c r="N36" s="415"/>
      <c r="O36" s="414" t="s">
        <v>58</v>
      </c>
      <c r="P36" s="415"/>
      <c r="Q36" s="406" t="s">
        <v>161</v>
      </c>
      <c r="R36" s="407"/>
      <c r="S36" s="414" t="s">
        <v>58</v>
      </c>
      <c r="T36" s="415"/>
      <c r="U36" s="414" t="s">
        <v>58</v>
      </c>
      <c r="V36" s="415"/>
      <c r="W36" s="414" t="s">
        <v>58</v>
      </c>
      <c r="X36" s="415"/>
      <c r="Y36" s="414" t="s">
        <v>58</v>
      </c>
      <c r="Z36" s="415"/>
      <c r="AA36" s="414" t="s">
        <v>58</v>
      </c>
      <c r="AB36" s="416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3">
      <c r="A37" s="473" t="s">
        <v>59</v>
      </c>
      <c r="B37" s="474"/>
      <c r="C37" s="34">
        <v>2</v>
      </c>
      <c r="D37" s="35" t="s">
        <v>60</v>
      </c>
      <c r="E37" s="462" t="s">
        <v>58</v>
      </c>
      <c r="F37" s="369"/>
      <c r="G37" s="417" t="s">
        <v>58</v>
      </c>
      <c r="H37" s="369"/>
      <c r="I37" s="417" t="s">
        <v>58</v>
      </c>
      <c r="J37" s="369"/>
      <c r="K37" s="417" t="s">
        <v>58</v>
      </c>
      <c r="L37" s="369"/>
      <c r="M37" s="417" t="s">
        <v>58</v>
      </c>
      <c r="N37" s="369"/>
      <c r="O37" s="417" t="s">
        <v>58</v>
      </c>
      <c r="P37" s="369"/>
      <c r="Q37" s="406" t="s">
        <v>161</v>
      </c>
      <c r="R37" s="407"/>
      <c r="S37" s="417" t="s">
        <v>58</v>
      </c>
      <c r="T37" s="369"/>
      <c r="U37" s="417" t="s">
        <v>58</v>
      </c>
      <c r="V37" s="369"/>
      <c r="W37" s="417" t="s">
        <v>58</v>
      </c>
      <c r="X37" s="369"/>
      <c r="Y37" s="417" t="s">
        <v>58</v>
      </c>
      <c r="Z37" s="369"/>
      <c r="AA37" s="417" t="s">
        <v>58</v>
      </c>
      <c r="AB37" s="418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3">
      <c r="A38" s="448"/>
      <c r="B38" s="449"/>
      <c r="C38" s="36">
        <v>2</v>
      </c>
      <c r="D38" s="37" t="s">
        <v>61</v>
      </c>
      <c r="E38" s="444" t="s">
        <v>58</v>
      </c>
      <c r="F38" s="413"/>
      <c r="G38" s="409" t="s">
        <v>58</v>
      </c>
      <c r="H38" s="413"/>
      <c r="I38" s="409" t="s">
        <v>58</v>
      </c>
      <c r="J38" s="413"/>
      <c r="K38" s="409" t="s">
        <v>58</v>
      </c>
      <c r="L38" s="413"/>
      <c r="M38" s="409" t="s">
        <v>58</v>
      </c>
      <c r="N38" s="413"/>
      <c r="O38" s="409" t="s">
        <v>58</v>
      </c>
      <c r="P38" s="413"/>
      <c r="Q38" s="406" t="s">
        <v>161</v>
      </c>
      <c r="R38" s="407"/>
      <c r="S38" s="409" t="s">
        <v>58</v>
      </c>
      <c r="T38" s="413"/>
      <c r="U38" s="409" t="s">
        <v>58</v>
      </c>
      <c r="V38" s="413"/>
      <c r="W38" s="409" t="s">
        <v>58</v>
      </c>
      <c r="X38" s="413"/>
      <c r="Y38" s="409" t="s">
        <v>58</v>
      </c>
      <c r="Z38" s="413"/>
      <c r="AA38" s="409" t="s">
        <v>58</v>
      </c>
      <c r="AB38" s="410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3">
      <c r="A39" s="448"/>
      <c r="B39" s="449"/>
      <c r="C39" s="36">
        <v>1</v>
      </c>
      <c r="D39" s="37" t="s">
        <v>62</v>
      </c>
      <c r="E39" s="444" t="s">
        <v>58</v>
      </c>
      <c r="F39" s="413"/>
      <c r="G39" s="409" t="s">
        <v>58</v>
      </c>
      <c r="H39" s="413"/>
      <c r="I39" s="409" t="s">
        <v>58</v>
      </c>
      <c r="J39" s="413"/>
      <c r="K39" s="409" t="s">
        <v>58</v>
      </c>
      <c r="L39" s="413"/>
      <c r="M39" s="409" t="s">
        <v>58</v>
      </c>
      <c r="N39" s="413"/>
      <c r="O39" s="409" t="s">
        <v>58</v>
      </c>
      <c r="P39" s="413"/>
      <c r="Q39" s="409" t="s">
        <v>58</v>
      </c>
      <c r="R39" s="413"/>
      <c r="S39" s="409" t="s">
        <v>58</v>
      </c>
      <c r="T39" s="413"/>
      <c r="U39" s="409" t="s">
        <v>58</v>
      </c>
      <c r="V39" s="413"/>
      <c r="W39" s="409" t="s">
        <v>58</v>
      </c>
      <c r="X39" s="413"/>
      <c r="Y39" s="409" t="s">
        <v>58</v>
      </c>
      <c r="Z39" s="413"/>
      <c r="AA39" s="409" t="s">
        <v>58</v>
      </c>
      <c r="AB39" s="410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3">
      <c r="A40" s="448"/>
      <c r="B40" s="449"/>
      <c r="C40" s="36">
        <v>2</v>
      </c>
      <c r="D40" s="37" t="s">
        <v>63</v>
      </c>
      <c r="E40" s="444" t="s">
        <v>58</v>
      </c>
      <c r="F40" s="413"/>
      <c r="G40" s="409" t="s">
        <v>58</v>
      </c>
      <c r="H40" s="413"/>
      <c r="I40" s="409" t="s">
        <v>58</v>
      </c>
      <c r="J40" s="413"/>
      <c r="K40" s="409" t="s">
        <v>58</v>
      </c>
      <c r="L40" s="413"/>
      <c r="M40" s="409" t="s">
        <v>58</v>
      </c>
      <c r="N40" s="413"/>
      <c r="O40" s="409" t="s">
        <v>58</v>
      </c>
      <c r="P40" s="413"/>
      <c r="Q40" s="406" t="s">
        <v>161</v>
      </c>
      <c r="R40" s="407"/>
      <c r="S40" s="409" t="s">
        <v>58</v>
      </c>
      <c r="T40" s="413"/>
      <c r="U40" s="409" t="s">
        <v>58</v>
      </c>
      <c r="V40" s="413"/>
      <c r="W40" s="409" t="s">
        <v>58</v>
      </c>
      <c r="X40" s="413"/>
      <c r="Y40" s="409" t="s">
        <v>58</v>
      </c>
      <c r="Z40" s="413"/>
      <c r="AA40" s="409" t="s">
        <v>58</v>
      </c>
      <c r="AB40" s="410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3">
      <c r="A41" s="448"/>
      <c r="B41" s="449"/>
      <c r="C41" s="36">
        <v>1</v>
      </c>
      <c r="D41" s="37" t="s">
        <v>64</v>
      </c>
      <c r="E41" s="444" t="s">
        <v>58</v>
      </c>
      <c r="F41" s="413"/>
      <c r="G41" s="409" t="s">
        <v>58</v>
      </c>
      <c r="H41" s="413"/>
      <c r="I41" s="409" t="s">
        <v>58</v>
      </c>
      <c r="J41" s="413"/>
      <c r="K41" s="409" t="s">
        <v>58</v>
      </c>
      <c r="L41" s="413"/>
      <c r="M41" s="409" t="s">
        <v>58</v>
      </c>
      <c r="N41" s="413"/>
      <c r="O41" s="409" t="s">
        <v>58</v>
      </c>
      <c r="P41" s="413"/>
      <c r="Q41" s="409" t="s">
        <v>58</v>
      </c>
      <c r="R41" s="413"/>
      <c r="S41" s="409" t="s">
        <v>58</v>
      </c>
      <c r="T41" s="413"/>
      <c r="U41" s="409" t="s">
        <v>58</v>
      </c>
      <c r="V41" s="413"/>
      <c r="W41" s="409" t="s">
        <v>58</v>
      </c>
      <c r="X41" s="413"/>
      <c r="Y41" s="409" t="s">
        <v>58</v>
      </c>
      <c r="Z41" s="413"/>
      <c r="AA41" s="409" t="s">
        <v>58</v>
      </c>
      <c r="AB41" s="410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5">
      <c r="A42" s="475"/>
      <c r="B42" s="476"/>
      <c r="C42" s="36">
        <v>2</v>
      </c>
      <c r="D42" s="37" t="s">
        <v>65</v>
      </c>
      <c r="E42" s="444" t="s">
        <v>58</v>
      </c>
      <c r="F42" s="413"/>
      <c r="G42" s="409" t="s">
        <v>58</v>
      </c>
      <c r="H42" s="413"/>
      <c r="I42" s="409" t="s">
        <v>58</v>
      </c>
      <c r="J42" s="413"/>
      <c r="K42" s="409" t="s">
        <v>58</v>
      </c>
      <c r="L42" s="413"/>
      <c r="M42" s="409" t="s">
        <v>58</v>
      </c>
      <c r="N42" s="413"/>
      <c r="O42" s="409" t="s">
        <v>58</v>
      </c>
      <c r="P42" s="413"/>
      <c r="Q42" s="406" t="s">
        <v>161</v>
      </c>
      <c r="R42" s="407"/>
      <c r="S42" s="409" t="s">
        <v>58</v>
      </c>
      <c r="T42" s="413"/>
      <c r="U42" s="409" t="s">
        <v>58</v>
      </c>
      <c r="V42" s="413"/>
      <c r="W42" s="409" t="s">
        <v>58</v>
      </c>
      <c r="X42" s="413"/>
      <c r="Y42" s="409" t="s">
        <v>58</v>
      </c>
      <c r="Z42" s="413"/>
      <c r="AA42" s="409" t="s">
        <v>58</v>
      </c>
      <c r="AB42" s="410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5">
      <c r="A43" s="477" t="s">
        <v>66</v>
      </c>
      <c r="B43" s="478"/>
      <c r="C43" s="34">
        <f>SUM(C32:C36)</f>
        <v>7</v>
      </c>
      <c r="D43" s="152" t="s">
        <v>166</v>
      </c>
      <c r="E43" s="444" t="s">
        <v>58</v>
      </c>
      <c r="F43" s="413"/>
      <c r="G43" s="409" t="s">
        <v>58</v>
      </c>
      <c r="H43" s="413"/>
      <c r="I43" s="409" t="s">
        <v>58</v>
      </c>
      <c r="J43" s="413"/>
      <c r="K43" s="409" t="s">
        <v>58</v>
      </c>
      <c r="L43" s="413"/>
      <c r="M43" s="409" t="s">
        <v>58</v>
      </c>
      <c r="N43" s="413"/>
      <c r="O43" s="409" t="s">
        <v>58</v>
      </c>
      <c r="P43" s="413"/>
      <c r="Q43" s="409" t="s">
        <v>58</v>
      </c>
      <c r="R43" s="413"/>
      <c r="S43" s="409" t="s">
        <v>58</v>
      </c>
      <c r="T43" s="413"/>
      <c r="U43" s="409" t="s">
        <v>58</v>
      </c>
      <c r="V43" s="413"/>
      <c r="W43" s="409" t="s">
        <v>58</v>
      </c>
      <c r="X43" s="413"/>
      <c r="Y43" s="409" t="s">
        <v>58</v>
      </c>
      <c r="Z43" s="413"/>
      <c r="AA43" s="409" t="s">
        <v>58</v>
      </c>
      <c r="AB43" s="410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3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5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6.4" thickBot="1" x14ac:dyDescent="0.55000000000000004">
      <c r="A46" s="468" t="s">
        <v>68</v>
      </c>
      <c r="B46" s="468"/>
      <c r="C46" s="468"/>
      <c r="D46" s="468"/>
      <c r="E46" s="468"/>
      <c r="F46" s="468"/>
      <c r="G46" s="468"/>
      <c r="H46" s="468"/>
      <c r="I46" s="468"/>
      <c r="J46" s="468"/>
      <c r="K46" s="468"/>
      <c r="L46" s="468"/>
      <c r="M46" s="468"/>
      <c r="N46" s="468"/>
      <c r="O46" s="468"/>
      <c r="P46" s="468"/>
      <c r="Q46" s="468"/>
      <c r="R46" s="468"/>
      <c r="S46" s="468"/>
      <c r="T46" s="468"/>
      <c r="U46" s="468"/>
      <c r="V46" s="468"/>
      <c r="W46" s="468"/>
      <c r="X46" s="468"/>
      <c r="Y46" s="468"/>
      <c r="Z46" s="468"/>
      <c r="AA46" s="468"/>
      <c r="AB46" s="468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5">
      <c r="A47" s="421" t="s">
        <v>181</v>
      </c>
      <c r="B47" s="421" t="s">
        <v>33</v>
      </c>
      <c r="C47" s="421" t="s">
        <v>38</v>
      </c>
      <c r="D47" s="464"/>
      <c r="E47" s="443" t="s">
        <v>39</v>
      </c>
      <c r="F47" s="464"/>
      <c r="G47" s="443" t="s">
        <v>40</v>
      </c>
      <c r="H47" s="464"/>
      <c r="I47" s="443" t="s">
        <v>41</v>
      </c>
      <c r="J47" s="464"/>
      <c r="K47" s="443" t="s">
        <v>42</v>
      </c>
      <c r="L47" s="464"/>
      <c r="M47" s="443" t="s">
        <v>43</v>
      </c>
      <c r="N47" s="464"/>
      <c r="O47" s="443" t="s">
        <v>44</v>
      </c>
      <c r="P47" s="464"/>
      <c r="Q47" s="443" t="s">
        <v>45</v>
      </c>
      <c r="R47" s="464"/>
      <c r="S47" s="443" t="s">
        <v>46</v>
      </c>
      <c r="T47" s="464"/>
      <c r="U47" s="443" t="s">
        <v>47</v>
      </c>
      <c r="V47" s="464"/>
      <c r="W47" s="443" t="s">
        <v>48</v>
      </c>
      <c r="X47" s="464"/>
      <c r="Y47" s="443" t="s">
        <v>49</v>
      </c>
      <c r="Z47" s="464"/>
      <c r="AA47" s="443" t="s">
        <v>50</v>
      </c>
      <c r="AB47" s="464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5">
      <c r="A48" s="464"/>
      <c r="B48" s="464"/>
      <c r="C48" s="421" t="s">
        <v>52</v>
      </c>
      <c r="D48" s="421" t="s">
        <v>51</v>
      </c>
      <c r="E48" s="419">
        <v>0.05</v>
      </c>
      <c r="F48" s="420"/>
      <c r="G48" s="419">
        <v>0.05</v>
      </c>
      <c r="H48" s="419"/>
      <c r="I48" s="419">
        <v>0.05</v>
      </c>
      <c r="J48" s="420"/>
      <c r="K48" s="419">
        <v>7.0000000000000007E-2</v>
      </c>
      <c r="L48" s="419"/>
      <c r="M48" s="419">
        <v>0.1</v>
      </c>
      <c r="N48" s="420"/>
      <c r="O48" s="419">
        <v>0.15</v>
      </c>
      <c r="P48" s="419"/>
      <c r="Q48" s="419">
        <v>7.0000000000000007E-2</v>
      </c>
      <c r="R48" s="420"/>
      <c r="S48" s="419">
        <v>7.0000000000000007E-2</v>
      </c>
      <c r="T48" s="419"/>
      <c r="U48" s="419">
        <v>7.0000000000000007E-2</v>
      </c>
      <c r="V48" s="420"/>
      <c r="W48" s="419">
        <v>7.0000000000000007E-2</v>
      </c>
      <c r="X48" s="419"/>
      <c r="Y48" s="419">
        <v>0.1</v>
      </c>
      <c r="Z48" s="420"/>
      <c r="AA48" s="419">
        <v>0.15</v>
      </c>
      <c r="AB48" s="419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5">
      <c r="A49" s="464"/>
      <c r="B49" s="464"/>
      <c r="C49" s="420"/>
      <c r="D49" s="420"/>
      <c r="E49" s="174" t="s">
        <v>52</v>
      </c>
      <c r="F49" s="174" t="s">
        <v>51</v>
      </c>
      <c r="G49" s="174" t="s">
        <v>52</v>
      </c>
      <c r="H49" s="174" t="s">
        <v>51</v>
      </c>
      <c r="I49" s="174" t="s">
        <v>52</v>
      </c>
      <c r="J49" s="174" t="s">
        <v>51</v>
      </c>
      <c r="K49" s="174" t="s">
        <v>52</v>
      </c>
      <c r="L49" s="174" t="s">
        <v>51</v>
      </c>
      <c r="M49" s="174" t="s">
        <v>52</v>
      </c>
      <c r="N49" s="174" t="s">
        <v>51</v>
      </c>
      <c r="O49" s="174" t="s">
        <v>52</v>
      </c>
      <c r="P49" s="174" t="s">
        <v>51</v>
      </c>
      <c r="Q49" s="174" t="s">
        <v>52</v>
      </c>
      <c r="R49" s="174" t="s">
        <v>51</v>
      </c>
      <c r="S49" s="174" t="s">
        <v>52</v>
      </c>
      <c r="T49" s="174" t="s">
        <v>51</v>
      </c>
      <c r="U49" s="174" t="s">
        <v>52</v>
      </c>
      <c r="V49" s="174" t="s">
        <v>51</v>
      </c>
      <c r="W49" s="174" t="s">
        <v>52</v>
      </c>
      <c r="X49" s="174" t="s">
        <v>51</v>
      </c>
      <c r="Y49" s="174" t="s">
        <v>52</v>
      </c>
      <c r="Z49" s="174" t="s">
        <v>51</v>
      </c>
      <c r="AA49" s="174" t="s">
        <v>52</v>
      </c>
      <c r="AB49" s="17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61" customFormat="1" ht="15.75" customHeight="1" thickBot="1" x14ac:dyDescent="0.35">
      <c r="A50" s="175" t="s">
        <v>179</v>
      </c>
      <c r="B50" s="176">
        <f>B19</f>
        <v>90000</v>
      </c>
      <c r="C50" s="210">
        <f>E50+G50+I50+K50+M50+O50+Q50+S50+U50+W50+Y50+AA50</f>
        <v>9</v>
      </c>
      <c r="D50" s="209">
        <f>B50*C50</f>
        <v>810000</v>
      </c>
      <c r="E50" s="211">
        <v>0</v>
      </c>
      <c r="F50" s="209">
        <f>B50*E50</f>
        <v>0</v>
      </c>
      <c r="G50" s="211">
        <v>0</v>
      </c>
      <c r="H50" s="209">
        <f>B50*G50</f>
        <v>0</v>
      </c>
      <c r="I50" s="211">
        <v>0</v>
      </c>
      <c r="J50" s="209">
        <f t="shared" ref="J50" si="15">F50*I50</f>
        <v>0</v>
      </c>
      <c r="K50" s="211">
        <v>1</v>
      </c>
      <c r="L50" s="209">
        <f>K50*B50</f>
        <v>90000</v>
      </c>
      <c r="M50" s="211">
        <v>1</v>
      </c>
      <c r="N50" s="209">
        <f>M50*B50</f>
        <v>90000</v>
      </c>
      <c r="O50" s="211">
        <v>1</v>
      </c>
      <c r="P50" s="209">
        <f>O50*B50</f>
        <v>90000</v>
      </c>
      <c r="Q50" s="211">
        <v>1</v>
      </c>
      <c r="R50" s="209">
        <f t="shared" ref="R50" si="16">N50*Q50</f>
        <v>90000</v>
      </c>
      <c r="S50" s="211">
        <v>1</v>
      </c>
      <c r="T50" s="209">
        <f>S50*B50</f>
        <v>90000</v>
      </c>
      <c r="U50" s="211">
        <v>1</v>
      </c>
      <c r="V50" s="209">
        <f t="shared" ref="V50:V52" si="17">R50*U50</f>
        <v>90000</v>
      </c>
      <c r="W50" s="211">
        <v>1</v>
      </c>
      <c r="X50" s="209">
        <f t="shared" ref="X50:X52" si="18">R50*W50</f>
        <v>90000</v>
      </c>
      <c r="Y50" s="211">
        <v>1</v>
      </c>
      <c r="Z50" s="209">
        <f t="shared" ref="Z50:Z52" si="19">V50*Y50</f>
        <v>90000</v>
      </c>
      <c r="AA50" s="211">
        <v>1</v>
      </c>
      <c r="AB50" s="20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  <c r="IU50" s="165"/>
      <c r="IV50" s="165"/>
      <c r="IW50" s="165"/>
      <c r="IX50" s="165"/>
      <c r="IY50" s="165"/>
      <c r="IZ50" s="165"/>
      <c r="JA50" s="165"/>
      <c r="JB50" s="165"/>
      <c r="JC50" s="165"/>
      <c r="JD50" s="165"/>
      <c r="JE50" s="165"/>
      <c r="JF50" s="165"/>
      <c r="JG50" s="165"/>
      <c r="JH50" s="165"/>
      <c r="JI50" s="165"/>
      <c r="JJ50" s="165"/>
      <c r="JK50" s="165"/>
      <c r="JL50" s="165"/>
      <c r="JM50" s="165"/>
      <c r="JN50" s="165"/>
      <c r="JO50" s="165"/>
      <c r="JP50" s="165"/>
      <c r="JQ50" s="165"/>
      <c r="JR50" s="165"/>
      <c r="JS50" s="165"/>
      <c r="JT50" s="165"/>
      <c r="JU50" s="165"/>
      <c r="JV50" s="165"/>
      <c r="JW50" s="165"/>
      <c r="JX50" s="165"/>
      <c r="JY50" s="165"/>
      <c r="JZ50" s="165"/>
      <c r="KA50" s="165"/>
      <c r="KB50" s="165"/>
      <c r="KC50" s="165"/>
      <c r="KD50" s="165"/>
      <c r="KE50" s="165"/>
      <c r="KF50" s="165"/>
      <c r="KG50" s="165"/>
    </row>
    <row r="51" spans="1:293" s="162" customFormat="1" ht="15.75" customHeight="1" thickBot="1" x14ac:dyDescent="0.35">
      <c r="A51" s="177" t="s">
        <v>180</v>
      </c>
      <c r="B51" s="178">
        <f>B20</f>
        <v>100000</v>
      </c>
      <c r="C51" s="213">
        <f>E51+G51+I51+K51+M51+O51+Q51+S51+U51+W51+Y51+AA51</f>
        <v>18</v>
      </c>
      <c r="D51" s="212">
        <f>B51*C51</f>
        <v>1800000</v>
      </c>
      <c r="E51" s="213">
        <v>1</v>
      </c>
      <c r="F51" s="214">
        <f>B51*E51</f>
        <v>100000</v>
      </c>
      <c r="G51" s="213">
        <v>1</v>
      </c>
      <c r="H51" s="214">
        <f>B51*G51</f>
        <v>100000</v>
      </c>
      <c r="I51" s="213">
        <v>1</v>
      </c>
      <c r="J51" s="214">
        <f>$B$51*I51</f>
        <v>100000</v>
      </c>
      <c r="K51" s="213">
        <v>1</v>
      </c>
      <c r="L51" s="214">
        <f>K51*$B$51</f>
        <v>100000</v>
      </c>
      <c r="M51" s="213">
        <v>2</v>
      </c>
      <c r="N51" s="214">
        <f>M51*$B$51</f>
        <v>200000</v>
      </c>
      <c r="O51" s="213">
        <v>3</v>
      </c>
      <c r="P51" s="214">
        <f>O51*$B$51</f>
        <v>300000</v>
      </c>
      <c r="Q51" s="213">
        <v>1</v>
      </c>
      <c r="R51" s="214">
        <f>Q51*B51</f>
        <v>100000</v>
      </c>
      <c r="S51" s="213">
        <v>1</v>
      </c>
      <c r="T51" s="214">
        <f>B51*S51</f>
        <v>100000</v>
      </c>
      <c r="U51" s="213">
        <v>1</v>
      </c>
      <c r="V51" s="214">
        <f t="shared" si="17"/>
        <v>100000</v>
      </c>
      <c r="W51" s="213">
        <v>1</v>
      </c>
      <c r="X51" s="214">
        <f t="shared" si="18"/>
        <v>100000</v>
      </c>
      <c r="Y51" s="213">
        <v>2</v>
      </c>
      <c r="Z51" s="214">
        <f t="shared" si="19"/>
        <v>200000</v>
      </c>
      <c r="AA51" s="213">
        <v>3</v>
      </c>
      <c r="AB51" s="21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  <c r="IU51" s="165"/>
      <c r="IV51" s="165"/>
      <c r="IW51" s="165"/>
      <c r="IX51" s="165"/>
      <c r="IY51" s="165"/>
      <c r="IZ51" s="165"/>
      <c r="JA51" s="165"/>
      <c r="JB51" s="165"/>
      <c r="JC51" s="165"/>
      <c r="JD51" s="165"/>
      <c r="JE51" s="165"/>
      <c r="JF51" s="165"/>
      <c r="JG51" s="165"/>
      <c r="JH51" s="165"/>
      <c r="JI51" s="165"/>
      <c r="JJ51" s="165"/>
      <c r="JK51" s="165"/>
      <c r="JL51" s="165"/>
      <c r="JM51" s="165"/>
      <c r="JN51" s="165"/>
      <c r="JO51" s="165"/>
      <c r="JP51" s="165"/>
      <c r="JQ51" s="165"/>
      <c r="JR51" s="165"/>
      <c r="JS51" s="165"/>
      <c r="JT51" s="165"/>
      <c r="JU51" s="165"/>
      <c r="JV51" s="165"/>
      <c r="JW51" s="165"/>
      <c r="JX51" s="165"/>
      <c r="JY51" s="165"/>
      <c r="JZ51" s="165"/>
      <c r="KA51" s="165"/>
      <c r="KB51" s="165"/>
      <c r="KC51" s="165"/>
      <c r="KD51" s="165"/>
      <c r="KE51" s="165"/>
      <c r="KF51" s="165"/>
      <c r="KG51" s="165"/>
    </row>
    <row r="52" spans="1:293" s="163" customFormat="1" ht="15.75" customHeight="1" thickBot="1" x14ac:dyDescent="0.35">
      <c r="A52" s="179" t="s">
        <v>35</v>
      </c>
      <c r="B52" s="180">
        <f>B21</f>
        <v>110000</v>
      </c>
      <c r="C52" s="216">
        <f>E52+G52+I52+K52+M52+O52+Q52+S52+U52+W52+Y52+AA52</f>
        <v>14</v>
      </c>
      <c r="D52" s="215">
        <f>B52*C52</f>
        <v>1540000</v>
      </c>
      <c r="E52" s="217">
        <v>1</v>
      </c>
      <c r="F52" s="218">
        <f>B52*E52</f>
        <v>110000</v>
      </c>
      <c r="G52" s="217">
        <v>1</v>
      </c>
      <c r="H52" s="218">
        <f>B52*G52</f>
        <v>110000</v>
      </c>
      <c r="I52" s="217">
        <v>1</v>
      </c>
      <c r="J52" s="218">
        <f>$B$52*I52</f>
        <v>110000</v>
      </c>
      <c r="K52" s="217">
        <v>1</v>
      </c>
      <c r="L52" s="218">
        <f>$B$52*K52</f>
        <v>110000</v>
      </c>
      <c r="M52" s="217">
        <v>1</v>
      </c>
      <c r="N52" s="218">
        <f>$B$52*M52</f>
        <v>110000</v>
      </c>
      <c r="O52" s="217">
        <v>2</v>
      </c>
      <c r="P52" s="218">
        <f>$B$52*O52</f>
        <v>220000</v>
      </c>
      <c r="Q52" s="217">
        <v>1</v>
      </c>
      <c r="R52" s="218">
        <f t="shared" ref="R52" si="21">N52*Q52</f>
        <v>110000</v>
      </c>
      <c r="S52" s="217">
        <v>1</v>
      </c>
      <c r="T52" s="218">
        <f t="shared" ref="T52" si="22">N52*S52</f>
        <v>110000</v>
      </c>
      <c r="U52" s="217">
        <v>1</v>
      </c>
      <c r="V52" s="218">
        <f t="shared" si="17"/>
        <v>110000</v>
      </c>
      <c r="W52" s="217">
        <v>1</v>
      </c>
      <c r="X52" s="218">
        <f t="shared" si="18"/>
        <v>110000</v>
      </c>
      <c r="Y52" s="217">
        <v>1</v>
      </c>
      <c r="Z52" s="218">
        <f t="shared" si="19"/>
        <v>110000</v>
      </c>
      <c r="AA52" s="217">
        <v>2</v>
      </c>
      <c r="AB52" s="21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  <c r="IU52" s="165"/>
      <c r="IV52" s="165"/>
      <c r="IW52" s="165"/>
      <c r="IX52" s="165"/>
      <c r="IY52" s="165"/>
      <c r="IZ52" s="165"/>
      <c r="JA52" s="165"/>
      <c r="JB52" s="165"/>
      <c r="JC52" s="165"/>
      <c r="JD52" s="165"/>
      <c r="JE52" s="165"/>
      <c r="JF52" s="165"/>
      <c r="JG52" s="165"/>
      <c r="JH52" s="165"/>
      <c r="JI52" s="165"/>
      <c r="JJ52" s="165"/>
      <c r="JK52" s="165"/>
      <c r="JL52" s="165"/>
      <c r="JM52" s="165"/>
      <c r="JN52" s="165"/>
      <c r="JO52" s="165"/>
      <c r="JP52" s="165"/>
      <c r="JQ52" s="165"/>
      <c r="JR52" s="165"/>
      <c r="JS52" s="165"/>
      <c r="JT52" s="165"/>
      <c r="JU52" s="165"/>
      <c r="JV52" s="165"/>
      <c r="JW52" s="165"/>
      <c r="JX52" s="165"/>
      <c r="JY52" s="165"/>
      <c r="JZ52" s="165"/>
      <c r="KA52" s="165"/>
      <c r="KB52" s="165"/>
      <c r="KC52" s="165"/>
      <c r="KD52" s="165"/>
      <c r="KE52" s="165"/>
      <c r="KF52" s="165"/>
      <c r="KG52" s="165"/>
    </row>
    <row r="53" spans="1:293" ht="15.75" customHeight="1" thickBot="1" x14ac:dyDescent="0.35">
      <c r="A53" s="470" t="s">
        <v>53</v>
      </c>
      <c r="B53" s="471"/>
      <c r="C53" s="244">
        <f t="shared" ref="C53:J53" si="23">SUM(C50:C52)</f>
        <v>41</v>
      </c>
      <c r="D53" s="245">
        <f t="shared" si="23"/>
        <v>4150000</v>
      </c>
      <c r="E53" s="244">
        <f t="shared" si="23"/>
        <v>2</v>
      </c>
      <c r="F53" s="245">
        <f t="shared" si="23"/>
        <v>210000</v>
      </c>
      <c r="G53" s="244">
        <f t="shared" si="23"/>
        <v>2</v>
      </c>
      <c r="H53" s="245">
        <f t="shared" si="23"/>
        <v>210000</v>
      </c>
      <c r="I53" s="244">
        <f t="shared" si="23"/>
        <v>2</v>
      </c>
      <c r="J53" s="245">
        <f t="shared" si="23"/>
        <v>210000</v>
      </c>
      <c r="K53" s="244">
        <f t="shared" ref="K53:Z53" si="24">SUM(K50:K52)</f>
        <v>3</v>
      </c>
      <c r="L53" s="245">
        <f t="shared" si="24"/>
        <v>300000</v>
      </c>
      <c r="M53" s="244">
        <f t="shared" si="24"/>
        <v>4</v>
      </c>
      <c r="N53" s="245">
        <f t="shared" si="24"/>
        <v>400000</v>
      </c>
      <c r="O53" s="244">
        <f t="shared" si="24"/>
        <v>6</v>
      </c>
      <c r="P53" s="245">
        <f t="shared" si="24"/>
        <v>610000</v>
      </c>
      <c r="Q53" s="244">
        <f t="shared" si="24"/>
        <v>3</v>
      </c>
      <c r="R53" s="245">
        <f t="shared" si="24"/>
        <v>300000</v>
      </c>
      <c r="S53" s="244">
        <f t="shared" si="24"/>
        <v>3</v>
      </c>
      <c r="T53" s="245">
        <f t="shared" si="24"/>
        <v>300000</v>
      </c>
      <c r="U53" s="244">
        <f t="shared" si="24"/>
        <v>3</v>
      </c>
      <c r="V53" s="245">
        <f t="shared" si="24"/>
        <v>300000</v>
      </c>
      <c r="W53" s="244">
        <f t="shared" si="24"/>
        <v>3</v>
      </c>
      <c r="X53" s="245">
        <f t="shared" si="24"/>
        <v>300000</v>
      </c>
      <c r="Y53" s="244">
        <f t="shared" si="24"/>
        <v>4</v>
      </c>
      <c r="Z53" s="245">
        <f t="shared" si="24"/>
        <v>400000</v>
      </c>
      <c r="AA53" s="244">
        <f>SUM(AA50:AA52)</f>
        <v>6</v>
      </c>
      <c r="AB53" s="24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  <c r="IU53" s="165"/>
      <c r="IV53" s="165"/>
      <c r="IW53" s="165"/>
      <c r="IX53" s="165"/>
      <c r="IY53" s="165"/>
      <c r="IZ53" s="165"/>
      <c r="JA53" s="165"/>
      <c r="JB53" s="165"/>
      <c r="JC53" s="165"/>
      <c r="JD53" s="165"/>
      <c r="JE53" s="165"/>
      <c r="JF53" s="165"/>
      <c r="JG53" s="165"/>
      <c r="JH53" s="165"/>
      <c r="JI53" s="165"/>
      <c r="JJ53" s="165"/>
      <c r="JK53" s="165"/>
      <c r="JL53" s="165"/>
      <c r="JM53" s="165"/>
      <c r="JN53" s="165"/>
      <c r="JO53" s="165"/>
      <c r="JP53" s="165"/>
      <c r="JQ53" s="165"/>
      <c r="JR53" s="165"/>
      <c r="JS53" s="165"/>
      <c r="JT53" s="165"/>
      <c r="JU53" s="165"/>
      <c r="JV53" s="165"/>
      <c r="JW53" s="165"/>
      <c r="JX53" s="165"/>
      <c r="JY53" s="165"/>
      <c r="JZ53" s="165"/>
      <c r="KA53" s="165"/>
      <c r="KB53" s="165"/>
      <c r="KC53" s="165"/>
      <c r="KD53" s="165"/>
      <c r="KE53" s="165"/>
      <c r="KF53" s="165"/>
      <c r="KG53" s="165"/>
    </row>
    <row r="54" spans="1:293" ht="15.75" customHeight="1" thickBot="1" x14ac:dyDescent="0.35">
      <c r="A54" s="397" t="s">
        <v>189</v>
      </c>
      <c r="B54" s="398"/>
      <c r="C54" s="399"/>
      <c r="D54" s="221">
        <f>SUM(F54+H54+J54+L54+N54+P54+R54+T54+V54+X54+Z54+AB54)</f>
        <v>12960000</v>
      </c>
      <c r="E54" s="222">
        <f>E50+AA23</f>
        <v>9</v>
      </c>
      <c r="F54" s="223">
        <f>(E54+E50)*B50</f>
        <v>810000</v>
      </c>
      <c r="G54" s="222">
        <f>G50+E54</f>
        <v>9</v>
      </c>
      <c r="H54" s="223">
        <f>(E54+E50)*B50</f>
        <v>810000</v>
      </c>
      <c r="I54" s="222">
        <f>I50+G54</f>
        <v>9</v>
      </c>
      <c r="J54" s="223">
        <f>(E54+E50)*B50</f>
        <v>810000</v>
      </c>
      <c r="K54" s="222">
        <f>K50+I54</f>
        <v>10</v>
      </c>
      <c r="L54" s="223">
        <f>(E54+E50)*B50</f>
        <v>810000</v>
      </c>
      <c r="M54" s="222">
        <f>K54+M50</f>
        <v>11</v>
      </c>
      <c r="N54" s="224">
        <f>L54+B50*M50</f>
        <v>900000</v>
      </c>
      <c r="O54" s="222">
        <f>M54+O50</f>
        <v>12</v>
      </c>
      <c r="P54" s="224">
        <f>N54+B50*O50</f>
        <v>990000</v>
      </c>
      <c r="Q54" s="222">
        <f>O54+Q50</f>
        <v>13</v>
      </c>
      <c r="R54" s="224">
        <f>P54+B50*Q50</f>
        <v>1080000</v>
      </c>
      <c r="S54" s="222">
        <f>Q54+1</f>
        <v>14</v>
      </c>
      <c r="T54" s="224">
        <f>R54+B50*S50</f>
        <v>1170000</v>
      </c>
      <c r="U54" s="222">
        <f>S54+1</f>
        <v>15</v>
      </c>
      <c r="V54" s="224">
        <f>T54+B50*U50</f>
        <v>1260000</v>
      </c>
      <c r="W54" s="222">
        <f>U54+1</f>
        <v>16</v>
      </c>
      <c r="X54" s="224">
        <f>V54+X50*W50</f>
        <v>1350000</v>
      </c>
      <c r="Y54" s="222">
        <f>W54+1</f>
        <v>17</v>
      </c>
      <c r="Z54" s="224">
        <f>X54+B50*Y50</f>
        <v>1440000</v>
      </c>
      <c r="AA54" s="222">
        <f>Y54+1</f>
        <v>18</v>
      </c>
      <c r="AB54" s="224">
        <f>Z54+B50*AA50</f>
        <v>1530000</v>
      </c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  <c r="IU54" s="165"/>
      <c r="IV54" s="165"/>
      <c r="IW54" s="165"/>
      <c r="IX54" s="165"/>
      <c r="IY54" s="165"/>
      <c r="IZ54" s="165"/>
      <c r="JA54" s="165"/>
      <c r="JB54" s="165"/>
      <c r="JC54" s="165"/>
      <c r="JD54" s="165"/>
      <c r="JE54" s="165"/>
      <c r="JF54" s="165"/>
      <c r="JG54" s="165"/>
      <c r="JH54" s="165"/>
      <c r="JI54" s="165"/>
      <c r="JJ54" s="165"/>
      <c r="JK54" s="165"/>
      <c r="JL54" s="165"/>
      <c r="JM54" s="165"/>
      <c r="JN54" s="165"/>
      <c r="JO54" s="165"/>
      <c r="JP54" s="165"/>
      <c r="JQ54" s="165"/>
      <c r="JR54" s="165"/>
      <c r="JS54" s="165"/>
      <c r="JT54" s="165"/>
      <c r="JU54" s="165"/>
      <c r="JV54" s="165"/>
      <c r="JW54" s="165"/>
      <c r="JX54" s="165"/>
      <c r="JY54" s="165"/>
      <c r="JZ54" s="165"/>
      <c r="KA54" s="165"/>
      <c r="KB54" s="165"/>
      <c r="KC54" s="165"/>
      <c r="KD54" s="165"/>
      <c r="KE54" s="165"/>
      <c r="KF54" s="165"/>
      <c r="KG54" s="165"/>
    </row>
    <row r="55" spans="1:293" ht="15.75" customHeight="1" thickBot="1" x14ac:dyDescent="0.35">
      <c r="A55" s="400" t="s">
        <v>190</v>
      </c>
      <c r="B55" s="401"/>
      <c r="C55" s="402"/>
      <c r="D55" s="225">
        <f>SUM(F55+H55+J55+L55+N55+P55+R55+T55+V55+X55+Z55+AB55)</f>
        <v>32000000</v>
      </c>
      <c r="E55" s="226">
        <f>E51+AA24</f>
        <v>19</v>
      </c>
      <c r="F55" s="227">
        <f>$B$51*(E55)</f>
        <v>1900000</v>
      </c>
      <c r="G55" s="226">
        <f>G51+E55</f>
        <v>20</v>
      </c>
      <c r="H55" s="227">
        <f>$B$51*(G55)</f>
        <v>2000000</v>
      </c>
      <c r="I55" s="226">
        <f>I51+G55</f>
        <v>21</v>
      </c>
      <c r="J55" s="227">
        <f>$B$51*(I55)</f>
        <v>2100000</v>
      </c>
      <c r="K55" s="226">
        <f>K51+I55</f>
        <v>22</v>
      </c>
      <c r="L55" s="227">
        <f>$B$51*(K55)</f>
        <v>2200000</v>
      </c>
      <c r="M55" s="226">
        <f>K55+M51</f>
        <v>24</v>
      </c>
      <c r="N55" s="228">
        <f>L55+B51*M51</f>
        <v>2400000</v>
      </c>
      <c r="O55" s="226">
        <f>M55+O51</f>
        <v>27</v>
      </c>
      <c r="P55" s="228">
        <f>N55+B51*O51</f>
        <v>2700000</v>
      </c>
      <c r="Q55" s="226">
        <f>O55+Q51</f>
        <v>28</v>
      </c>
      <c r="R55" s="228">
        <f>P55+B51*Q51</f>
        <v>2800000</v>
      </c>
      <c r="S55" s="226">
        <f>Q55+1</f>
        <v>29</v>
      </c>
      <c r="T55" s="228">
        <f>R55+B51*S51</f>
        <v>2900000</v>
      </c>
      <c r="U55" s="226">
        <f>S55+1</f>
        <v>30</v>
      </c>
      <c r="V55" s="228">
        <f>T55+B51*U51</f>
        <v>3000000</v>
      </c>
      <c r="W55" s="226">
        <f>U55+1</f>
        <v>31</v>
      </c>
      <c r="X55" s="228">
        <f>V55+X51*W51</f>
        <v>3100000</v>
      </c>
      <c r="Y55" s="226">
        <f>W55+Y51</f>
        <v>33</v>
      </c>
      <c r="Z55" s="228">
        <f>X55+B51*Y51</f>
        <v>3300000</v>
      </c>
      <c r="AA55" s="226">
        <f>Y55+AA51</f>
        <v>36</v>
      </c>
      <c r="AB55" s="228">
        <f>Z55+B51*AA51</f>
        <v>3600000</v>
      </c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  <c r="IU55" s="165"/>
      <c r="IV55" s="165"/>
      <c r="IW55" s="165"/>
      <c r="IX55" s="165"/>
      <c r="IY55" s="165"/>
      <c r="IZ55" s="165"/>
      <c r="JA55" s="165"/>
      <c r="JB55" s="165"/>
      <c r="JC55" s="165"/>
      <c r="JD55" s="165"/>
      <c r="JE55" s="165"/>
      <c r="JF55" s="165"/>
      <c r="JG55" s="165"/>
      <c r="JH55" s="165"/>
      <c r="JI55" s="165"/>
      <c r="JJ55" s="165"/>
      <c r="JK55" s="165"/>
      <c r="JL55" s="165"/>
      <c r="JM55" s="165"/>
      <c r="JN55" s="165"/>
      <c r="JO55" s="165"/>
      <c r="JP55" s="165"/>
      <c r="JQ55" s="165"/>
      <c r="JR55" s="165"/>
      <c r="JS55" s="165"/>
      <c r="JT55" s="165"/>
      <c r="JU55" s="165"/>
      <c r="JV55" s="165"/>
      <c r="JW55" s="165"/>
      <c r="JX55" s="165"/>
      <c r="JY55" s="165"/>
      <c r="JZ55" s="165"/>
      <c r="KA55" s="165"/>
      <c r="KB55" s="165"/>
      <c r="KC55" s="165"/>
      <c r="KD55" s="165"/>
      <c r="KE55" s="165"/>
      <c r="KF55" s="165"/>
      <c r="KG55" s="165"/>
    </row>
    <row r="56" spans="1:293" ht="15.75" customHeight="1" thickBot="1" x14ac:dyDescent="0.35">
      <c r="A56" s="403" t="s">
        <v>191</v>
      </c>
      <c r="B56" s="404"/>
      <c r="C56" s="405"/>
      <c r="D56" s="229">
        <f>SUM(F56+H56+J56+L56+N56+P56+R56+T56+V56+X56+Z56+AB56)</f>
        <v>27940000</v>
      </c>
      <c r="E56" s="230">
        <f>E52+AA25</f>
        <v>15</v>
      </c>
      <c r="F56" s="231">
        <f>B52*E56*E52</f>
        <v>1650000</v>
      </c>
      <c r="G56" s="230">
        <f>G52+E56</f>
        <v>16</v>
      </c>
      <c r="H56" s="231">
        <f>B52*G56*G52</f>
        <v>1760000</v>
      </c>
      <c r="I56" s="230">
        <f>I52+G56</f>
        <v>17</v>
      </c>
      <c r="J56" s="231">
        <f>B52*I56*I52</f>
        <v>1870000</v>
      </c>
      <c r="K56" s="230">
        <f>K52+I56</f>
        <v>18</v>
      </c>
      <c r="L56" s="231">
        <f>B52*K56*K52</f>
        <v>1980000</v>
      </c>
      <c r="M56" s="230">
        <f>K56+M52</f>
        <v>19</v>
      </c>
      <c r="N56" s="232">
        <f>L56+B52*M52</f>
        <v>2090000</v>
      </c>
      <c r="O56" s="230">
        <f>M56+O52</f>
        <v>21</v>
      </c>
      <c r="P56" s="232">
        <f>N56+B52*O52</f>
        <v>2310000</v>
      </c>
      <c r="Q56" s="230">
        <f>O56+Q52</f>
        <v>22</v>
      </c>
      <c r="R56" s="232">
        <f>P56+B52*Q52</f>
        <v>2420000</v>
      </c>
      <c r="S56" s="230">
        <f>Q56+1</f>
        <v>23</v>
      </c>
      <c r="T56" s="232">
        <f>R56+B52*S52</f>
        <v>2530000</v>
      </c>
      <c r="U56" s="230">
        <f>S56+1</f>
        <v>24</v>
      </c>
      <c r="V56" s="232">
        <f>T56+B52*U52</f>
        <v>2640000</v>
      </c>
      <c r="W56" s="230">
        <f>U56+1</f>
        <v>25</v>
      </c>
      <c r="X56" s="232">
        <f>V56+X52*W52</f>
        <v>2750000</v>
      </c>
      <c r="Y56" s="230">
        <f>W56+1</f>
        <v>26</v>
      </c>
      <c r="Z56" s="232">
        <f>X56+B52*Y52</f>
        <v>2860000</v>
      </c>
      <c r="AA56" s="230">
        <f>Y56+AA52</f>
        <v>28</v>
      </c>
      <c r="AB56" s="232">
        <f>Z56+B52*AA52</f>
        <v>3080000</v>
      </c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  <c r="EK56" s="165"/>
      <c r="EL56" s="165"/>
      <c r="EM56" s="165"/>
      <c r="EN56" s="165"/>
      <c r="EO56" s="165"/>
      <c r="EP56" s="165"/>
      <c r="EQ56" s="165"/>
      <c r="ER56" s="165"/>
      <c r="ES56" s="165"/>
      <c r="ET56" s="165"/>
      <c r="EU56" s="165"/>
      <c r="EV56" s="165"/>
      <c r="EW56" s="165"/>
      <c r="EX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  <c r="GM56" s="165"/>
      <c r="GN56" s="165"/>
      <c r="GO56" s="165"/>
      <c r="GP56" s="165"/>
      <c r="GQ56" s="165"/>
      <c r="GR56" s="165"/>
      <c r="GS56" s="165"/>
      <c r="GT56" s="165"/>
      <c r="GU56" s="165"/>
      <c r="GV56" s="165"/>
      <c r="GW56" s="165"/>
      <c r="GX56" s="165"/>
      <c r="GY56" s="165"/>
      <c r="GZ56" s="165"/>
      <c r="HA56" s="165"/>
      <c r="HB56" s="165"/>
      <c r="HC56" s="165"/>
      <c r="HD56" s="165"/>
      <c r="HE56" s="165"/>
      <c r="HF56" s="165"/>
      <c r="HG56" s="165"/>
      <c r="HH56" s="165"/>
      <c r="HI56" s="165"/>
      <c r="HJ56" s="165"/>
      <c r="HK56" s="165"/>
      <c r="HL56" s="165"/>
      <c r="HM56" s="165"/>
      <c r="HN56" s="165"/>
      <c r="HO56" s="165"/>
      <c r="HP56" s="165"/>
      <c r="HQ56" s="165"/>
      <c r="HR56" s="165"/>
      <c r="HS56" s="165"/>
      <c r="HT56" s="165"/>
      <c r="HU56" s="165"/>
      <c r="HV56" s="165"/>
      <c r="HW56" s="165"/>
      <c r="HX56" s="165"/>
      <c r="HY56" s="165"/>
      <c r="HZ56" s="165"/>
      <c r="IA56" s="165"/>
      <c r="IB56" s="165"/>
      <c r="IC56" s="165"/>
      <c r="ID56" s="165"/>
      <c r="IE56" s="165"/>
      <c r="IF56" s="165"/>
      <c r="IG56" s="165"/>
      <c r="IH56" s="165"/>
      <c r="II56" s="165"/>
      <c r="IJ56" s="165"/>
      <c r="IK56" s="165"/>
      <c r="IL56" s="165"/>
      <c r="IM56" s="165"/>
      <c r="IN56" s="165"/>
      <c r="IO56" s="165"/>
      <c r="IP56" s="165"/>
      <c r="IQ56" s="165"/>
      <c r="IR56" s="165"/>
      <c r="IS56" s="165"/>
      <c r="IT56" s="165"/>
      <c r="IU56" s="165"/>
      <c r="IV56" s="165"/>
      <c r="IW56" s="165"/>
      <c r="IX56" s="165"/>
      <c r="IY56" s="165"/>
      <c r="IZ56" s="165"/>
      <c r="JA56" s="165"/>
      <c r="JB56" s="165"/>
      <c r="JC56" s="165"/>
      <c r="JD56" s="165"/>
      <c r="JE56" s="165"/>
      <c r="JF56" s="165"/>
      <c r="JG56" s="165"/>
      <c r="JH56" s="165"/>
      <c r="JI56" s="165"/>
      <c r="JJ56" s="165"/>
      <c r="JK56" s="165"/>
      <c r="JL56" s="165"/>
      <c r="JM56" s="165"/>
      <c r="JN56" s="165"/>
      <c r="JO56" s="165"/>
      <c r="JP56" s="165"/>
      <c r="JQ56" s="165"/>
      <c r="JR56" s="165"/>
      <c r="JS56" s="165"/>
      <c r="JT56" s="165"/>
      <c r="JU56" s="165"/>
      <c r="JV56" s="165"/>
      <c r="JW56" s="165"/>
      <c r="JX56" s="165"/>
      <c r="JY56" s="165"/>
      <c r="JZ56" s="165"/>
      <c r="KA56" s="165"/>
      <c r="KB56" s="165"/>
      <c r="KC56" s="165"/>
      <c r="KD56" s="165"/>
      <c r="KE56" s="165"/>
      <c r="KF56" s="165"/>
      <c r="KG56" s="165"/>
    </row>
    <row r="57" spans="1:293" s="164" customFormat="1" ht="15.75" customHeight="1" thickBot="1" x14ac:dyDescent="0.35">
      <c r="A57" s="465" t="s">
        <v>160</v>
      </c>
      <c r="B57" s="466"/>
      <c r="C57" s="233">
        <f>C53+C26</f>
        <v>82</v>
      </c>
      <c r="D57" s="234">
        <f>SUM(D54:D56)</f>
        <v>72900000</v>
      </c>
      <c r="E57" s="235">
        <f>SUM(E54:E56)</f>
        <v>43</v>
      </c>
      <c r="F57" s="236">
        <f>SUM(F54:F56)</f>
        <v>4360000</v>
      </c>
      <c r="G57" s="235">
        <f t="shared" ref="G57:AB57" si="26">SUM(G54:G56)</f>
        <v>45</v>
      </c>
      <c r="H57" s="236">
        <f t="shared" si="26"/>
        <v>4570000</v>
      </c>
      <c r="I57" s="235">
        <f t="shared" si="26"/>
        <v>47</v>
      </c>
      <c r="J57" s="236">
        <f t="shared" si="26"/>
        <v>4780000</v>
      </c>
      <c r="K57" s="235">
        <f t="shared" si="26"/>
        <v>50</v>
      </c>
      <c r="L57" s="236">
        <f>SUM(L54:L56)</f>
        <v>4990000</v>
      </c>
      <c r="M57" s="235">
        <f t="shared" si="26"/>
        <v>54</v>
      </c>
      <c r="N57" s="236">
        <f t="shared" si="26"/>
        <v>5390000</v>
      </c>
      <c r="O57" s="235">
        <f t="shared" si="26"/>
        <v>60</v>
      </c>
      <c r="P57" s="236">
        <f t="shared" si="26"/>
        <v>6000000</v>
      </c>
      <c r="Q57" s="235">
        <f t="shared" si="26"/>
        <v>63</v>
      </c>
      <c r="R57" s="236">
        <f t="shared" si="26"/>
        <v>6300000</v>
      </c>
      <c r="S57" s="235">
        <f t="shared" si="26"/>
        <v>66</v>
      </c>
      <c r="T57" s="236">
        <f t="shared" si="26"/>
        <v>6600000</v>
      </c>
      <c r="U57" s="235">
        <f t="shared" si="26"/>
        <v>69</v>
      </c>
      <c r="V57" s="236">
        <f t="shared" si="26"/>
        <v>6900000</v>
      </c>
      <c r="W57" s="235">
        <f t="shared" si="26"/>
        <v>72</v>
      </c>
      <c r="X57" s="236">
        <f t="shared" si="26"/>
        <v>7200000</v>
      </c>
      <c r="Y57" s="235">
        <f t="shared" si="26"/>
        <v>76</v>
      </c>
      <c r="Z57" s="236">
        <f t="shared" si="26"/>
        <v>7600000</v>
      </c>
      <c r="AA57" s="235">
        <f>SUM(AA54:AA56)</f>
        <v>82</v>
      </c>
      <c r="AB57" s="236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  <c r="EK57" s="165"/>
      <c r="EL57" s="165"/>
      <c r="EM57" s="165"/>
      <c r="EN57" s="165"/>
      <c r="EO57" s="165"/>
      <c r="EP57" s="165"/>
      <c r="EQ57" s="165"/>
      <c r="ER57" s="165"/>
      <c r="ES57" s="165"/>
      <c r="ET57" s="165"/>
      <c r="EU57" s="165"/>
      <c r="EV57" s="165"/>
      <c r="EW57" s="165"/>
      <c r="EX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  <c r="GM57" s="165"/>
      <c r="GN57" s="165"/>
      <c r="GO57" s="165"/>
      <c r="GP57" s="165"/>
      <c r="GQ57" s="165"/>
      <c r="GR57" s="165"/>
      <c r="GS57" s="165"/>
      <c r="GT57" s="165"/>
      <c r="GU57" s="165"/>
      <c r="GV57" s="165"/>
      <c r="GW57" s="165"/>
      <c r="GX57" s="165"/>
      <c r="GY57" s="165"/>
      <c r="GZ57" s="165"/>
      <c r="HA57" s="165"/>
      <c r="HB57" s="165"/>
      <c r="HC57" s="165"/>
      <c r="HD57" s="165"/>
      <c r="HE57" s="165"/>
      <c r="HF57" s="165"/>
      <c r="HG57" s="165"/>
      <c r="HH57" s="165"/>
      <c r="HI57" s="165"/>
      <c r="HJ57" s="165"/>
      <c r="HK57" s="165"/>
      <c r="HL57" s="165"/>
      <c r="HM57" s="165"/>
      <c r="HN57" s="165"/>
      <c r="HO57" s="165"/>
      <c r="HP57" s="165"/>
      <c r="HQ57" s="165"/>
      <c r="HR57" s="165"/>
      <c r="HS57" s="165"/>
      <c r="HT57" s="165"/>
      <c r="HU57" s="165"/>
      <c r="HV57" s="165"/>
      <c r="HW57" s="165"/>
      <c r="HX57" s="165"/>
      <c r="HY57" s="165"/>
      <c r="HZ57" s="165"/>
      <c r="IA57" s="165"/>
      <c r="IB57" s="165"/>
      <c r="IC57" s="165"/>
      <c r="ID57" s="165"/>
      <c r="IE57" s="165"/>
      <c r="IF57" s="165"/>
      <c r="IG57" s="165"/>
      <c r="IH57" s="165"/>
      <c r="II57" s="165"/>
      <c r="IJ57" s="165"/>
      <c r="IK57" s="165"/>
      <c r="IL57" s="165"/>
      <c r="IM57" s="165"/>
      <c r="IN57" s="165"/>
      <c r="IO57" s="165"/>
      <c r="IP57" s="165"/>
      <c r="IQ57" s="165"/>
      <c r="IR57" s="165"/>
      <c r="IS57" s="165"/>
      <c r="IT57" s="165"/>
      <c r="IU57" s="165"/>
      <c r="IV57" s="165"/>
      <c r="IW57" s="165"/>
      <c r="IX57" s="165"/>
      <c r="IY57" s="165"/>
      <c r="IZ57" s="165"/>
      <c r="JA57" s="165"/>
      <c r="JB57" s="165"/>
      <c r="JC57" s="165"/>
      <c r="JD57" s="165"/>
      <c r="JE57" s="165"/>
      <c r="JF57" s="165"/>
      <c r="JG57" s="165"/>
      <c r="JH57" s="165"/>
      <c r="JI57" s="165"/>
      <c r="JJ57" s="165"/>
      <c r="JK57" s="165"/>
      <c r="JL57" s="165"/>
      <c r="JM57" s="165"/>
      <c r="JN57" s="165"/>
      <c r="JO57" s="165"/>
      <c r="JP57" s="165"/>
      <c r="JQ57" s="165"/>
      <c r="JR57" s="165"/>
      <c r="JS57" s="165"/>
      <c r="JT57" s="165"/>
      <c r="JU57" s="165"/>
      <c r="JV57" s="165"/>
      <c r="JW57" s="165"/>
      <c r="JX57" s="165"/>
      <c r="JY57" s="165"/>
      <c r="JZ57" s="165"/>
      <c r="KA57" s="165"/>
      <c r="KB57" s="165"/>
      <c r="KC57" s="165"/>
      <c r="KD57" s="165"/>
      <c r="KE57" s="165"/>
      <c r="KF57" s="165"/>
      <c r="KG57" s="165"/>
    </row>
    <row r="58" spans="1:293" ht="15.75" customHeight="1" thickBot="1" x14ac:dyDescent="0.35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6.4" thickBot="1" x14ac:dyDescent="0.55000000000000004">
      <c r="A59" s="494" t="s">
        <v>69</v>
      </c>
      <c r="B59" s="495"/>
      <c r="C59" s="495"/>
      <c r="D59" s="495"/>
      <c r="E59" s="495"/>
      <c r="F59" s="495"/>
      <c r="G59" s="495"/>
      <c r="H59" s="495"/>
      <c r="I59" s="495"/>
      <c r="J59" s="495"/>
      <c r="K59" s="495"/>
      <c r="L59" s="495"/>
      <c r="M59" s="495"/>
      <c r="N59" s="495"/>
      <c r="O59" s="495"/>
      <c r="P59" s="495"/>
      <c r="Q59" s="495"/>
      <c r="R59" s="495"/>
      <c r="S59" s="495"/>
      <c r="T59" s="495"/>
      <c r="U59" s="495"/>
      <c r="V59" s="495"/>
      <c r="W59" s="495"/>
      <c r="X59" s="495"/>
      <c r="Y59" s="495"/>
      <c r="Z59" s="495"/>
      <c r="AA59" s="495"/>
      <c r="AB59" s="496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8" customFormat="1" ht="158.25" customHeight="1" thickBot="1" x14ac:dyDescent="0.35">
      <c r="A60" s="158" t="s">
        <v>54</v>
      </c>
      <c r="B60" s="491" t="s">
        <v>217</v>
      </c>
      <c r="C60" s="492"/>
      <c r="D60" s="492"/>
      <c r="E60" s="492"/>
      <c r="F60" s="492"/>
      <c r="G60" s="492"/>
      <c r="H60" s="492"/>
      <c r="I60" s="492"/>
      <c r="J60" s="492"/>
      <c r="K60" s="492"/>
      <c r="L60" s="492"/>
      <c r="M60" s="492"/>
      <c r="N60" s="492"/>
      <c r="O60" s="492"/>
      <c r="P60" s="492"/>
      <c r="Q60" s="492"/>
      <c r="R60" s="492"/>
      <c r="S60" s="492"/>
      <c r="T60" s="492"/>
      <c r="U60" s="492"/>
      <c r="V60" s="492"/>
      <c r="W60" s="492"/>
      <c r="X60" s="492"/>
      <c r="Y60" s="492"/>
      <c r="Z60" s="492"/>
      <c r="AA60" s="492"/>
      <c r="AB60" s="493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5">
      <c r="A61" s="422" t="s">
        <v>55</v>
      </c>
      <c r="B61" s="423"/>
      <c r="C61" s="446" t="s">
        <v>223</v>
      </c>
      <c r="D61" s="436"/>
      <c r="E61" s="472" t="s">
        <v>224</v>
      </c>
      <c r="F61" s="451"/>
      <c r="G61" s="451"/>
      <c r="H61" s="451"/>
      <c r="I61" s="451"/>
      <c r="J61" s="451"/>
      <c r="K61" s="451"/>
      <c r="L61" s="451"/>
      <c r="M61" s="451"/>
      <c r="N61" s="451"/>
      <c r="O61" s="451"/>
      <c r="P61" s="451"/>
      <c r="Q61" s="451"/>
      <c r="R61" s="451"/>
      <c r="S61" s="451"/>
      <c r="T61" s="451"/>
      <c r="U61" s="451"/>
      <c r="V61" s="451"/>
      <c r="W61" s="451"/>
      <c r="X61" s="451"/>
      <c r="Y61" s="451"/>
      <c r="Z61" s="451"/>
      <c r="AA61" s="451"/>
      <c r="AB61" s="452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5">
      <c r="A62" s="424"/>
      <c r="B62" s="425"/>
      <c r="C62" s="159" t="s">
        <v>52</v>
      </c>
      <c r="D62" s="160" t="s">
        <v>55</v>
      </c>
      <c r="E62" s="435" t="s">
        <v>39</v>
      </c>
      <c r="F62" s="436"/>
      <c r="G62" s="435" t="s">
        <v>40</v>
      </c>
      <c r="H62" s="436"/>
      <c r="I62" s="435" t="s">
        <v>41</v>
      </c>
      <c r="J62" s="436"/>
      <c r="K62" s="435" t="s">
        <v>42</v>
      </c>
      <c r="L62" s="436"/>
      <c r="M62" s="435" t="s">
        <v>43</v>
      </c>
      <c r="N62" s="436"/>
      <c r="O62" s="435" t="s">
        <v>44</v>
      </c>
      <c r="P62" s="436"/>
      <c r="Q62" s="435" t="s">
        <v>45</v>
      </c>
      <c r="R62" s="436"/>
      <c r="S62" s="435" t="s">
        <v>46</v>
      </c>
      <c r="T62" s="436"/>
      <c r="U62" s="435" t="s">
        <v>47</v>
      </c>
      <c r="V62" s="436"/>
      <c r="W62" s="435" t="s">
        <v>48</v>
      </c>
      <c r="X62" s="436"/>
      <c r="Y62" s="435" t="s">
        <v>49</v>
      </c>
      <c r="Z62" s="436"/>
      <c r="AA62" s="435" t="s">
        <v>50</v>
      </c>
      <c r="AB62" s="436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3">
      <c r="A63" s="447" t="s">
        <v>57</v>
      </c>
      <c r="B63" s="423"/>
      <c r="C63" s="30">
        <f>'Anexo capacidad operativa'!A32</f>
        <v>3</v>
      </c>
      <c r="D63" s="31" t="str">
        <f>'Anexo capacidad operativa'!B32</f>
        <v>Desarrollador</v>
      </c>
      <c r="E63" s="462" t="s">
        <v>58</v>
      </c>
      <c r="F63" s="369"/>
      <c r="G63" s="417" t="s">
        <v>58</v>
      </c>
      <c r="H63" s="369"/>
      <c r="I63" s="417" t="s">
        <v>58</v>
      </c>
      <c r="J63" s="369"/>
      <c r="K63" s="417" t="s">
        <v>58</v>
      </c>
      <c r="L63" s="369"/>
      <c r="M63" s="406" t="s">
        <v>161</v>
      </c>
      <c r="N63" s="407"/>
      <c r="O63" s="409" t="s">
        <v>58</v>
      </c>
      <c r="P63" s="413"/>
      <c r="Q63" s="417" t="s">
        <v>58</v>
      </c>
      <c r="R63" s="369"/>
      <c r="S63" s="417" t="s">
        <v>58</v>
      </c>
      <c r="T63" s="369"/>
      <c r="U63" s="417" t="s">
        <v>58</v>
      </c>
      <c r="V63" s="369"/>
      <c r="W63" s="417" t="s">
        <v>58</v>
      </c>
      <c r="X63" s="369"/>
      <c r="Y63" s="417" t="s">
        <v>58</v>
      </c>
      <c r="Z63" s="369"/>
      <c r="AA63" s="417" t="s">
        <v>58</v>
      </c>
      <c r="AB63" s="418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3">
      <c r="A64" s="448"/>
      <c r="B64" s="449"/>
      <c r="C64" s="32">
        <f>'Anexo capacidad operativa'!A33</f>
        <v>1</v>
      </c>
      <c r="D64" s="33" t="str">
        <f>'Anexo capacidad operativa'!B33</f>
        <v>Gerente de servicios</v>
      </c>
      <c r="E64" s="444" t="s">
        <v>58</v>
      </c>
      <c r="F64" s="413"/>
      <c r="G64" s="409" t="s">
        <v>58</v>
      </c>
      <c r="H64" s="413"/>
      <c r="I64" s="409" t="s">
        <v>58</v>
      </c>
      <c r="J64" s="413"/>
      <c r="K64" s="409" t="s">
        <v>58</v>
      </c>
      <c r="L64" s="413"/>
      <c r="M64" s="409" t="s">
        <v>58</v>
      </c>
      <c r="N64" s="413"/>
      <c r="O64" s="409" t="s">
        <v>58</v>
      </c>
      <c r="P64" s="413"/>
      <c r="Q64" s="409" t="s">
        <v>58</v>
      </c>
      <c r="R64" s="413"/>
      <c r="S64" s="409" t="s">
        <v>58</v>
      </c>
      <c r="T64" s="413"/>
      <c r="U64" s="409" t="s">
        <v>58</v>
      </c>
      <c r="V64" s="413"/>
      <c r="W64" s="409" t="s">
        <v>58</v>
      </c>
      <c r="X64" s="413"/>
      <c r="Y64" s="409" t="s">
        <v>58</v>
      </c>
      <c r="Z64" s="413"/>
      <c r="AA64" s="409" t="s">
        <v>58</v>
      </c>
      <c r="AB64" s="410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3">
      <c r="A65" s="448"/>
      <c r="B65" s="449"/>
      <c r="C65" s="32">
        <f>'Anexo capacidad operativa'!A34</f>
        <v>1</v>
      </c>
      <c r="D65" s="33" t="str">
        <f>'Anexo capacidad operativa'!B34</f>
        <v>Empleado de tecnologia</v>
      </c>
      <c r="E65" s="444" t="s">
        <v>58</v>
      </c>
      <c r="F65" s="413"/>
      <c r="G65" s="409" t="s">
        <v>58</v>
      </c>
      <c r="H65" s="413"/>
      <c r="I65" s="409" t="s">
        <v>58</v>
      </c>
      <c r="J65" s="413"/>
      <c r="K65" s="409" t="s">
        <v>58</v>
      </c>
      <c r="L65" s="413"/>
      <c r="M65" s="409" t="s">
        <v>58</v>
      </c>
      <c r="N65" s="413"/>
      <c r="O65" s="409" t="s">
        <v>58</v>
      </c>
      <c r="P65" s="413"/>
      <c r="Q65" s="409" t="s">
        <v>58</v>
      </c>
      <c r="R65" s="413"/>
      <c r="S65" s="409" t="s">
        <v>58</v>
      </c>
      <c r="T65" s="413"/>
      <c r="U65" s="409" t="s">
        <v>58</v>
      </c>
      <c r="V65" s="413"/>
      <c r="W65" s="409" t="s">
        <v>58</v>
      </c>
      <c r="X65" s="413"/>
      <c r="Y65" s="409" t="s">
        <v>58</v>
      </c>
      <c r="Z65" s="413"/>
      <c r="AA65" s="409" t="s">
        <v>58</v>
      </c>
      <c r="AB65" s="410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3">
      <c r="A66" s="448"/>
      <c r="B66" s="449"/>
      <c r="C66" s="32">
        <f>'Anexo capacidad operativa'!A35</f>
        <v>2</v>
      </c>
      <c r="D66" s="33" t="str">
        <f>'Anexo capacidad operativa'!B35</f>
        <v>Tester</v>
      </c>
      <c r="E66" s="444" t="s">
        <v>58</v>
      </c>
      <c r="F66" s="413"/>
      <c r="G66" s="409" t="s">
        <v>58</v>
      </c>
      <c r="H66" s="413"/>
      <c r="I66" s="409" t="s">
        <v>58</v>
      </c>
      <c r="J66" s="413"/>
      <c r="K66" s="409" t="s">
        <v>58</v>
      </c>
      <c r="L66" s="413"/>
      <c r="M66" s="406" t="s">
        <v>161</v>
      </c>
      <c r="N66" s="407"/>
      <c r="O66" s="409" t="s">
        <v>58</v>
      </c>
      <c r="P66" s="413"/>
      <c r="Q66" s="409" t="s">
        <v>58</v>
      </c>
      <c r="R66" s="413"/>
      <c r="S66" s="409" t="s">
        <v>58</v>
      </c>
      <c r="T66" s="413"/>
      <c r="U66" s="409" t="s">
        <v>58</v>
      </c>
      <c r="V66" s="413"/>
      <c r="W66" s="409" t="s">
        <v>58</v>
      </c>
      <c r="X66" s="413"/>
      <c r="Y66" s="409" t="s">
        <v>58</v>
      </c>
      <c r="Z66" s="413"/>
      <c r="AA66" s="409" t="s">
        <v>58</v>
      </c>
      <c r="AB66" s="410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5">
      <c r="A67" s="448"/>
      <c r="B67" s="449"/>
      <c r="C67" s="32">
        <f>'Anexo capacidad operativa'!A36</f>
        <v>3</v>
      </c>
      <c r="D67" s="33" t="str">
        <f>'Anexo capacidad operativa'!B36</f>
        <v>Empleado administrativo de ventas</v>
      </c>
      <c r="E67" s="445" t="s">
        <v>58</v>
      </c>
      <c r="F67" s="415"/>
      <c r="G67" s="414" t="s">
        <v>58</v>
      </c>
      <c r="H67" s="415"/>
      <c r="I67" s="414" t="s">
        <v>58</v>
      </c>
      <c r="J67" s="415"/>
      <c r="K67" s="414" t="s">
        <v>58</v>
      </c>
      <c r="L67" s="415"/>
      <c r="M67" s="406" t="s">
        <v>161</v>
      </c>
      <c r="N67" s="407"/>
      <c r="O67" s="409" t="s">
        <v>58</v>
      </c>
      <c r="P67" s="413"/>
      <c r="Q67" s="414" t="s">
        <v>58</v>
      </c>
      <c r="R67" s="415"/>
      <c r="S67" s="414" t="s">
        <v>58</v>
      </c>
      <c r="T67" s="415"/>
      <c r="U67" s="414" t="s">
        <v>58</v>
      </c>
      <c r="V67" s="415"/>
      <c r="W67" s="414" t="s">
        <v>58</v>
      </c>
      <c r="X67" s="415"/>
      <c r="Y67" s="414" t="s">
        <v>58</v>
      </c>
      <c r="Z67" s="415"/>
      <c r="AA67" s="414" t="s">
        <v>58</v>
      </c>
      <c r="AB67" s="41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5">
      <c r="A68" s="473" t="s">
        <v>59</v>
      </c>
      <c r="B68" s="474"/>
      <c r="C68" s="34">
        <v>4</v>
      </c>
      <c r="D68" s="35" t="s">
        <v>60</v>
      </c>
      <c r="E68" s="406" t="s">
        <v>161</v>
      </c>
      <c r="F68" s="407"/>
      <c r="G68" s="417" t="s">
        <v>58</v>
      </c>
      <c r="H68" s="369"/>
      <c r="I68" s="417" t="s">
        <v>58</v>
      </c>
      <c r="J68" s="369"/>
      <c r="K68" s="417" t="s">
        <v>58</v>
      </c>
      <c r="L68" s="369"/>
      <c r="M68" s="406" t="s">
        <v>161</v>
      </c>
      <c r="N68" s="407"/>
      <c r="O68" s="409" t="s">
        <v>58</v>
      </c>
      <c r="P68" s="413"/>
      <c r="Q68" s="417" t="s">
        <v>58</v>
      </c>
      <c r="R68" s="369"/>
      <c r="S68" s="417" t="s">
        <v>58</v>
      </c>
      <c r="T68" s="369"/>
      <c r="U68" s="417" t="s">
        <v>58</v>
      </c>
      <c r="V68" s="369"/>
      <c r="W68" s="417" t="s">
        <v>58</v>
      </c>
      <c r="X68" s="369"/>
      <c r="Y68" s="417" t="s">
        <v>58</v>
      </c>
      <c r="Z68" s="369"/>
      <c r="AA68" s="417" t="s">
        <v>58</v>
      </c>
      <c r="AB68" s="418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5">
      <c r="A69" s="448"/>
      <c r="B69" s="449"/>
      <c r="C69" s="36">
        <v>4</v>
      </c>
      <c r="D69" s="37" t="s">
        <v>61</v>
      </c>
      <c r="E69" s="408" t="s">
        <v>161</v>
      </c>
      <c r="F69" s="408"/>
      <c r="G69" s="409" t="s">
        <v>58</v>
      </c>
      <c r="H69" s="413"/>
      <c r="I69" s="409" t="s">
        <v>58</v>
      </c>
      <c r="J69" s="413"/>
      <c r="K69" s="409" t="s">
        <v>58</v>
      </c>
      <c r="L69" s="413"/>
      <c r="M69" s="406" t="s">
        <v>161</v>
      </c>
      <c r="N69" s="407"/>
      <c r="O69" s="409" t="s">
        <v>58</v>
      </c>
      <c r="P69" s="413"/>
      <c r="Q69" s="409" t="s">
        <v>58</v>
      </c>
      <c r="R69" s="413"/>
      <c r="S69" s="409" t="s">
        <v>58</v>
      </c>
      <c r="T69" s="413"/>
      <c r="U69" s="409" t="s">
        <v>58</v>
      </c>
      <c r="V69" s="413"/>
      <c r="W69" s="409" t="s">
        <v>58</v>
      </c>
      <c r="X69" s="413"/>
      <c r="Y69" s="409" t="s">
        <v>58</v>
      </c>
      <c r="Z69" s="413"/>
      <c r="AA69" s="409" t="s">
        <v>58</v>
      </c>
      <c r="AB69" s="410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3">
      <c r="A70" s="448"/>
      <c r="B70" s="449"/>
      <c r="C70" s="36">
        <v>1</v>
      </c>
      <c r="D70" s="37" t="s">
        <v>62</v>
      </c>
      <c r="E70" s="444" t="s">
        <v>58</v>
      </c>
      <c r="F70" s="413"/>
      <c r="G70" s="409" t="s">
        <v>58</v>
      </c>
      <c r="H70" s="413"/>
      <c r="I70" s="409" t="s">
        <v>58</v>
      </c>
      <c r="J70" s="413"/>
      <c r="K70" s="409" t="s">
        <v>58</v>
      </c>
      <c r="L70" s="413"/>
      <c r="M70" s="409" t="s">
        <v>58</v>
      </c>
      <c r="N70" s="413"/>
      <c r="O70" s="409" t="s">
        <v>58</v>
      </c>
      <c r="P70" s="413"/>
      <c r="Q70" s="409" t="s">
        <v>58</v>
      </c>
      <c r="R70" s="413"/>
      <c r="S70" s="409" t="s">
        <v>58</v>
      </c>
      <c r="T70" s="413"/>
      <c r="U70" s="409" t="s">
        <v>58</v>
      </c>
      <c r="V70" s="413"/>
      <c r="W70" s="409" t="s">
        <v>58</v>
      </c>
      <c r="X70" s="413"/>
      <c r="Y70" s="409" t="s">
        <v>58</v>
      </c>
      <c r="Z70" s="413"/>
      <c r="AA70" s="409" t="s">
        <v>58</v>
      </c>
      <c r="AB70" s="410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3">
      <c r="A71" s="448"/>
      <c r="B71" s="449"/>
      <c r="C71" s="36">
        <v>4</v>
      </c>
      <c r="D71" s="37" t="s">
        <v>63</v>
      </c>
      <c r="E71" s="406" t="s">
        <v>161</v>
      </c>
      <c r="F71" s="407"/>
      <c r="G71" s="409" t="s">
        <v>58</v>
      </c>
      <c r="H71" s="413"/>
      <c r="I71" s="409" t="s">
        <v>58</v>
      </c>
      <c r="J71" s="413"/>
      <c r="K71" s="409" t="s">
        <v>58</v>
      </c>
      <c r="L71" s="413"/>
      <c r="M71" s="406" t="s">
        <v>161</v>
      </c>
      <c r="N71" s="407"/>
      <c r="O71" s="409" t="s">
        <v>58</v>
      </c>
      <c r="P71" s="413"/>
      <c r="Q71" s="409" t="s">
        <v>58</v>
      </c>
      <c r="R71" s="413"/>
      <c r="S71" s="409" t="s">
        <v>58</v>
      </c>
      <c r="T71" s="413"/>
      <c r="U71" s="409" t="s">
        <v>58</v>
      </c>
      <c r="V71" s="413"/>
      <c r="W71" s="409" t="s">
        <v>58</v>
      </c>
      <c r="X71" s="413"/>
      <c r="Y71" s="409" t="s">
        <v>58</v>
      </c>
      <c r="Z71" s="413"/>
      <c r="AA71" s="409" t="s">
        <v>58</v>
      </c>
      <c r="AB71" s="410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3">
      <c r="A72" s="448"/>
      <c r="B72" s="449"/>
      <c r="C72" s="36">
        <v>2</v>
      </c>
      <c r="D72" s="37" t="s">
        <v>64</v>
      </c>
      <c r="E72" s="406" t="s">
        <v>161</v>
      </c>
      <c r="F72" s="407"/>
      <c r="G72" s="409" t="s">
        <v>58</v>
      </c>
      <c r="H72" s="413"/>
      <c r="I72" s="409" t="s">
        <v>58</v>
      </c>
      <c r="J72" s="413"/>
      <c r="K72" s="409" t="s">
        <v>58</v>
      </c>
      <c r="L72" s="413"/>
      <c r="M72" s="409" t="s">
        <v>58</v>
      </c>
      <c r="N72" s="413"/>
      <c r="O72" s="409" t="s">
        <v>58</v>
      </c>
      <c r="P72" s="413"/>
      <c r="Q72" s="409" t="s">
        <v>58</v>
      </c>
      <c r="R72" s="413"/>
      <c r="S72" s="409" t="s">
        <v>58</v>
      </c>
      <c r="T72" s="413"/>
      <c r="U72" s="409" t="s">
        <v>58</v>
      </c>
      <c r="V72" s="413"/>
      <c r="W72" s="409" t="s">
        <v>58</v>
      </c>
      <c r="X72" s="413"/>
      <c r="Y72" s="409" t="s">
        <v>58</v>
      </c>
      <c r="Z72" s="413"/>
      <c r="AA72" s="409" t="s">
        <v>58</v>
      </c>
      <c r="AB72" s="410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5">
      <c r="A73" s="475"/>
      <c r="B73" s="476"/>
      <c r="C73" s="36">
        <v>4</v>
      </c>
      <c r="D73" s="37" t="s">
        <v>65</v>
      </c>
      <c r="E73" s="406" t="s">
        <v>161</v>
      </c>
      <c r="F73" s="407"/>
      <c r="G73" s="409" t="s">
        <v>58</v>
      </c>
      <c r="H73" s="413"/>
      <c r="I73" s="409" t="s">
        <v>58</v>
      </c>
      <c r="J73" s="413"/>
      <c r="K73" s="409" t="s">
        <v>58</v>
      </c>
      <c r="L73" s="413"/>
      <c r="M73" s="406" t="s">
        <v>161</v>
      </c>
      <c r="N73" s="407"/>
      <c r="O73" s="409" t="s">
        <v>58</v>
      </c>
      <c r="P73" s="413"/>
      <c r="Q73" s="409" t="s">
        <v>58</v>
      </c>
      <c r="R73" s="413"/>
      <c r="S73" s="409" t="s">
        <v>58</v>
      </c>
      <c r="T73" s="413"/>
      <c r="U73" s="409" t="s">
        <v>58</v>
      </c>
      <c r="V73" s="413"/>
      <c r="W73" s="409" t="s">
        <v>58</v>
      </c>
      <c r="X73" s="413"/>
      <c r="Y73" s="409" t="s">
        <v>58</v>
      </c>
      <c r="Z73" s="413"/>
      <c r="AA73" s="409" t="s">
        <v>58</v>
      </c>
      <c r="AB73" s="410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5">
      <c r="A74" s="477" t="s">
        <v>66</v>
      </c>
      <c r="B74" s="478"/>
      <c r="C74" s="34">
        <f>SUM(C63:C67)</f>
        <v>10</v>
      </c>
      <c r="D74" s="152" t="s">
        <v>166</v>
      </c>
      <c r="E74" s="409" t="s">
        <v>58</v>
      </c>
      <c r="F74" s="413"/>
      <c r="G74" s="409" t="s">
        <v>58</v>
      </c>
      <c r="H74" s="413"/>
      <c r="I74" s="409" t="s">
        <v>58</v>
      </c>
      <c r="J74" s="413"/>
      <c r="K74" s="409" t="s">
        <v>58</v>
      </c>
      <c r="L74" s="413"/>
      <c r="M74" s="406" t="s">
        <v>263</v>
      </c>
      <c r="N74" s="407"/>
      <c r="O74" s="409" t="s">
        <v>58</v>
      </c>
      <c r="P74" s="413"/>
      <c r="Q74" s="409" t="s">
        <v>58</v>
      </c>
      <c r="R74" s="413"/>
      <c r="S74" s="409" t="s">
        <v>58</v>
      </c>
      <c r="T74" s="413"/>
      <c r="U74" s="409" t="s">
        <v>58</v>
      </c>
      <c r="V74" s="413"/>
      <c r="W74" s="409" t="s">
        <v>58</v>
      </c>
      <c r="X74" s="413"/>
      <c r="Y74" s="409" t="s">
        <v>58</v>
      </c>
      <c r="Z74" s="413"/>
      <c r="AA74" s="409" t="s">
        <v>58</v>
      </c>
      <c r="AB74" s="410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3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5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6.4" thickBot="1" x14ac:dyDescent="0.55000000000000004">
      <c r="A77" s="468" t="s">
        <v>186</v>
      </c>
      <c r="B77" s="468"/>
      <c r="C77" s="468"/>
      <c r="D77" s="468"/>
      <c r="E77" s="468"/>
      <c r="F77" s="468"/>
      <c r="G77" s="468"/>
      <c r="H77" s="468"/>
      <c r="I77" s="468"/>
      <c r="J77" s="468"/>
      <c r="K77" s="468"/>
      <c r="L77" s="468"/>
      <c r="M77" s="468"/>
      <c r="N77" s="468"/>
      <c r="O77" s="468"/>
      <c r="P77" s="468"/>
      <c r="Q77" s="468"/>
      <c r="R77" s="468"/>
      <c r="S77" s="468"/>
      <c r="T77" s="468"/>
      <c r="U77" s="468"/>
      <c r="V77" s="468"/>
      <c r="W77" s="468"/>
      <c r="X77" s="468"/>
      <c r="Y77" s="468"/>
      <c r="Z77" s="468"/>
      <c r="AA77" s="468"/>
      <c r="AB77" s="468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5">
      <c r="A78" s="421" t="s">
        <v>181</v>
      </c>
      <c r="B78" s="421" t="s">
        <v>33</v>
      </c>
      <c r="C78" s="421" t="s">
        <v>38</v>
      </c>
      <c r="D78" s="420"/>
      <c r="E78" s="443" t="s">
        <v>39</v>
      </c>
      <c r="F78" s="420"/>
      <c r="G78" s="443" t="s">
        <v>40</v>
      </c>
      <c r="H78" s="420"/>
      <c r="I78" s="443" t="s">
        <v>41</v>
      </c>
      <c r="J78" s="420"/>
      <c r="K78" s="443" t="s">
        <v>42</v>
      </c>
      <c r="L78" s="420"/>
      <c r="M78" s="443" t="s">
        <v>43</v>
      </c>
      <c r="N78" s="420"/>
      <c r="O78" s="443" t="s">
        <v>44</v>
      </c>
      <c r="P78" s="420"/>
      <c r="Q78" s="443" t="s">
        <v>45</v>
      </c>
      <c r="R78" s="420"/>
      <c r="S78" s="443" t="s">
        <v>46</v>
      </c>
      <c r="T78" s="420"/>
      <c r="U78" s="443" t="s">
        <v>47</v>
      </c>
      <c r="V78" s="420"/>
      <c r="W78" s="443" t="s">
        <v>48</v>
      </c>
      <c r="X78" s="420"/>
      <c r="Y78" s="443" t="s">
        <v>49</v>
      </c>
      <c r="Z78" s="420"/>
      <c r="AA78" s="443" t="s">
        <v>50</v>
      </c>
      <c r="AB78" s="420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5">
      <c r="A79" s="464"/>
      <c r="B79" s="464"/>
      <c r="C79" s="421" t="s">
        <v>52</v>
      </c>
      <c r="D79" s="421" t="s">
        <v>51</v>
      </c>
      <c r="E79" s="419">
        <v>0.05</v>
      </c>
      <c r="F79" s="420"/>
      <c r="G79" s="419">
        <v>0.05</v>
      </c>
      <c r="H79" s="419"/>
      <c r="I79" s="419">
        <v>0.05</v>
      </c>
      <c r="J79" s="420"/>
      <c r="K79" s="419">
        <v>7.0000000000000007E-2</v>
      </c>
      <c r="L79" s="419"/>
      <c r="M79" s="419">
        <v>0.1</v>
      </c>
      <c r="N79" s="420"/>
      <c r="O79" s="419">
        <v>0.15</v>
      </c>
      <c r="P79" s="419"/>
      <c r="Q79" s="419">
        <v>7.0000000000000007E-2</v>
      </c>
      <c r="R79" s="420"/>
      <c r="S79" s="419">
        <v>7.0000000000000007E-2</v>
      </c>
      <c r="T79" s="419"/>
      <c r="U79" s="419">
        <v>7.0000000000000007E-2</v>
      </c>
      <c r="V79" s="420"/>
      <c r="W79" s="419">
        <v>7.0000000000000007E-2</v>
      </c>
      <c r="X79" s="419"/>
      <c r="Y79" s="419">
        <v>0.1</v>
      </c>
      <c r="Z79" s="420"/>
      <c r="AA79" s="419">
        <v>0.15</v>
      </c>
      <c r="AB79" s="419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5">
      <c r="A80" s="464"/>
      <c r="B80" s="464"/>
      <c r="C80" s="420"/>
      <c r="D80" s="420"/>
      <c r="E80" s="174" t="s">
        <v>52</v>
      </c>
      <c r="F80" s="174" t="s">
        <v>51</v>
      </c>
      <c r="G80" s="174" t="s">
        <v>52</v>
      </c>
      <c r="H80" s="174" t="s">
        <v>51</v>
      </c>
      <c r="I80" s="174" t="s">
        <v>52</v>
      </c>
      <c r="J80" s="174" t="s">
        <v>51</v>
      </c>
      <c r="K80" s="174" t="s">
        <v>52</v>
      </c>
      <c r="L80" s="174" t="s">
        <v>51</v>
      </c>
      <c r="M80" s="174" t="s">
        <v>52</v>
      </c>
      <c r="N80" s="174" t="s">
        <v>51</v>
      </c>
      <c r="O80" s="174" t="s">
        <v>52</v>
      </c>
      <c r="P80" s="174" t="s">
        <v>51</v>
      </c>
      <c r="Q80" s="174" t="s">
        <v>52</v>
      </c>
      <c r="R80" s="174" t="s">
        <v>51</v>
      </c>
      <c r="S80" s="174" t="s">
        <v>52</v>
      </c>
      <c r="T80" s="174" t="s">
        <v>51</v>
      </c>
      <c r="U80" s="174" t="s">
        <v>52</v>
      </c>
      <c r="V80" s="174" t="s">
        <v>51</v>
      </c>
      <c r="W80" s="174" t="s">
        <v>52</v>
      </c>
      <c r="X80" s="174" t="s">
        <v>51</v>
      </c>
      <c r="Y80" s="174" t="s">
        <v>52</v>
      </c>
      <c r="Z80" s="174" t="s">
        <v>51</v>
      </c>
      <c r="AA80" s="174" t="s">
        <v>52</v>
      </c>
      <c r="AB80" s="17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5">
      <c r="A81" s="175" t="s">
        <v>179</v>
      </c>
      <c r="B81" s="176">
        <f>Hipótesis!C37</f>
        <v>90000</v>
      </c>
      <c r="C81" s="210">
        <f>E81+G81+I81+K81+M81+O81+Q81+S81+U81+W81+Y81+AA81</f>
        <v>9</v>
      </c>
      <c r="D81" s="209">
        <f>B81*C81</f>
        <v>810000</v>
      </c>
      <c r="E81" s="211"/>
      <c r="F81" s="209">
        <f>B81*E81</f>
        <v>0</v>
      </c>
      <c r="G81" s="211">
        <v>0</v>
      </c>
      <c r="H81" s="209">
        <f>B81*G81</f>
        <v>0</v>
      </c>
      <c r="I81" s="211">
        <v>0</v>
      </c>
      <c r="J81" s="209">
        <f t="shared" ref="J81" si="27">F81*I81</f>
        <v>0</v>
      </c>
      <c r="K81" s="211">
        <v>1</v>
      </c>
      <c r="L81" s="209">
        <f>K81*B81</f>
        <v>90000</v>
      </c>
      <c r="M81" s="211">
        <v>1</v>
      </c>
      <c r="N81" s="209">
        <f>M81*B81</f>
        <v>90000</v>
      </c>
      <c r="O81" s="211">
        <v>1</v>
      </c>
      <c r="P81" s="209">
        <f>O81*B81</f>
        <v>90000</v>
      </c>
      <c r="Q81" s="211">
        <v>1</v>
      </c>
      <c r="R81" s="209">
        <f>$B$81*Q81</f>
        <v>90000</v>
      </c>
      <c r="S81" s="211">
        <v>1</v>
      </c>
      <c r="T81" s="209">
        <f>S81*B81</f>
        <v>90000</v>
      </c>
      <c r="U81" s="211">
        <v>1</v>
      </c>
      <c r="V81" s="209">
        <f t="shared" ref="V81:V83" si="28">R81*U81</f>
        <v>90000</v>
      </c>
      <c r="W81" s="211">
        <v>1</v>
      </c>
      <c r="X81" s="209">
        <f t="shared" ref="X81:X83" si="29">R81*W81</f>
        <v>90000</v>
      </c>
      <c r="Y81" s="211">
        <v>1</v>
      </c>
      <c r="Z81" s="209">
        <f>B81*Y81</f>
        <v>90000</v>
      </c>
      <c r="AA81" s="211">
        <v>1</v>
      </c>
      <c r="AB81" s="20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5">
      <c r="A82" s="177" t="s">
        <v>180</v>
      </c>
      <c r="B82" s="178">
        <f>Hipótesis!C38</f>
        <v>100000</v>
      </c>
      <c r="C82" s="213">
        <f>E82+G82+I82+K82+M82+O82+Q82+S82+U82+W82+Y82+AA82</f>
        <v>18</v>
      </c>
      <c r="D82" s="212">
        <f>B82*C82</f>
        <v>1800000</v>
      </c>
      <c r="E82" s="213">
        <v>1</v>
      </c>
      <c r="F82" s="214">
        <f>B82*E82</f>
        <v>100000</v>
      </c>
      <c r="G82" s="213">
        <v>1</v>
      </c>
      <c r="H82" s="214">
        <f>B82*G82</f>
        <v>100000</v>
      </c>
      <c r="I82" s="213">
        <v>1</v>
      </c>
      <c r="J82" s="214">
        <f>B82*I82</f>
        <v>100000</v>
      </c>
      <c r="K82" s="213">
        <v>1</v>
      </c>
      <c r="L82" s="214">
        <f>K82*$B$82</f>
        <v>100000</v>
      </c>
      <c r="M82" s="213">
        <v>2</v>
      </c>
      <c r="N82" s="214">
        <f>M82*$B$82</f>
        <v>200000</v>
      </c>
      <c r="O82" s="213">
        <v>3</v>
      </c>
      <c r="P82" s="214">
        <f t="shared" ref="P82" si="30">O82*$B$82</f>
        <v>300000</v>
      </c>
      <c r="Q82" s="213">
        <v>1</v>
      </c>
      <c r="R82" s="214">
        <f>Q82*B82</f>
        <v>100000</v>
      </c>
      <c r="S82" s="213">
        <v>1</v>
      </c>
      <c r="T82" s="214">
        <f>B82*S82</f>
        <v>100000</v>
      </c>
      <c r="U82" s="213">
        <v>1</v>
      </c>
      <c r="V82" s="214">
        <f t="shared" si="28"/>
        <v>100000</v>
      </c>
      <c r="W82" s="213">
        <v>1</v>
      </c>
      <c r="X82" s="214">
        <f t="shared" si="29"/>
        <v>100000</v>
      </c>
      <c r="Y82" s="213">
        <v>2</v>
      </c>
      <c r="Z82" s="214">
        <f>$B$82*Y82</f>
        <v>200000</v>
      </c>
      <c r="AA82" s="213">
        <v>3</v>
      </c>
      <c r="AB82" s="21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5">
      <c r="A83" s="179" t="s">
        <v>35</v>
      </c>
      <c r="B83" s="180">
        <f>Hipótesis!C39</f>
        <v>110000</v>
      </c>
      <c r="C83" s="216">
        <f>E83+G83+I83+K83+M83+O83+Q83+S83+U83+W83+Y83+AA83</f>
        <v>14</v>
      </c>
      <c r="D83" s="215">
        <f>B83*C83</f>
        <v>1540000</v>
      </c>
      <c r="E83" s="217">
        <v>1</v>
      </c>
      <c r="F83" s="218">
        <f>B83*E83</f>
        <v>110000</v>
      </c>
      <c r="G83" s="217">
        <v>1</v>
      </c>
      <c r="H83" s="218">
        <f>B83*G83</f>
        <v>110000</v>
      </c>
      <c r="I83" s="217">
        <v>1</v>
      </c>
      <c r="J83" s="218">
        <f>I83*$B$83</f>
        <v>110000</v>
      </c>
      <c r="K83" s="217">
        <v>1</v>
      </c>
      <c r="L83" s="218">
        <f>K83*$B$83</f>
        <v>110000</v>
      </c>
      <c r="M83" s="217">
        <v>1</v>
      </c>
      <c r="N83" s="218">
        <f>B83*M83</f>
        <v>110000</v>
      </c>
      <c r="O83" s="217">
        <v>2</v>
      </c>
      <c r="P83" s="218">
        <f>B83*O83</f>
        <v>220000</v>
      </c>
      <c r="Q83" s="217">
        <v>1</v>
      </c>
      <c r="R83" s="218">
        <f>$B$83*Q83</f>
        <v>110000</v>
      </c>
      <c r="S83" s="217">
        <v>1</v>
      </c>
      <c r="T83" s="218">
        <f>$B$83*S83</f>
        <v>110000</v>
      </c>
      <c r="U83" s="217">
        <v>1</v>
      </c>
      <c r="V83" s="218">
        <f t="shared" si="28"/>
        <v>110000</v>
      </c>
      <c r="W83" s="217">
        <v>1</v>
      </c>
      <c r="X83" s="218">
        <f t="shared" si="29"/>
        <v>110000</v>
      </c>
      <c r="Y83" s="217">
        <v>1</v>
      </c>
      <c r="Z83" s="218">
        <f t="shared" ref="Z83" si="31">V83*Y83</f>
        <v>110000</v>
      </c>
      <c r="AA83" s="217">
        <v>2</v>
      </c>
      <c r="AB83" s="21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2" thickBot="1" x14ac:dyDescent="0.35">
      <c r="A84" s="463" t="s">
        <v>53</v>
      </c>
      <c r="B84" s="464"/>
      <c r="C84" s="244">
        <f t="shared" ref="C84:J84" si="33">SUM(C81:C83)</f>
        <v>41</v>
      </c>
      <c r="D84" s="245">
        <f t="shared" si="33"/>
        <v>4150000</v>
      </c>
      <c r="E84" s="244">
        <f t="shared" si="33"/>
        <v>2</v>
      </c>
      <c r="F84" s="245">
        <f t="shared" si="33"/>
        <v>210000</v>
      </c>
      <c r="G84" s="244">
        <f t="shared" si="33"/>
        <v>2</v>
      </c>
      <c r="H84" s="245">
        <f t="shared" si="33"/>
        <v>210000</v>
      </c>
      <c r="I84" s="244">
        <f t="shared" si="33"/>
        <v>2</v>
      </c>
      <c r="J84" s="245">
        <f t="shared" si="33"/>
        <v>210000</v>
      </c>
      <c r="K84" s="244">
        <f t="shared" ref="K84:Z84" si="34">SUM(K81:K83)</f>
        <v>3</v>
      </c>
      <c r="L84" s="245">
        <f t="shared" si="34"/>
        <v>300000</v>
      </c>
      <c r="M84" s="244">
        <f t="shared" si="34"/>
        <v>4</v>
      </c>
      <c r="N84" s="245">
        <f t="shared" si="34"/>
        <v>400000</v>
      </c>
      <c r="O84" s="244">
        <f t="shared" si="34"/>
        <v>6</v>
      </c>
      <c r="P84" s="245">
        <f t="shared" si="34"/>
        <v>610000</v>
      </c>
      <c r="Q84" s="244">
        <f t="shared" si="34"/>
        <v>3</v>
      </c>
      <c r="R84" s="245">
        <f t="shared" si="34"/>
        <v>300000</v>
      </c>
      <c r="S84" s="244">
        <f t="shared" si="34"/>
        <v>3</v>
      </c>
      <c r="T84" s="245">
        <f t="shared" si="34"/>
        <v>300000</v>
      </c>
      <c r="U84" s="244">
        <f t="shared" si="34"/>
        <v>3</v>
      </c>
      <c r="V84" s="245">
        <f t="shared" si="34"/>
        <v>300000</v>
      </c>
      <c r="W84" s="244">
        <f t="shared" si="34"/>
        <v>3</v>
      </c>
      <c r="X84" s="245">
        <f t="shared" si="34"/>
        <v>300000</v>
      </c>
      <c r="Y84" s="244">
        <f t="shared" si="34"/>
        <v>4</v>
      </c>
      <c r="Z84" s="245">
        <f t="shared" si="34"/>
        <v>400000</v>
      </c>
      <c r="AA84" s="244">
        <f>SUM(AA81:AA83)</f>
        <v>6</v>
      </c>
      <c r="AB84" s="24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2" thickBot="1" x14ac:dyDescent="0.35">
      <c r="A85" s="397" t="s">
        <v>189</v>
      </c>
      <c r="B85" s="398"/>
      <c r="C85" s="399"/>
      <c r="D85" s="221">
        <f t="shared" ref="D85:D87" si="36">SUM(F85+H85+J85+L85+N85+P85+R85+T85+V85+X85+Z85+AB85)</f>
        <v>23760000</v>
      </c>
      <c r="E85" s="222">
        <f>E81+AA54</f>
        <v>18</v>
      </c>
      <c r="F85" s="223">
        <f>E85*$B$81</f>
        <v>1620000</v>
      </c>
      <c r="G85" s="222">
        <f>G81+E85</f>
        <v>18</v>
      </c>
      <c r="H85" s="223">
        <f t="shared" ref="H85" si="37">(G85+G81)*$B$81</f>
        <v>1620000</v>
      </c>
      <c r="I85" s="222">
        <f t="shared" ref="I85:I87" si="38">I81+G85</f>
        <v>18</v>
      </c>
      <c r="J85" s="223">
        <f t="shared" ref="J85" si="39">(I85+I81)*$B$81</f>
        <v>1620000</v>
      </c>
      <c r="K85" s="222">
        <f t="shared" ref="K85:K87" si="40">K81+I85</f>
        <v>19</v>
      </c>
      <c r="L85" s="223">
        <f t="shared" ref="L85" si="41">(K85+K81)*$B$81</f>
        <v>1800000</v>
      </c>
      <c r="M85" s="222">
        <f t="shared" ref="M85:M87" si="42">M81+K85</f>
        <v>20</v>
      </c>
      <c r="N85" s="223">
        <f>M85*$B$81</f>
        <v>1800000</v>
      </c>
      <c r="O85" s="222">
        <f t="shared" ref="O85" si="43">O81+M85</f>
        <v>21</v>
      </c>
      <c r="P85" s="223">
        <f t="shared" ref="P85:T85" si="44">(O85+O81)*$B$81</f>
        <v>1980000</v>
      </c>
      <c r="Q85" s="222">
        <f t="shared" ref="Q85" si="45">Q81+O85</f>
        <v>22</v>
      </c>
      <c r="R85" s="223">
        <f t="shared" ref="R85" si="46">Q85*$B$81</f>
        <v>1980000</v>
      </c>
      <c r="S85" s="222">
        <f t="shared" ref="S85" si="47">S81+Q85</f>
        <v>23</v>
      </c>
      <c r="T85" s="223">
        <f t="shared" si="44"/>
        <v>2160000</v>
      </c>
      <c r="U85" s="222">
        <f t="shared" ref="U85" si="48">U81+S85</f>
        <v>24</v>
      </c>
      <c r="V85" s="223">
        <f t="shared" ref="V85" si="49">U85*$B$81</f>
        <v>2160000</v>
      </c>
      <c r="W85" s="222">
        <f t="shared" ref="W85" si="50">W81+U85</f>
        <v>25</v>
      </c>
      <c r="X85" s="223">
        <f>W85*$B$81</f>
        <v>2250000</v>
      </c>
      <c r="Y85" s="222">
        <f t="shared" ref="Y85" si="51">Y81+W85</f>
        <v>26</v>
      </c>
      <c r="Z85" s="223">
        <f t="shared" ref="Z85" si="52">Y85*$B$81</f>
        <v>2340000</v>
      </c>
      <c r="AA85" s="222">
        <f t="shared" ref="AA85" si="53">AA81+Y85</f>
        <v>27</v>
      </c>
      <c r="AB85" s="223">
        <f>(AA85)*$B$81</f>
        <v>2430000</v>
      </c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</row>
    <row r="86" spans="1:43" ht="16.2" thickBot="1" x14ac:dyDescent="0.35">
      <c r="A86" s="400" t="s">
        <v>190</v>
      </c>
      <c r="B86" s="401"/>
      <c r="C86" s="402"/>
      <c r="D86" s="225">
        <f t="shared" si="36"/>
        <v>53600000</v>
      </c>
      <c r="E86" s="226">
        <f>E82+AA55</f>
        <v>37</v>
      </c>
      <c r="F86" s="227">
        <f>E86*B82</f>
        <v>3700000</v>
      </c>
      <c r="G86" s="226">
        <f>G82+E86</f>
        <v>38</v>
      </c>
      <c r="H86" s="227">
        <f>(G86)*$B$82</f>
        <v>3800000</v>
      </c>
      <c r="I86" s="226">
        <f t="shared" si="38"/>
        <v>39</v>
      </c>
      <c r="J86" s="227">
        <f>(I86)*$B$82</f>
        <v>3900000</v>
      </c>
      <c r="K86" s="226">
        <f t="shared" si="40"/>
        <v>40</v>
      </c>
      <c r="L86" s="227">
        <f>(K86)*$B$82</f>
        <v>4000000</v>
      </c>
      <c r="M86" s="226">
        <f t="shared" si="42"/>
        <v>42</v>
      </c>
      <c r="N86" s="227">
        <f>(M86)*$B$82</f>
        <v>4200000</v>
      </c>
      <c r="O86" s="226">
        <f t="shared" ref="O86:O87" si="54">O82+M86</f>
        <v>45</v>
      </c>
      <c r="P86" s="227">
        <f>(O86)*$B$82</f>
        <v>4500000</v>
      </c>
      <c r="Q86" s="226">
        <f t="shared" ref="Q86:Q87" si="55">Q82+O86</f>
        <v>46</v>
      </c>
      <c r="R86" s="227">
        <f>(Q86)*$B$82</f>
        <v>4600000</v>
      </c>
      <c r="S86" s="226">
        <f t="shared" ref="S86:S87" si="56">S82+Q86</f>
        <v>47</v>
      </c>
      <c r="T86" s="227">
        <f>(S86)*$B$82</f>
        <v>4700000</v>
      </c>
      <c r="U86" s="226">
        <f t="shared" ref="U86:U87" si="57">U82+S86</f>
        <v>48</v>
      </c>
      <c r="V86" s="227">
        <f>(U86)*$B$82</f>
        <v>4800000</v>
      </c>
      <c r="W86" s="226">
        <f t="shared" ref="W86:W87" si="58">W82+U86</f>
        <v>49</v>
      </c>
      <c r="X86" s="227">
        <f>(W86)*$B$82</f>
        <v>4900000</v>
      </c>
      <c r="Y86" s="226">
        <f t="shared" ref="Y86:Y87" si="59">Y82+W86</f>
        <v>51</v>
      </c>
      <c r="Z86" s="227">
        <f>(Y86)*$B$82</f>
        <v>5100000</v>
      </c>
      <c r="AA86" s="226">
        <f t="shared" ref="AA86:AA87" si="60">AA82+Y86</f>
        <v>54</v>
      </c>
      <c r="AB86" s="227">
        <f>(AA86)*$B$82</f>
        <v>5400000</v>
      </c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</row>
    <row r="87" spans="1:43" ht="16.2" thickBot="1" x14ac:dyDescent="0.35">
      <c r="A87" s="403" t="s">
        <v>191</v>
      </c>
      <c r="B87" s="404"/>
      <c r="C87" s="405"/>
      <c r="D87" s="229">
        <f t="shared" si="36"/>
        <v>46420000</v>
      </c>
      <c r="E87" s="230">
        <f>E83+AA56</f>
        <v>29</v>
      </c>
      <c r="F87" s="231">
        <f>E87*$B$83</f>
        <v>3190000</v>
      </c>
      <c r="G87" s="230">
        <f>G83+E87</f>
        <v>30</v>
      </c>
      <c r="H87" s="231">
        <f>G87*$B$83</f>
        <v>3300000</v>
      </c>
      <c r="I87" s="230">
        <f t="shared" si="38"/>
        <v>31</v>
      </c>
      <c r="J87" s="231">
        <f t="shared" ref="J87" si="61">I87*$B$83</f>
        <v>3410000</v>
      </c>
      <c r="K87" s="230">
        <f t="shared" si="40"/>
        <v>32</v>
      </c>
      <c r="L87" s="231">
        <f t="shared" ref="L87" si="62">K87*$B$83</f>
        <v>3520000</v>
      </c>
      <c r="M87" s="230">
        <f t="shared" si="42"/>
        <v>33</v>
      </c>
      <c r="N87" s="231">
        <f t="shared" ref="N87" si="63">M87*$B$83</f>
        <v>3630000</v>
      </c>
      <c r="O87" s="230">
        <f t="shared" si="54"/>
        <v>35</v>
      </c>
      <c r="P87" s="231">
        <f t="shared" ref="P87" si="64">O87*$B$83</f>
        <v>3850000</v>
      </c>
      <c r="Q87" s="230">
        <f t="shared" si="55"/>
        <v>36</v>
      </c>
      <c r="R87" s="231">
        <f t="shared" ref="R87" si="65">Q87*$B$83</f>
        <v>3960000</v>
      </c>
      <c r="S87" s="230">
        <f t="shared" si="56"/>
        <v>37</v>
      </c>
      <c r="T87" s="231">
        <f t="shared" ref="T87" si="66">S87*$B$83</f>
        <v>4070000</v>
      </c>
      <c r="U87" s="230">
        <f t="shared" si="57"/>
        <v>38</v>
      </c>
      <c r="V87" s="231">
        <f t="shared" ref="V87" si="67">U87*$B$83</f>
        <v>4180000</v>
      </c>
      <c r="W87" s="230">
        <f t="shared" si="58"/>
        <v>39</v>
      </c>
      <c r="X87" s="231">
        <f t="shared" ref="X87" si="68">W87*$B$83</f>
        <v>4290000</v>
      </c>
      <c r="Y87" s="230">
        <f t="shared" si="59"/>
        <v>40</v>
      </c>
      <c r="Z87" s="231">
        <f t="shared" ref="Z87" si="69">Y87*$B$83</f>
        <v>4400000</v>
      </c>
      <c r="AA87" s="230">
        <f t="shared" si="60"/>
        <v>42</v>
      </c>
      <c r="AB87" s="231">
        <f t="shared" ref="AB87" si="70">AA87*$B$83</f>
        <v>4620000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</row>
    <row r="88" spans="1:43" ht="15.75" customHeight="1" thickBot="1" x14ac:dyDescent="0.35">
      <c r="A88" s="465" t="s">
        <v>160</v>
      </c>
      <c r="B88" s="466"/>
      <c r="C88" s="233">
        <f>C84+C57</f>
        <v>123</v>
      </c>
      <c r="D88" s="234">
        <f>SUM(F88+H88+J88+L88+N88+P88+R88+T88+V88+X88+Z88+AB88)</f>
        <v>123780000</v>
      </c>
      <c r="E88" s="235">
        <f t="shared" ref="E88:Z88" si="71">SUM(E85:E87)</f>
        <v>84</v>
      </c>
      <c r="F88" s="236">
        <f t="shared" si="71"/>
        <v>8510000</v>
      </c>
      <c r="G88" s="235">
        <f t="shared" si="71"/>
        <v>86</v>
      </c>
      <c r="H88" s="236">
        <f t="shared" si="71"/>
        <v>8720000</v>
      </c>
      <c r="I88" s="235">
        <f t="shared" si="71"/>
        <v>88</v>
      </c>
      <c r="J88" s="236">
        <f t="shared" si="71"/>
        <v>8930000</v>
      </c>
      <c r="K88" s="235">
        <f t="shared" si="71"/>
        <v>91</v>
      </c>
      <c r="L88" s="236">
        <f t="shared" si="71"/>
        <v>9320000</v>
      </c>
      <c r="M88" s="235">
        <f t="shared" si="71"/>
        <v>95</v>
      </c>
      <c r="N88" s="236">
        <f t="shared" si="71"/>
        <v>9630000</v>
      </c>
      <c r="O88" s="235">
        <f t="shared" si="71"/>
        <v>101</v>
      </c>
      <c r="P88" s="236">
        <f t="shared" si="71"/>
        <v>10330000</v>
      </c>
      <c r="Q88" s="235">
        <f t="shared" si="71"/>
        <v>104</v>
      </c>
      <c r="R88" s="236">
        <f t="shared" si="71"/>
        <v>10540000</v>
      </c>
      <c r="S88" s="235">
        <f t="shared" si="71"/>
        <v>107</v>
      </c>
      <c r="T88" s="236">
        <f t="shared" si="71"/>
        <v>10930000</v>
      </c>
      <c r="U88" s="235">
        <f t="shared" si="71"/>
        <v>110</v>
      </c>
      <c r="V88" s="236">
        <f t="shared" si="71"/>
        <v>11140000</v>
      </c>
      <c r="W88" s="235">
        <f t="shared" si="71"/>
        <v>113</v>
      </c>
      <c r="X88" s="236">
        <f t="shared" si="71"/>
        <v>11440000</v>
      </c>
      <c r="Y88" s="235">
        <f t="shared" si="71"/>
        <v>117</v>
      </c>
      <c r="Z88" s="236">
        <f t="shared" si="71"/>
        <v>11840000</v>
      </c>
      <c r="AA88" s="235">
        <f t="shared" ref="AA88" si="72">SUM(AA85:AA87)</f>
        <v>123</v>
      </c>
      <c r="AB88" s="236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thickBot="1" x14ac:dyDescent="0.35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6.4" thickBot="1" x14ac:dyDescent="0.55000000000000004">
      <c r="A90" s="468" t="s">
        <v>187</v>
      </c>
      <c r="B90" s="468"/>
      <c r="C90" s="468"/>
      <c r="D90" s="468"/>
      <c r="E90" s="468"/>
      <c r="F90" s="468"/>
      <c r="G90" s="468"/>
      <c r="H90" s="468"/>
      <c r="I90" s="468"/>
      <c r="J90" s="468"/>
      <c r="K90" s="468"/>
      <c r="L90" s="468"/>
      <c r="M90" s="468"/>
      <c r="N90" s="468"/>
      <c r="O90" s="468"/>
      <c r="P90" s="468"/>
      <c r="Q90" s="468"/>
      <c r="R90" s="468"/>
      <c r="S90" s="468"/>
      <c r="T90" s="468"/>
      <c r="U90" s="468"/>
      <c r="V90" s="468"/>
      <c r="W90" s="468"/>
      <c r="X90" s="468"/>
      <c r="Y90" s="468"/>
      <c r="Z90" s="468"/>
      <c r="AA90" s="468"/>
      <c r="AB90" s="468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5">
      <c r="A91" s="158" t="s">
        <v>54</v>
      </c>
      <c r="B91" s="469" t="s">
        <v>206</v>
      </c>
      <c r="C91" s="469"/>
      <c r="D91" s="469"/>
      <c r="E91" s="469"/>
      <c r="F91" s="469"/>
      <c r="G91" s="469"/>
      <c r="H91" s="469"/>
      <c r="I91" s="469"/>
      <c r="J91" s="469"/>
      <c r="K91" s="469"/>
      <c r="L91" s="469"/>
      <c r="M91" s="469"/>
      <c r="N91" s="469"/>
      <c r="O91" s="469"/>
      <c r="P91" s="469"/>
      <c r="Q91" s="469"/>
      <c r="R91" s="469"/>
      <c r="S91" s="469"/>
      <c r="T91" s="469"/>
      <c r="U91" s="469"/>
      <c r="V91" s="469"/>
      <c r="W91" s="469"/>
      <c r="X91" s="469"/>
      <c r="Y91" s="469"/>
      <c r="Z91" s="469"/>
      <c r="AA91" s="469"/>
      <c r="AB91" s="469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5">
      <c r="A92" s="488" t="s">
        <v>55</v>
      </c>
      <c r="B92" s="464"/>
      <c r="C92" s="467" t="s">
        <v>224</v>
      </c>
      <c r="D92" s="464"/>
      <c r="E92" s="489" t="s">
        <v>225</v>
      </c>
      <c r="F92" s="464"/>
      <c r="G92" s="464"/>
      <c r="H92" s="464"/>
      <c r="I92" s="464"/>
      <c r="J92" s="464"/>
      <c r="K92" s="464"/>
      <c r="L92" s="464"/>
      <c r="M92" s="464"/>
      <c r="N92" s="464"/>
      <c r="O92" s="464"/>
      <c r="P92" s="464"/>
      <c r="Q92" s="464"/>
      <c r="R92" s="464"/>
      <c r="S92" s="464"/>
      <c r="T92" s="464"/>
      <c r="U92" s="464"/>
      <c r="V92" s="464"/>
      <c r="W92" s="464"/>
      <c r="X92" s="464"/>
      <c r="Y92" s="464"/>
      <c r="Z92" s="464"/>
      <c r="AA92" s="464"/>
      <c r="AB92" s="464"/>
    </row>
    <row r="93" spans="1:43" ht="15.75" customHeight="1" thickBot="1" x14ac:dyDescent="0.35">
      <c r="A93" s="464"/>
      <c r="B93" s="464"/>
      <c r="C93" s="160" t="s">
        <v>52</v>
      </c>
      <c r="D93" s="160" t="s">
        <v>55</v>
      </c>
      <c r="E93" s="443" t="s">
        <v>39</v>
      </c>
      <c r="F93" s="464"/>
      <c r="G93" s="443" t="s">
        <v>40</v>
      </c>
      <c r="H93" s="464"/>
      <c r="I93" s="443" t="s">
        <v>41</v>
      </c>
      <c r="J93" s="464"/>
      <c r="K93" s="443" t="s">
        <v>42</v>
      </c>
      <c r="L93" s="464"/>
      <c r="M93" s="443" t="s">
        <v>43</v>
      </c>
      <c r="N93" s="464"/>
      <c r="O93" s="443" t="s">
        <v>44</v>
      </c>
      <c r="P93" s="464"/>
      <c r="Q93" s="443" t="s">
        <v>45</v>
      </c>
      <c r="R93" s="464"/>
      <c r="S93" s="443" t="s">
        <v>46</v>
      </c>
      <c r="T93" s="464"/>
      <c r="U93" s="443" t="s">
        <v>47</v>
      </c>
      <c r="V93" s="464"/>
      <c r="W93" s="443" t="s">
        <v>48</v>
      </c>
      <c r="X93" s="464"/>
      <c r="Y93" s="443" t="s">
        <v>49</v>
      </c>
      <c r="Z93" s="464"/>
      <c r="AA93" s="443" t="s">
        <v>50</v>
      </c>
      <c r="AB93" s="464"/>
    </row>
    <row r="94" spans="1:43" ht="15.75" customHeight="1" thickBot="1" x14ac:dyDescent="0.35">
      <c r="A94" s="393" t="s">
        <v>57</v>
      </c>
      <c r="B94" s="394"/>
      <c r="C94" s="246">
        <f>'Anexo capacidad operativa'!A42</f>
        <v>3</v>
      </c>
      <c r="D94" s="247" t="str">
        <f>'Anexo capacidad operativa'!B42</f>
        <v>Desarrollador</v>
      </c>
      <c r="E94" s="391" t="s">
        <v>58</v>
      </c>
      <c r="F94" s="392"/>
      <c r="G94" s="391" t="s">
        <v>58</v>
      </c>
      <c r="H94" s="392"/>
      <c r="I94" s="391" t="s">
        <v>58</v>
      </c>
      <c r="J94" s="392"/>
      <c r="K94" s="391" t="s">
        <v>58</v>
      </c>
      <c r="L94" s="392"/>
      <c r="M94" s="391" t="s">
        <v>58</v>
      </c>
      <c r="N94" s="392"/>
      <c r="O94" s="391" t="s">
        <v>58</v>
      </c>
      <c r="P94" s="392"/>
      <c r="Q94" s="391" t="s">
        <v>58</v>
      </c>
      <c r="R94" s="392"/>
      <c r="S94" s="391" t="s">
        <v>58</v>
      </c>
      <c r="T94" s="392"/>
      <c r="U94" s="391" t="s">
        <v>58</v>
      </c>
      <c r="V94" s="392"/>
      <c r="W94" s="391" t="s">
        <v>58</v>
      </c>
      <c r="X94" s="392"/>
      <c r="Y94" s="391" t="s">
        <v>58</v>
      </c>
      <c r="Z94" s="392"/>
      <c r="AA94" s="391" t="s">
        <v>58</v>
      </c>
      <c r="AB94" s="392"/>
    </row>
    <row r="95" spans="1:43" ht="15.75" customHeight="1" thickBot="1" x14ac:dyDescent="0.35">
      <c r="A95" s="395"/>
      <c r="B95" s="396"/>
      <c r="C95" s="246">
        <f>'Anexo capacidad operativa'!A43</f>
        <v>1</v>
      </c>
      <c r="D95" s="248" t="str">
        <f>'Anexo capacidad operativa'!B43</f>
        <v>Gerente de servicios</v>
      </c>
      <c r="E95" s="391" t="s">
        <v>58</v>
      </c>
      <c r="F95" s="392"/>
      <c r="G95" s="391" t="s">
        <v>58</v>
      </c>
      <c r="H95" s="392"/>
      <c r="I95" s="391" t="s">
        <v>58</v>
      </c>
      <c r="J95" s="392"/>
      <c r="K95" s="391" t="s">
        <v>58</v>
      </c>
      <c r="L95" s="392"/>
      <c r="M95" s="391" t="s">
        <v>58</v>
      </c>
      <c r="N95" s="392"/>
      <c r="O95" s="391" t="s">
        <v>58</v>
      </c>
      <c r="P95" s="392"/>
      <c r="Q95" s="391" t="s">
        <v>58</v>
      </c>
      <c r="R95" s="392"/>
      <c r="S95" s="391" t="s">
        <v>58</v>
      </c>
      <c r="T95" s="392"/>
      <c r="U95" s="391" t="s">
        <v>58</v>
      </c>
      <c r="V95" s="392"/>
      <c r="W95" s="391" t="s">
        <v>58</v>
      </c>
      <c r="X95" s="392"/>
      <c r="Y95" s="391" t="s">
        <v>58</v>
      </c>
      <c r="Z95" s="392"/>
      <c r="AA95" s="391" t="s">
        <v>58</v>
      </c>
      <c r="AB95" s="392"/>
    </row>
    <row r="96" spans="1:43" ht="15.75" customHeight="1" thickBot="1" x14ac:dyDescent="0.35">
      <c r="A96" s="395"/>
      <c r="B96" s="396"/>
      <c r="C96" s="246">
        <f>'Anexo capacidad operativa'!A44</f>
        <v>1</v>
      </c>
      <c r="D96" s="248" t="str">
        <f>'Anexo capacidad operativa'!B44</f>
        <v>Empleado de tecnologia</v>
      </c>
      <c r="E96" s="391" t="s">
        <v>58</v>
      </c>
      <c r="F96" s="392"/>
      <c r="G96" s="391" t="s">
        <v>58</v>
      </c>
      <c r="H96" s="392"/>
      <c r="I96" s="391" t="s">
        <v>58</v>
      </c>
      <c r="J96" s="392"/>
      <c r="K96" s="391" t="s">
        <v>58</v>
      </c>
      <c r="L96" s="392"/>
      <c r="M96" s="391" t="s">
        <v>58</v>
      </c>
      <c r="N96" s="392"/>
      <c r="O96" s="391" t="s">
        <v>58</v>
      </c>
      <c r="P96" s="392"/>
      <c r="Q96" s="391" t="s">
        <v>58</v>
      </c>
      <c r="R96" s="392"/>
      <c r="S96" s="391" t="s">
        <v>58</v>
      </c>
      <c r="T96" s="392"/>
      <c r="U96" s="391" t="s">
        <v>58</v>
      </c>
      <c r="V96" s="392"/>
      <c r="W96" s="391" t="s">
        <v>58</v>
      </c>
      <c r="X96" s="392"/>
      <c r="Y96" s="391" t="s">
        <v>58</v>
      </c>
      <c r="Z96" s="392"/>
      <c r="AA96" s="391" t="s">
        <v>58</v>
      </c>
      <c r="AB96" s="392"/>
    </row>
    <row r="97" spans="1:28" ht="15.75" customHeight="1" thickBot="1" x14ac:dyDescent="0.35">
      <c r="A97" s="395"/>
      <c r="B97" s="396"/>
      <c r="C97" s="246">
        <f>'Anexo capacidad operativa'!A45</f>
        <v>3</v>
      </c>
      <c r="D97" s="248" t="str">
        <f>'Anexo capacidad operativa'!B45</f>
        <v>Tester</v>
      </c>
      <c r="E97" s="391" t="s">
        <v>58</v>
      </c>
      <c r="F97" s="392"/>
      <c r="G97" s="391" t="s">
        <v>58</v>
      </c>
      <c r="H97" s="392"/>
      <c r="I97" s="391" t="s">
        <v>58</v>
      </c>
      <c r="J97" s="392"/>
      <c r="K97" s="391" t="s">
        <v>58</v>
      </c>
      <c r="L97" s="392"/>
      <c r="M97" s="391" t="s">
        <v>58</v>
      </c>
      <c r="N97" s="392"/>
      <c r="O97" s="406" t="s">
        <v>161</v>
      </c>
      <c r="P97" s="407"/>
      <c r="Q97" s="391" t="s">
        <v>58</v>
      </c>
      <c r="R97" s="392"/>
      <c r="S97" s="391" t="s">
        <v>58</v>
      </c>
      <c r="T97" s="392"/>
      <c r="U97" s="391" t="s">
        <v>58</v>
      </c>
      <c r="V97" s="392"/>
      <c r="W97" s="391" t="s">
        <v>58</v>
      </c>
      <c r="X97" s="392"/>
      <c r="Y97" s="391" t="s">
        <v>58</v>
      </c>
      <c r="Z97" s="392"/>
      <c r="AA97" s="391" t="s">
        <v>58</v>
      </c>
      <c r="AB97" s="392"/>
    </row>
    <row r="98" spans="1:28" ht="15.75" customHeight="1" thickBot="1" x14ac:dyDescent="0.35">
      <c r="A98" s="395"/>
      <c r="B98" s="396"/>
      <c r="C98" s="246">
        <f>'Anexo capacidad operativa'!A46</f>
        <v>3</v>
      </c>
      <c r="D98" s="248" t="str">
        <f>'Anexo capacidad operativa'!B46</f>
        <v>Empleado administrativo de ventas</v>
      </c>
      <c r="E98" s="391" t="s">
        <v>58</v>
      </c>
      <c r="F98" s="391"/>
      <c r="G98" s="391" t="s">
        <v>58</v>
      </c>
      <c r="H98" s="391"/>
      <c r="I98" s="391" t="s">
        <v>58</v>
      </c>
      <c r="J98" s="391"/>
      <c r="K98" s="391" t="s">
        <v>58</v>
      </c>
      <c r="L98" s="391"/>
      <c r="M98" s="391" t="s">
        <v>58</v>
      </c>
      <c r="N98" s="391"/>
      <c r="O98" s="391" t="s">
        <v>58</v>
      </c>
      <c r="P98" s="391"/>
      <c r="Q98" s="391" t="s">
        <v>58</v>
      </c>
      <c r="R98" s="391"/>
      <c r="S98" s="391" t="s">
        <v>58</v>
      </c>
      <c r="T98" s="391"/>
      <c r="U98" s="391" t="s">
        <v>58</v>
      </c>
      <c r="V98" s="391"/>
      <c r="W98" s="391" t="s">
        <v>58</v>
      </c>
      <c r="X98" s="391"/>
      <c r="Y98" s="391" t="s">
        <v>58</v>
      </c>
      <c r="Z98" s="391"/>
      <c r="AA98" s="391" t="s">
        <v>58</v>
      </c>
      <c r="AB98" s="391"/>
    </row>
    <row r="99" spans="1:28" thickBot="1" x14ac:dyDescent="0.35">
      <c r="A99" s="490" t="s">
        <v>59</v>
      </c>
      <c r="B99" s="464"/>
      <c r="C99" s="246">
        <v>6</v>
      </c>
      <c r="D99" s="248" t="s">
        <v>60</v>
      </c>
      <c r="E99" s="391" t="s">
        <v>58</v>
      </c>
      <c r="F99" s="392"/>
      <c r="G99" s="391" t="s">
        <v>58</v>
      </c>
      <c r="H99" s="392"/>
      <c r="I99" s="391" t="s">
        <v>58</v>
      </c>
      <c r="J99" s="392"/>
      <c r="K99" s="391" t="s">
        <v>58</v>
      </c>
      <c r="L99" s="392"/>
      <c r="M99" s="406" t="s">
        <v>161</v>
      </c>
      <c r="N99" s="407"/>
      <c r="O99" s="411" t="s">
        <v>58</v>
      </c>
      <c r="P99" s="412"/>
      <c r="Q99" s="411" t="s">
        <v>58</v>
      </c>
      <c r="R99" s="412"/>
      <c r="S99" s="391" t="s">
        <v>58</v>
      </c>
      <c r="T99" s="392"/>
      <c r="U99" s="391" t="s">
        <v>58</v>
      </c>
      <c r="V99" s="392"/>
      <c r="W99" s="391" t="s">
        <v>58</v>
      </c>
      <c r="X99" s="392"/>
      <c r="Y99" s="406" t="s">
        <v>161</v>
      </c>
      <c r="Z99" s="407"/>
      <c r="AA99" s="391" t="s">
        <v>58</v>
      </c>
      <c r="AB99" s="392"/>
    </row>
    <row r="100" spans="1:28" thickBot="1" x14ac:dyDescent="0.35">
      <c r="A100" s="464"/>
      <c r="B100" s="464"/>
      <c r="C100" s="246">
        <v>6</v>
      </c>
      <c r="D100" s="248" t="s">
        <v>61</v>
      </c>
      <c r="E100" s="391" t="s">
        <v>58</v>
      </c>
      <c r="F100" s="392"/>
      <c r="G100" s="391" t="s">
        <v>58</v>
      </c>
      <c r="H100" s="392"/>
      <c r="I100" s="391" t="s">
        <v>58</v>
      </c>
      <c r="J100" s="392"/>
      <c r="K100" s="391" t="s">
        <v>58</v>
      </c>
      <c r="L100" s="392"/>
      <c r="M100" s="408" t="s">
        <v>161</v>
      </c>
      <c r="N100" s="408"/>
      <c r="O100" s="411" t="s">
        <v>58</v>
      </c>
      <c r="P100" s="412"/>
      <c r="Q100" s="411" t="s">
        <v>58</v>
      </c>
      <c r="R100" s="412"/>
      <c r="S100" s="391" t="s">
        <v>58</v>
      </c>
      <c r="T100" s="392"/>
      <c r="U100" s="391" t="s">
        <v>58</v>
      </c>
      <c r="V100" s="392"/>
      <c r="W100" s="391" t="s">
        <v>58</v>
      </c>
      <c r="X100" s="392"/>
      <c r="Y100" s="406" t="s">
        <v>161</v>
      </c>
      <c r="Z100" s="407"/>
      <c r="AA100" s="391" t="s">
        <v>58</v>
      </c>
      <c r="AB100" s="392"/>
    </row>
    <row r="101" spans="1:28" thickBot="1" x14ac:dyDescent="0.35">
      <c r="A101" s="464"/>
      <c r="B101" s="464"/>
      <c r="C101" s="246">
        <v>1</v>
      </c>
      <c r="D101" s="248" t="s">
        <v>62</v>
      </c>
      <c r="E101" s="391" t="s">
        <v>58</v>
      </c>
      <c r="F101" s="392"/>
      <c r="G101" s="391" t="s">
        <v>58</v>
      </c>
      <c r="H101" s="392"/>
      <c r="I101" s="391" t="s">
        <v>58</v>
      </c>
      <c r="J101" s="392"/>
      <c r="K101" s="391" t="s">
        <v>58</v>
      </c>
      <c r="L101" s="392"/>
      <c r="M101" s="444" t="s">
        <v>58</v>
      </c>
      <c r="N101" s="413"/>
      <c r="O101" s="391" t="s">
        <v>58</v>
      </c>
      <c r="P101" s="392"/>
      <c r="Q101" s="391" t="s">
        <v>58</v>
      </c>
      <c r="R101" s="392"/>
      <c r="S101" s="391" t="s">
        <v>58</v>
      </c>
      <c r="T101" s="392"/>
      <c r="U101" s="391" t="s">
        <v>58</v>
      </c>
      <c r="V101" s="392"/>
      <c r="W101" s="391" t="s">
        <v>58</v>
      </c>
      <c r="X101" s="392"/>
      <c r="Y101" s="409" t="s">
        <v>58</v>
      </c>
      <c r="Z101" s="413"/>
      <c r="AA101" s="391" t="s">
        <v>58</v>
      </c>
      <c r="AB101" s="392"/>
    </row>
    <row r="102" spans="1:28" thickBot="1" x14ac:dyDescent="0.35">
      <c r="A102" s="464"/>
      <c r="B102" s="464"/>
      <c r="C102" s="246">
        <v>6</v>
      </c>
      <c r="D102" s="248" t="s">
        <v>63</v>
      </c>
      <c r="E102" s="391" t="s">
        <v>58</v>
      </c>
      <c r="F102" s="392"/>
      <c r="G102" s="391" t="s">
        <v>58</v>
      </c>
      <c r="H102" s="392"/>
      <c r="I102" s="391" t="s">
        <v>58</v>
      </c>
      <c r="J102" s="392"/>
      <c r="K102" s="391" t="s">
        <v>58</v>
      </c>
      <c r="L102" s="392"/>
      <c r="M102" s="406" t="s">
        <v>161</v>
      </c>
      <c r="N102" s="407"/>
      <c r="O102" s="391" t="s">
        <v>58</v>
      </c>
      <c r="P102" s="392"/>
      <c r="Q102" s="391" t="s">
        <v>58</v>
      </c>
      <c r="R102" s="392"/>
      <c r="S102" s="391" t="s">
        <v>58</v>
      </c>
      <c r="T102" s="392"/>
      <c r="U102" s="391" t="s">
        <v>58</v>
      </c>
      <c r="V102" s="392"/>
      <c r="W102" s="391" t="s">
        <v>58</v>
      </c>
      <c r="X102" s="392"/>
      <c r="Y102" s="406" t="s">
        <v>161</v>
      </c>
      <c r="Z102" s="407"/>
      <c r="AA102" s="391" t="s">
        <v>58</v>
      </c>
      <c r="AB102" s="392"/>
    </row>
    <row r="103" spans="1:28" thickBot="1" x14ac:dyDescent="0.35">
      <c r="A103" s="464"/>
      <c r="B103" s="464"/>
      <c r="C103" s="246">
        <v>3</v>
      </c>
      <c r="D103" s="248" t="s">
        <v>64</v>
      </c>
      <c r="E103" s="391" t="s">
        <v>58</v>
      </c>
      <c r="F103" s="392"/>
      <c r="G103" s="391" t="s">
        <v>58</v>
      </c>
      <c r="H103" s="392"/>
      <c r="I103" s="391" t="s">
        <v>58</v>
      </c>
      <c r="J103" s="392"/>
      <c r="K103" s="391" t="s">
        <v>58</v>
      </c>
      <c r="L103" s="392"/>
      <c r="M103" s="406" t="s">
        <v>161</v>
      </c>
      <c r="N103" s="407"/>
      <c r="O103" s="391" t="s">
        <v>58</v>
      </c>
      <c r="P103" s="392"/>
      <c r="Q103" s="391" t="s">
        <v>58</v>
      </c>
      <c r="R103" s="392"/>
      <c r="S103" s="391" t="s">
        <v>58</v>
      </c>
      <c r="T103" s="392"/>
      <c r="U103" s="391" t="s">
        <v>58</v>
      </c>
      <c r="V103" s="392"/>
      <c r="W103" s="391" t="s">
        <v>58</v>
      </c>
      <c r="X103" s="392"/>
      <c r="Y103" s="409" t="s">
        <v>58</v>
      </c>
      <c r="Z103" s="413"/>
      <c r="AA103" s="391" t="s">
        <v>58</v>
      </c>
      <c r="AB103" s="392"/>
    </row>
    <row r="104" spans="1:28" thickBot="1" x14ac:dyDescent="0.35">
      <c r="A104" s="464"/>
      <c r="B104" s="464"/>
      <c r="C104" s="246">
        <v>6</v>
      </c>
      <c r="D104" s="248" t="s">
        <v>65</v>
      </c>
      <c r="E104" s="391" t="s">
        <v>58</v>
      </c>
      <c r="F104" s="392"/>
      <c r="G104" s="391" t="s">
        <v>58</v>
      </c>
      <c r="H104" s="392"/>
      <c r="I104" s="391" t="s">
        <v>58</v>
      </c>
      <c r="J104" s="392"/>
      <c r="K104" s="391" t="s">
        <v>58</v>
      </c>
      <c r="L104" s="392"/>
      <c r="M104" s="406" t="s">
        <v>161</v>
      </c>
      <c r="N104" s="407"/>
      <c r="O104" s="391" t="s">
        <v>58</v>
      </c>
      <c r="P104" s="392"/>
      <c r="Q104" s="391" t="s">
        <v>58</v>
      </c>
      <c r="R104" s="392"/>
      <c r="S104" s="391" t="s">
        <v>58</v>
      </c>
      <c r="T104" s="392"/>
      <c r="U104" s="391" t="s">
        <v>58</v>
      </c>
      <c r="V104" s="392"/>
      <c r="W104" s="391" t="s">
        <v>58</v>
      </c>
      <c r="X104" s="392"/>
      <c r="Y104" s="406" t="s">
        <v>161</v>
      </c>
      <c r="Z104" s="407"/>
      <c r="AA104" s="391" t="s">
        <v>58</v>
      </c>
      <c r="AB104" s="392"/>
    </row>
    <row r="105" spans="1:28" ht="25.5" customHeight="1" thickBot="1" x14ac:dyDescent="0.3">
      <c r="A105" s="490" t="s">
        <v>66</v>
      </c>
      <c r="B105" s="490"/>
      <c r="C105" s="246">
        <f>SUM(C94:C98)</f>
        <v>11</v>
      </c>
      <c r="D105" s="249" t="s">
        <v>166</v>
      </c>
      <c r="E105" s="391" t="s">
        <v>58</v>
      </c>
      <c r="F105" s="392"/>
      <c r="G105" s="391" t="s">
        <v>58</v>
      </c>
      <c r="H105" s="392"/>
      <c r="I105" s="391" t="s">
        <v>58</v>
      </c>
      <c r="J105" s="392"/>
      <c r="K105" s="391" t="s">
        <v>58</v>
      </c>
      <c r="L105" s="392"/>
      <c r="M105" s="391" t="s">
        <v>58</v>
      </c>
      <c r="N105" s="392"/>
      <c r="O105" s="408" t="s">
        <v>161</v>
      </c>
      <c r="P105" s="408"/>
      <c r="Q105" s="391" t="s">
        <v>58</v>
      </c>
      <c r="R105" s="392"/>
      <c r="S105" s="391" t="s">
        <v>58</v>
      </c>
      <c r="T105" s="392"/>
      <c r="U105" s="391" t="s">
        <v>58</v>
      </c>
      <c r="V105" s="392"/>
      <c r="W105" s="391" t="s">
        <v>58</v>
      </c>
      <c r="X105" s="392"/>
      <c r="Y105" s="391" t="s">
        <v>58</v>
      </c>
      <c r="Z105" s="392"/>
      <c r="AA105" s="391" t="s">
        <v>58</v>
      </c>
      <c r="AB105" s="392"/>
    </row>
    <row r="106" spans="1:28" ht="1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U65:V65"/>
    <mergeCell ref="Q64:R64"/>
    <mergeCell ref="S64:T64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4:V64"/>
    <mergeCell ref="U67:V67"/>
    <mergeCell ref="U66:V66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W48:X48"/>
    <mergeCell ref="Y48:Z48"/>
    <mergeCell ref="K43:L43"/>
    <mergeCell ref="M43:N43"/>
    <mergeCell ref="O43:P43"/>
    <mergeCell ref="Q43:R43"/>
    <mergeCell ref="S43:T43"/>
    <mergeCell ref="G47:H47"/>
    <mergeCell ref="I47:J47"/>
    <mergeCell ref="K47:L47"/>
    <mergeCell ref="U47:V47"/>
    <mergeCell ref="O48:P48"/>
    <mergeCell ref="Q48:R48"/>
    <mergeCell ref="S48:T48"/>
    <mergeCell ref="U48:V48"/>
    <mergeCell ref="A46:AB46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U42:V42"/>
    <mergeCell ref="W42:X42"/>
    <mergeCell ref="Y42:Z42"/>
    <mergeCell ref="AA42:AB42"/>
    <mergeCell ref="E42:F42"/>
    <mergeCell ref="G42:H42"/>
    <mergeCell ref="I42:J42"/>
    <mergeCell ref="K42:L42"/>
    <mergeCell ref="M42:N42"/>
    <mergeCell ref="O42:P42"/>
    <mergeCell ref="Q42:R42"/>
    <mergeCell ref="U41:V41"/>
    <mergeCell ref="W41:X41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I39:J39"/>
    <mergeCell ref="K39:L39"/>
    <mergeCell ref="S37:T37"/>
    <mergeCell ref="E43:F43"/>
    <mergeCell ref="S42:T42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Y78:Z78"/>
    <mergeCell ref="AA78:AB78"/>
    <mergeCell ref="I78:J78"/>
    <mergeCell ref="K78:L78"/>
    <mergeCell ref="W79:X79"/>
    <mergeCell ref="Y79:Z79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W95:X95"/>
    <mergeCell ref="Y95:Z95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E103:F103"/>
    <mergeCell ref="G103:H103"/>
    <mergeCell ref="I102:J102"/>
    <mergeCell ref="K102:L102"/>
    <mergeCell ref="M99:N99"/>
    <mergeCell ref="B78:B80"/>
    <mergeCell ref="C78:D78"/>
    <mergeCell ref="E78:F78"/>
    <mergeCell ref="G78:H78"/>
    <mergeCell ref="C79:C80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M78:N78"/>
    <mergeCell ref="O78:P78"/>
    <mergeCell ref="Q78:R78"/>
    <mergeCell ref="S78:T78"/>
    <mergeCell ref="U78:V78"/>
    <mergeCell ref="W78:X78"/>
    <mergeCell ref="AA98:AB98"/>
    <mergeCell ref="I98:J98"/>
    <mergeCell ref="K98:L98"/>
    <mergeCell ref="G104:H104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A32:B36"/>
    <mergeCell ref="K32:L32"/>
    <mergeCell ref="K33:L33"/>
    <mergeCell ref="M33:N33"/>
    <mergeCell ref="I34:J34"/>
    <mergeCell ref="K34:L34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Y36:Z36"/>
    <mergeCell ref="E33:F33"/>
    <mergeCell ref="G33:H33"/>
    <mergeCell ref="I37:J37"/>
    <mergeCell ref="K37:L37"/>
    <mergeCell ref="M37:N37"/>
    <mergeCell ref="O37:P37"/>
    <mergeCell ref="Q37:R37"/>
    <mergeCell ref="M39:N39"/>
    <mergeCell ref="O39:P39"/>
    <mergeCell ref="G35:H35"/>
    <mergeCell ref="I35:J35"/>
    <mergeCell ref="K35:L35"/>
    <mergeCell ref="E36:F36"/>
    <mergeCell ref="G36:H36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W34:X34"/>
    <mergeCell ref="Y34:Z34"/>
    <mergeCell ref="W33:X33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Q17:R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S17:T17"/>
    <mergeCell ref="U17:V17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AA34:AB34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AA35:AB35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2"/>
  <sheetViews>
    <sheetView zoomScale="115" zoomScaleNormal="115" workbookViewId="0">
      <pane ySplit="1" topLeftCell="A10" activePane="bottomLeft" state="frozen"/>
      <selection pane="bottomLeft" activeCell="C47" sqref="C47"/>
    </sheetView>
  </sheetViews>
  <sheetFormatPr baseColWidth="10" defaultColWidth="12.59765625" defaultRowHeight="15" customHeight="1" x14ac:dyDescent="0.25"/>
  <cols>
    <col min="1" max="1" width="30.09765625" customWidth="1"/>
    <col min="2" max="2" width="31.19921875" customWidth="1"/>
    <col min="3" max="26" width="15.59765625" customWidth="1"/>
    <col min="27" max="27" width="17.19921875" customWidth="1"/>
  </cols>
  <sheetData>
    <row r="1" spans="1:26" ht="83.25" customHeight="1" x14ac:dyDescent="0.3">
      <c r="A1" s="130"/>
      <c r="B1" s="153"/>
      <c r="C1" s="154"/>
      <c r="D1" s="130"/>
      <c r="E1" s="154" t="s">
        <v>70</v>
      </c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508" t="s">
        <v>71</v>
      </c>
      <c r="B3" s="365"/>
      <c r="C3" s="365"/>
      <c r="D3" s="365"/>
      <c r="E3" s="36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5">
      <c r="A4" s="509" t="s">
        <v>184</v>
      </c>
      <c r="B4" s="460"/>
      <c r="C4" s="460"/>
      <c r="D4" s="460"/>
      <c r="E4" s="46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4" thickBot="1" x14ac:dyDescent="0.55000000000000004">
      <c r="A6" s="508" t="s">
        <v>72</v>
      </c>
      <c r="B6" s="365"/>
      <c r="C6" s="366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5">
      <c r="A13" s="510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5">
      <c r="A14" s="511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3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3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thickBot="1" x14ac:dyDescent="0.35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55000000000000004">
      <c r="A19" s="507" t="s">
        <v>157</v>
      </c>
      <c r="B19" s="365"/>
      <c r="C19" s="365"/>
      <c r="D19" s="365"/>
      <c r="E19" s="36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12"/>
      <c r="AB19" s="512"/>
    </row>
    <row r="20" spans="1:28" ht="15.75" customHeight="1" x14ac:dyDescent="0.25">
      <c r="A20" s="497" t="s">
        <v>158</v>
      </c>
      <c r="B20" s="498"/>
      <c r="C20" s="501" t="s">
        <v>39</v>
      </c>
      <c r="D20" s="502"/>
      <c r="E20" s="503" t="s">
        <v>40</v>
      </c>
      <c r="F20" s="504"/>
      <c r="G20" s="505" t="s">
        <v>41</v>
      </c>
      <c r="H20" s="506"/>
      <c r="I20" s="505" t="s">
        <v>42</v>
      </c>
      <c r="J20" s="506"/>
      <c r="K20" s="505" t="s">
        <v>43</v>
      </c>
      <c r="L20" s="506"/>
      <c r="M20" s="505" t="s">
        <v>44</v>
      </c>
      <c r="N20" s="506"/>
      <c r="O20" s="505" t="s">
        <v>45</v>
      </c>
      <c r="P20" s="506"/>
      <c r="Q20" s="505" t="s">
        <v>46</v>
      </c>
      <c r="R20" s="506"/>
      <c r="S20" s="505" t="s">
        <v>47</v>
      </c>
      <c r="T20" s="506"/>
      <c r="U20" s="505" t="s">
        <v>48</v>
      </c>
      <c r="V20" s="506"/>
      <c r="W20" s="505" t="s">
        <v>49</v>
      </c>
      <c r="X20" s="506"/>
      <c r="Y20" s="505" t="s">
        <v>50</v>
      </c>
      <c r="Z20" s="506"/>
      <c r="AA20" s="512"/>
      <c r="AB20" s="512"/>
    </row>
    <row r="21" spans="1:28" ht="31.5" customHeight="1" thickBot="1" x14ac:dyDescent="0.3">
      <c r="A21" s="499"/>
      <c r="B21" s="500"/>
      <c r="C21" s="155" t="s">
        <v>156</v>
      </c>
      <c r="D21" s="156" t="s">
        <v>87</v>
      </c>
      <c r="E21" s="155" t="s">
        <v>156</v>
      </c>
      <c r="F21" s="156" t="s">
        <v>87</v>
      </c>
      <c r="G21" s="155" t="s">
        <v>156</v>
      </c>
      <c r="H21" s="156" t="s">
        <v>87</v>
      </c>
      <c r="I21" s="155" t="s">
        <v>156</v>
      </c>
      <c r="J21" s="156" t="s">
        <v>87</v>
      </c>
      <c r="K21" s="155" t="s">
        <v>156</v>
      </c>
      <c r="L21" s="156" t="s">
        <v>87</v>
      </c>
      <c r="M21" s="155" t="s">
        <v>156</v>
      </c>
      <c r="N21" s="156" t="s">
        <v>87</v>
      </c>
      <c r="O21" s="155" t="s">
        <v>156</v>
      </c>
      <c r="P21" s="156" t="s">
        <v>87</v>
      </c>
      <c r="Q21" s="155" t="s">
        <v>156</v>
      </c>
      <c r="R21" s="156" t="s">
        <v>87</v>
      </c>
      <c r="S21" s="155" t="s">
        <v>156</v>
      </c>
      <c r="T21" s="156" t="s">
        <v>87</v>
      </c>
      <c r="U21" s="155" t="s">
        <v>156</v>
      </c>
      <c r="V21" s="156" t="s">
        <v>87</v>
      </c>
      <c r="W21" s="156" t="s">
        <v>156</v>
      </c>
      <c r="X21" s="156" t="s">
        <v>87</v>
      </c>
      <c r="Y21" s="155" t="s">
        <v>156</v>
      </c>
      <c r="Z21" s="156" t="s">
        <v>87</v>
      </c>
      <c r="AA21" s="512"/>
      <c r="AB21" s="512"/>
    </row>
    <row r="22" spans="1:28" ht="14.4" x14ac:dyDescent="0.3">
      <c r="A22" s="30">
        <v>2</v>
      </c>
      <c r="B22" s="31" t="s">
        <v>216</v>
      </c>
      <c r="C22" s="111">
        <v>2</v>
      </c>
      <c r="D22" s="111">
        <f>C22*$B$14</f>
        <v>353.33333333333331</v>
      </c>
      <c r="E22" s="111">
        <v>2</v>
      </c>
      <c r="F22" s="111">
        <f t="shared" ref="F22" si="0">E22*$B$14</f>
        <v>353.33333333333331</v>
      </c>
      <c r="G22" s="111">
        <v>2</v>
      </c>
      <c r="H22" s="111">
        <f t="shared" ref="H22" si="1">G22*$B$14</f>
        <v>353.33333333333331</v>
      </c>
      <c r="I22" s="111">
        <v>2</v>
      </c>
      <c r="J22" s="111">
        <f t="shared" ref="J22" si="2">I22*$B$14</f>
        <v>353.33333333333331</v>
      </c>
      <c r="K22" s="111">
        <v>2</v>
      </c>
      <c r="L22" s="111">
        <f t="shared" ref="L22" si="3">K22*$B$14</f>
        <v>353.33333333333331</v>
      </c>
      <c r="M22" s="111">
        <v>2</v>
      </c>
      <c r="N22" s="111">
        <f t="shared" ref="N22" si="4">M22*$B$14</f>
        <v>353.33333333333331</v>
      </c>
      <c r="O22" s="111">
        <v>2</v>
      </c>
      <c r="P22" s="111">
        <f t="shared" ref="P22" si="5">O22*$B$14</f>
        <v>353.33333333333331</v>
      </c>
      <c r="Q22" s="111">
        <v>2</v>
      </c>
      <c r="R22" s="111">
        <f t="shared" ref="R22" si="6">Q22*$B$14</f>
        <v>353.33333333333331</v>
      </c>
      <c r="S22" s="111">
        <v>2</v>
      </c>
      <c r="T22" s="111">
        <f t="shared" ref="T22" si="7">S22*$B$14</f>
        <v>353.33333333333331</v>
      </c>
      <c r="U22" s="111">
        <v>2</v>
      </c>
      <c r="V22" s="111">
        <f t="shared" ref="V22" si="8">U22*$B$14</f>
        <v>353.33333333333331</v>
      </c>
      <c r="W22" s="111">
        <v>2</v>
      </c>
      <c r="X22" s="111">
        <f t="shared" ref="X22" si="9">W22*$B$14</f>
        <v>353.33333333333331</v>
      </c>
      <c r="Y22" s="111">
        <v>2</v>
      </c>
      <c r="Z22" s="111">
        <f t="shared" ref="Z22" si="10">Y22*$B$14</f>
        <v>353.33333333333331</v>
      </c>
      <c r="AA22" s="512"/>
      <c r="AB22" s="512"/>
    </row>
    <row r="23" spans="1:28" ht="14.4" x14ac:dyDescent="0.3">
      <c r="A23" s="32">
        <v>1</v>
      </c>
      <c r="B23" s="33" t="s">
        <v>183</v>
      </c>
      <c r="C23" s="111">
        <v>1</v>
      </c>
      <c r="D23" s="111">
        <f t="shared" ref="D23:D26" si="11">C23*$B$14</f>
        <v>176.66666666666666</v>
      </c>
      <c r="E23" s="111">
        <v>1</v>
      </c>
      <c r="F23" s="111">
        <f t="shared" ref="F23" si="12">E23*$B$14</f>
        <v>176.66666666666666</v>
      </c>
      <c r="G23" s="111">
        <v>1</v>
      </c>
      <c r="H23" s="111">
        <f t="shared" ref="H23" si="13">G23*$B$14</f>
        <v>176.66666666666666</v>
      </c>
      <c r="I23" s="111">
        <v>1</v>
      </c>
      <c r="J23" s="111">
        <f t="shared" ref="J23" si="14">I23*$B$14</f>
        <v>176.66666666666666</v>
      </c>
      <c r="K23" s="111">
        <v>1</v>
      </c>
      <c r="L23" s="111">
        <f t="shared" ref="L23" si="15">K23*$B$14</f>
        <v>176.66666666666666</v>
      </c>
      <c r="M23" s="111">
        <v>1</v>
      </c>
      <c r="N23" s="111">
        <f t="shared" ref="N23" si="16">M23*$B$14</f>
        <v>176.66666666666666</v>
      </c>
      <c r="O23" s="111">
        <v>1</v>
      </c>
      <c r="P23" s="111">
        <f t="shared" ref="P23" si="17">O23*$B$14</f>
        <v>176.66666666666666</v>
      </c>
      <c r="Q23" s="111">
        <v>1</v>
      </c>
      <c r="R23" s="111">
        <f t="shared" ref="R23" si="18">Q23*$B$14</f>
        <v>176.66666666666666</v>
      </c>
      <c r="S23" s="111">
        <v>1</v>
      </c>
      <c r="T23" s="111">
        <f t="shared" ref="T23" si="19">S23*$B$14</f>
        <v>176.66666666666666</v>
      </c>
      <c r="U23" s="111">
        <v>1</v>
      </c>
      <c r="V23" s="111">
        <f t="shared" ref="V23" si="20">U23*$B$14</f>
        <v>176.66666666666666</v>
      </c>
      <c r="W23" s="111">
        <v>1</v>
      </c>
      <c r="X23" s="111">
        <f t="shared" ref="X23" si="21">W23*$B$14</f>
        <v>176.66666666666666</v>
      </c>
      <c r="Y23" s="111">
        <v>1</v>
      </c>
      <c r="Z23" s="111">
        <f t="shared" ref="Z23" si="22">Y23*$B$14</f>
        <v>176.66666666666666</v>
      </c>
      <c r="AA23" s="512"/>
      <c r="AB23" s="512"/>
    </row>
    <row r="24" spans="1:28" ht="14.4" x14ac:dyDescent="0.3">
      <c r="A24" s="32">
        <v>1</v>
      </c>
      <c r="B24" s="33" t="s">
        <v>257</v>
      </c>
      <c r="C24" s="111">
        <v>1</v>
      </c>
      <c r="D24" s="111">
        <f t="shared" si="11"/>
        <v>176.66666666666666</v>
      </c>
      <c r="E24" s="111">
        <v>1</v>
      </c>
      <c r="F24" s="111">
        <f t="shared" ref="F24" si="23">E24*$B$14</f>
        <v>176.66666666666666</v>
      </c>
      <c r="G24" s="111">
        <v>1</v>
      </c>
      <c r="H24" s="111">
        <f t="shared" ref="H24" si="24">G24*$B$14</f>
        <v>176.66666666666666</v>
      </c>
      <c r="I24" s="111">
        <v>1</v>
      </c>
      <c r="J24" s="111">
        <f t="shared" ref="J24" si="25">I24*$B$14</f>
        <v>176.66666666666666</v>
      </c>
      <c r="K24" s="111">
        <v>1</v>
      </c>
      <c r="L24" s="111">
        <f t="shared" ref="L24" si="26">K24*$B$14</f>
        <v>176.66666666666666</v>
      </c>
      <c r="M24" s="111">
        <v>1</v>
      </c>
      <c r="N24" s="111">
        <f t="shared" ref="N24" si="27">M24*$B$14</f>
        <v>176.66666666666666</v>
      </c>
      <c r="O24" s="111">
        <v>1</v>
      </c>
      <c r="P24" s="111">
        <f t="shared" ref="P24" si="28">O24*$B$14</f>
        <v>176.66666666666666</v>
      </c>
      <c r="Q24" s="111">
        <v>1</v>
      </c>
      <c r="R24" s="111">
        <f t="shared" ref="R24" si="29">Q24*$B$14</f>
        <v>176.66666666666666</v>
      </c>
      <c r="S24" s="111">
        <v>1</v>
      </c>
      <c r="T24" s="111">
        <f t="shared" ref="T24" si="30">S24*$B$14</f>
        <v>176.66666666666666</v>
      </c>
      <c r="U24" s="111">
        <v>1</v>
      </c>
      <c r="V24" s="111">
        <f t="shared" ref="V24" si="31">U24*$B$14</f>
        <v>176.66666666666666</v>
      </c>
      <c r="W24" s="111">
        <v>1</v>
      </c>
      <c r="X24" s="111">
        <f t="shared" ref="X24" si="32">W24*$B$14</f>
        <v>176.66666666666666</v>
      </c>
      <c r="Y24" s="111">
        <v>1</v>
      </c>
      <c r="Z24" s="111">
        <f t="shared" ref="Z24" si="33">Y24*$B$14</f>
        <v>176.66666666666666</v>
      </c>
      <c r="AA24" s="512"/>
      <c r="AB24" s="512"/>
    </row>
    <row r="25" spans="1:28" ht="14.4" x14ac:dyDescent="0.3">
      <c r="A25" s="32">
        <v>1</v>
      </c>
      <c r="B25" s="33" t="s">
        <v>258</v>
      </c>
      <c r="C25" s="111">
        <v>1</v>
      </c>
      <c r="D25" s="111">
        <f t="shared" si="11"/>
        <v>176.66666666666666</v>
      </c>
      <c r="E25" s="111">
        <v>1</v>
      </c>
      <c r="F25" s="111">
        <f t="shared" ref="F25" si="34">E25*$B$14</f>
        <v>176.66666666666666</v>
      </c>
      <c r="G25" s="111">
        <v>1</v>
      </c>
      <c r="H25" s="111">
        <f t="shared" ref="H25" si="35">G25*$B$14</f>
        <v>176.66666666666666</v>
      </c>
      <c r="I25" s="111">
        <v>1</v>
      </c>
      <c r="J25" s="111">
        <f t="shared" ref="J25" si="36">I25*$B$14</f>
        <v>176.66666666666666</v>
      </c>
      <c r="K25" s="111">
        <v>1</v>
      </c>
      <c r="L25" s="111">
        <f t="shared" ref="L25" si="37">K25*$B$14</f>
        <v>176.66666666666666</v>
      </c>
      <c r="M25" s="111">
        <v>1</v>
      </c>
      <c r="N25" s="111">
        <f t="shared" ref="N25" si="38">M25*$B$14</f>
        <v>176.66666666666666</v>
      </c>
      <c r="O25" s="111">
        <v>1</v>
      </c>
      <c r="P25" s="111">
        <f t="shared" ref="P25" si="39">O25*$B$14</f>
        <v>176.66666666666666</v>
      </c>
      <c r="Q25" s="111">
        <v>1</v>
      </c>
      <c r="R25" s="111">
        <f t="shared" ref="R25:R26" si="40">Q25*$B$14</f>
        <v>176.66666666666666</v>
      </c>
      <c r="S25" s="111">
        <v>1</v>
      </c>
      <c r="T25" s="111">
        <f t="shared" ref="T25:T26" si="41">S25*$B$14</f>
        <v>176.66666666666666</v>
      </c>
      <c r="U25" s="111">
        <v>1</v>
      </c>
      <c r="V25" s="111">
        <f t="shared" ref="V25:V26" si="42">U25*$B$14</f>
        <v>176.66666666666666</v>
      </c>
      <c r="W25" s="111">
        <v>1</v>
      </c>
      <c r="X25" s="111">
        <f t="shared" ref="X25:X26" si="43">W25*$B$14</f>
        <v>176.66666666666666</v>
      </c>
      <c r="Y25" s="111">
        <v>1</v>
      </c>
      <c r="Z25" s="111">
        <f t="shared" ref="Z25:Z26" si="44">Y25*$B$14</f>
        <v>176.66666666666666</v>
      </c>
      <c r="AA25" s="512"/>
      <c r="AB25" s="512"/>
    </row>
    <row r="26" spans="1:28" ht="14.4" x14ac:dyDescent="0.3">
      <c r="A26" s="110">
        <v>2</v>
      </c>
      <c r="B26" s="33" t="s">
        <v>259</v>
      </c>
      <c r="C26" s="111">
        <v>1</v>
      </c>
      <c r="D26" s="111">
        <f t="shared" si="11"/>
        <v>176.66666666666666</v>
      </c>
      <c r="E26" s="111">
        <v>1</v>
      </c>
      <c r="F26" s="111">
        <f t="shared" ref="F26" si="45">E26*$B$14</f>
        <v>176.66666666666666</v>
      </c>
      <c r="G26" s="111">
        <v>1</v>
      </c>
      <c r="H26" s="111">
        <f t="shared" ref="H26" si="46">G26*$B$14</f>
        <v>176.66666666666666</v>
      </c>
      <c r="I26" s="111">
        <v>1</v>
      </c>
      <c r="J26" s="111">
        <f t="shared" ref="J26" si="47">I26*$B$14</f>
        <v>176.66666666666666</v>
      </c>
      <c r="K26" s="111">
        <v>1</v>
      </c>
      <c r="L26" s="111">
        <f t="shared" ref="L26" si="48">K26*$B$14</f>
        <v>176.66666666666666</v>
      </c>
      <c r="M26" s="111">
        <v>1</v>
      </c>
      <c r="N26" s="111">
        <f t="shared" ref="N26" si="49">M26*$B$14</f>
        <v>176.66666666666666</v>
      </c>
      <c r="O26" s="113">
        <v>2</v>
      </c>
      <c r="P26" s="113">
        <f t="shared" ref="P26" si="50">O26*$B$14</f>
        <v>353.33333333333331</v>
      </c>
      <c r="Q26" s="113">
        <v>2</v>
      </c>
      <c r="R26" s="113">
        <f t="shared" si="40"/>
        <v>353.33333333333331</v>
      </c>
      <c r="S26" s="113">
        <v>2</v>
      </c>
      <c r="T26" s="113">
        <f t="shared" si="41"/>
        <v>353.33333333333331</v>
      </c>
      <c r="U26" s="113">
        <v>2</v>
      </c>
      <c r="V26" s="113">
        <f t="shared" si="42"/>
        <v>353.33333333333331</v>
      </c>
      <c r="W26" s="113">
        <v>2</v>
      </c>
      <c r="X26" s="113">
        <f t="shared" si="43"/>
        <v>353.33333333333331</v>
      </c>
      <c r="Y26" s="113">
        <v>2</v>
      </c>
      <c r="Z26" s="113">
        <f t="shared" si="44"/>
        <v>353.33333333333331</v>
      </c>
      <c r="AA26" s="512"/>
      <c r="AB26" s="512"/>
    </row>
    <row r="27" spans="1:28" ht="9.75" customHeight="1" x14ac:dyDescent="0.25"/>
    <row r="28" spans="1:28" ht="9" customHeight="1" thickBot="1" x14ac:dyDescent="0.3"/>
    <row r="29" spans="1:28" ht="26.4" thickBot="1" x14ac:dyDescent="0.55000000000000004">
      <c r="A29" s="507" t="s">
        <v>157</v>
      </c>
      <c r="B29" s="365"/>
      <c r="C29" s="365"/>
      <c r="D29" s="365"/>
      <c r="E29" s="36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5">
      <c r="A30" s="497" t="s">
        <v>159</v>
      </c>
      <c r="B30" s="498"/>
      <c r="C30" s="501" t="s">
        <v>39</v>
      </c>
      <c r="D30" s="502"/>
      <c r="E30" s="503" t="s">
        <v>40</v>
      </c>
      <c r="F30" s="504"/>
      <c r="G30" s="505" t="s">
        <v>41</v>
      </c>
      <c r="H30" s="506"/>
      <c r="I30" s="505" t="s">
        <v>42</v>
      </c>
      <c r="J30" s="506"/>
      <c r="K30" s="505" t="s">
        <v>43</v>
      </c>
      <c r="L30" s="506"/>
      <c r="M30" s="505" t="s">
        <v>44</v>
      </c>
      <c r="N30" s="506"/>
      <c r="O30" s="505" t="s">
        <v>45</v>
      </c>
      <c r="P30" s="506"/>
      <c r="Q30" s="505" t="s">
        <v>46</v>
      </c>
      <c r="R30" s="506"/>
      <c r="S30" s="505" t="s">
        <v>47</v>
      </c>
      <c r="T30" s="506"/>
      <c r="U30" s="505" t="s">
        <v>48</v>
      </c>
      <c r="V30" s="506"/>
      <c r="W30" s="505" t="s">
        <v>49</v>
      </c>
      <c r="X30" s="506"/>
      <c r="Y30" s="505" t="s">
        <v>50</v>
      </c>
      <c r="Z30" s="506"/>
    </row>
    <row r="31" spans="1:28" ht="29.4" thickBot="1" x14ac:dyDescent="0.3">
      <c r="A31" s="499"/>
      <c r="B31" s="500"/>
      <c r="C31" s="155" t="s">
        <v>156</v>
      </c>
      <c r="D31" s="156" t="s">
        <v>87</v>
      </c>
      <c r="E31" s="155" t="s">
        <v>156</v>
      </c>
      <c r="F31" s="156" t="s">
        <v>87</v>
      </c>
      <c r="G31" s="155" t="s">
        <v>156</v>
      </c>
      <c r="H31" s="156" t="s">
        <v>87</v>
      </c>
      <c r="I31" s="155" t="s">
        <v>156</v>
      </c>
      <c r="J31" s="156" t="s">
        <v>87</v>
      </c>
      <c r="K31" s="155" t="s">
        <v>156</v>
      </c>
      <c r="L31" s="156" t="s">
        <v>87</v>
      </c>
      <c r="M31" s="155" t="s">
        <v>156</v>
      </c>
      <c r="N31" s="156" t="s">
        <v>87</v>
      </c>
      <c r="O31" s="155" t="s">
        <v>156</v>
      </c>
      <c r="P31" s="156" t="s">
        <v>87</v>
      </c>
      <c r="Q31" s="156" t="s">
        <v>156</v>
      </c>
      <c r="R31" s="156" t="s">
        <v>87</v>
      </c>
      <c r="S31" s="155" t="s">
        <v>156</v>
      </c>
      <c r="T31" s="156" t="s">
        <v>87</v>
      </c>
      <c r="U31" s="155" t="s">
        <v>156</v>
      </c>
      <c r="V31" s="156" t="s">
        <v>87</v>
      </c>
      <c r="W31" s="155" t="s">
        <v>156</v>
      </c>
      <c r="X31" s="156" t="s">
        <v>87</v>
      </c>
      <c r="Y31" s="155" t="s">
        <v>156</v>
      </c>
      <c r="Z31" s="156" t="s">
        <v>87</v>
      </c>
    </row>
    <row r="32" spans="1:28" ht="15.75" customHeight="1" x14ac:dyDescent="0.3">
      <c r="A32" s="334">
        <v>3</v>
      </c>
      <c r="B32" s="31" t="s">
        <v>216</v>
      </c>
      <c r="C32" s="111">
        <v>2</v>
      </c>
      <c r="D32" s="111">
        <f>C32*$B$14</f>
        <v>353.33333333333331</v>
      </c>
      <c r="E32" s="111">
        <v>2</v>
      </c>
      <c r="F32" s="111">
        <f t="shared" ref="F32:F36" si="51">E32*$B$14</f>
        <v>353.33333333333331</v>
      </c>
      <c r="G32" s="111">
        <v>2</v>
      </c>
      <c r="H32" s="111">
        <f t="shared" ref="H32:H36" si="52">G32*$B$14</f>
        <v>353.33333333333331</v>
      </c>
      <c r="I32" s="111">
        <v>2</v>
      </c>
      <c r="J32" s="111">
        <f t="shared" ref="J32:J36" si="53">I32*$B$14</f>
        <v>353.33333333333331</v>
      </c>
      <c r="K32" s="111">
        <v>2</v>
      </c>
      <c r="L32" s="111">
        <f t="shared" ref="L32:L36" si="54">K32*$B$14</f>
        <v>353.33333333333331</v>
      </c>
      <c r="M32" s="113">
        <v>3</v>
      </c>
      <c r="N32" s="113">
        <f t="shared" ref="N32:N36" si="55">M32*$B$14</f>
        <v>530</v>
      </c>
      <c r="O32" s="113">
        <v>3</v>
      </c>
      <c r="P32" s="113">
        <f t="shared" ref="P32:P36" si="56">O32*$B$14</f>
        <v>530</v>
      </c>
      <c r="Q32" s="113">
        <v>3</v>
      </c>
      <c r="R32" s="113">
        <f t="shared" ref="R32:R36" si="57">Q32*$B$14</f>
        <v>530</v>
      </c>
      <c r="S32" s="113">
        <v>3</v>
      </c>
      <c r="T32" s="113">
        <f t="shared" ref="T32:T36" si="58">S32*$B$14</f>
        <v>530</v>
      </c>
      <c r="U32" s="113">
        <v>3</v>
      </c>
      <c r="V32" s="113">
        <f t="shared" ref="V32:V36" si="59">U32*$B$14</f>
        <v>530</v>
      </c>
      <c r="W32" s="113">
        <v>3</v>
      </c>
      <c r="X32" s="113">
        <f t="shared" ref="X32:X36" si="60">W32*$B$14</f>
        <v>530</v>
      </c>
      <c r="Y32" s="113">
        <v>3</v>
      </c>
      <c r="Z32" s="113">
        <f t="shared" ref="Z32:Z36" si="61">Y32*$B$14</f>
        <v>530</v>
      </c>
    </row>
    <row r="33" spans="1:26" ht="15.75" customHeight="1" x14ac:dyDescent="0.3">
      <c r="A33" s="32">
        <v>1</v>
      </c>
      <c r="B33" s="33" t="s">
        <v>183</v>
      </c>
      <c r="C33" s="111">
        <v>1</v>
      </c>
      <c r="D33" s="111">
        <f t="shared" ref="D33:D36" si="62">C33*$B$14</f>
        <v>176.66666666666666</v>
      </c>
      <c r="E33" s="111">
        <v>1</v>
      </c>
      <c r="F33" s="111">
        <f t="shared" si="51"/>
        <v>176.66666666666666</v>
      </c>
      <c r="G33" s="111">
        <v>1</v>
      </c>
      <c r="H33" s="111">
        <f t="shared" si="52"/>
        <v>176.66666666666666</v>
      </c>
      <c r="I33" s="111">
        <v>1</v>
      </c>
      <c r="J33" s="111">
        <f t="shared" si="53"/>
        <v>176.66666666666666</v>
      </c>
      <c r="K33" s="111">
        <v>1</v>
      </c>
      <c r="L33" s="111">
        <f t="shared" si="54"/>
        <v>176.66666666666666</v>
      </c>
      <c r="M33" s="111">
        <v>1</v>
      </c>
      <c r="N33" s="111">
        <f t="shared" si="55"/>
        <v>176.66666666666666</v>
      </c>
      <c r="O33" s="111">
        <v>1</v>
      </c>
      <c r="P33" s="111">
        <f t="shared" si="56"/>
        <v>176.66666666666666</v>
      </c>
      <c r="Q33" s="111">
        <v>1</v>
      </c>
      <c r="R33" s="111">
        <f t="shared" si="57"/>
        <v>176.66666666666666</v>
      </c>
      <c r="S33" s="111">
        <v>1</v>
      </c>
      <c r="T33" s="111">
        <f t="shared" si="58"/>
        <v>176.66666666666666</v>
      </c>
      <c r="U33" s="111">
        <v>1</v>
      </c>
      <c r="V33" s="111">
        <f t="shared" si="59"/>
        <v>176.66666666666666</v>
      </c>
      <c r="W33" s="111">
        <v>1</v>
      </c>
      <c r="X33" s="111">
        <f t="shared" si="60"/>
        <v>176.66666666666666</v>
      </c>
      <c r="Y33" s="111">
        <v>1</v>
      </c>
      <c r="Z33" s="111">
        <f t="shared" si="61"/>
        <v>176.66666666666666</v>
      </c>
    </row>
    <row r="34" spans="1:26" ht="14.25" customHeight="1" x14ac:dyDescent="0.3">
      <c r="A34" s="32">
        <v>1</v>
      </c>
      <c r="B34" s="33" t="s">
        <v>257</v>
      </c>
      <c r="C34" s="111">
        <v>1</v>
      </c>
      <c r="D34" s="111">
        <f t="shared" si="62"/>
        <v>176.66666666666666</v>
      </c>
      <c r="E34" s="111">
        <v>1</v>
      </c>
      <c r="F34" s="111">
        <f t="shared" si="51"/>
        <v>176.66666666666666</v>
      </c>
      <c r="G34" s="111">
        <v>1</v>
      </c>
      <c r="H34" s="111">
        <f t="shared" si="52"/>
        <v>176.66666666666666</v>
      </c>
      <c r="I34" s="111">
        <v>1</v>
      </c>
      <c r="J34" s="111">
        <f t="shared" si="53"/>
        <v>176.66666666666666</v>
      </c>
      <c r="K34" s="111">
        <v>1</v>
      </c>
      <c r="L34" s="111">
        <f t="shared" si="54"/>
        <v>176.66666666666666</v>
      </c>
      <c r="M34" s="111">
        <v>1</v>
      </c>
      <c r="N34" s="111">
        <f t="shared" si="55"/>
        <v>176.66666666666666</v>
      </c>
      <c r="O34" s="111">
        <v>1</v>
      </c>
      <c r="P34" s="111">
        <f t="shared" si="56"/>
        <v>176.66666666666666</v>
      </c>
      <c r="Q34" s="111">
        <v>1</v>
      </c>
      <c r="R34" s="111">
        <f t="shared" si="57"/>
        <v>176.66666666666666</v>
      </c>
      <c r="S34" s="111">
        <v>1</v>
      </c>
      <c r="T34" s="111">
        <f t="shared" si="58"/>
        <v>176.66666666666666</v>
      </c>
      <c r="U34" s="111">
        <v>1</v>
      </c>
      <c r="V34" s="111">
        <f t="shared" si="59"/>
        <v>176.66666666666666</v>
      </c>
      <c r="W34" s="111">
        <v>1</v>
      </c>
      <c r="X34" s="111">
        <f t="shared" si="60"/>
        <v>176.66666666666666</v>
      </c>
      <c r="Y34" s="111">
        <v>1</v>
      </c>
      <c r="Z34" s="111">
        <f t="shared" si="61"/>
        <v>176.66666666666666</v>
      </c>
    </row>
    <row r="35" spans="1:26" ht="15.75" customHeight="1" x14ac:dyDescent="0.3">
      <c r="A35" s="110">
        <v>2</v>
      </c>
      <c r="B35" s="33" t="s">
        <v>258</v>
      </c>
      <c r="C35" s="111">
        <v>1</v>
      </c>
      <c r="D35" s="111">
        <f t="shared" si="62"/>
        <v>176.66666666666666</v>
      </c>
      <c r="E35" s="111">
        <v>1</v>
      </c>
      <c r="F35" s="111">
        <f t="shared" si="51"/>
        <v>176.66666666666666</v>
      </c>
      <c r="G35" s="111">
        <v>1</v>
      </c>
      <c r="H35" s="111">
        <f t="shared" si="52"/>
        <v>176.66666666666666</v>
      </c>
      <c r="I35" s="111">
        <v>1</v>
      </c>
      <c r="J35" s="111">
        <f t="shared" si="53"/>
        <v>176.66666666666666</v>
      </c>
      <c r="K35" s="111">
        <v>1</v>
      </c>
      <c r="L35" s="111">
        <f t="shared" si="54"/>
        <v>176.66666666666666</v>
      </c>
      <c r="M35" s="113">
        <v>2</v>
      </c>
      <c r="N35" s="113">
        <f t="shared" si="55"/>
        <v>353.33333333333331</v>
      </c>
      <c r="O35" s="113">
        <v>2</v>
      </c>
      <c r="P35" s="113">
        <f t="shared" si="56"/>
        <v>353.33333333333331</v>
      </c>
      <c r="Q35" s="113">
        <v>2</v>
      </c>
      <c r="R35" s="113">
        <f t="shared" si="57"/>
        <v>353.33333333333331</v>
      </c>
      <c r="S35" s="113">
        <v>2</v>
      </c>
      <c r="T35" s="113">
        <f t="shared" si="58"/>
        <v>353.33333333333331</v>
      </c>
      <c r="U35" s="113">
        <v>2</v>
      </c>
      <c r="V35" s="113">
        <f t="shared" si="59"/>
        <v>353.33333333333331</v>
      </c>
      <c r="W35" s="113">
        <v>2</v>
      </c>
      <c r="X35" s="113">
        <f t="shared" si="60"/>
        <v>353.33333333333331</v>
      </c>
      <c r="Y35" s="113">
        <v>2</v>
      </c>
      <c r="Z35" s="113">
        <f t="shared" si="61"/>
        <v>353.33333333333331</v>
      </c>
    </row>
    <row r="36" spans="1:26" ht="15.75" customHeight="1" x14ac:dyDescent="0.3">
      <c r="A36" s="110">
        <v>3</v>
      </c>
      <c r="B36" s="33" t="s">
        <v>259</v>
      </c>
      <c r="C36" s="111">
        <v>2</v>
      </c>
      <c r="D36" s="111">
        <f t="shared" si="62"/>
        <v>353.33333333333331</v>
      </c>
      <c r="E36" s="111">
        <v>2</v>
      </c>
      <c r="F36" s="111">
        <f t="shared" si="51"/>
        <v>353.33333333333331</v>
      </c>
      <c r="G36" s="111">
        <v>2</v>
      </c>
      <c r="H36" s="111">
        <f t="shared" si="52"/>
        <v>353.33333333333331</v>
      </c>
      <c r="I36" s="111">
        <v>2</v>
      </c>
      <c r="J36" s="111">
        <f t="shared" si="53"/>
        <v>353.33333333333331</v>
      </c>
      <c r="K36" s="111">
        <v>2</v>
      </c>
      <c r="L36" s="111">
        <f t="shared" si="54"/>
        <v>353.33333333333331</v>
      </c>
      <c r="M36" s="113">
        <v>3</v>
      </c>
      <c r="N36" s="113">
        <f t="shared" si="55"/>
        <v>530</v>
      </c>
      <c r="O36" s="113">
        <v>3</v>
      </c>
      <c r="P36" s="113">
        <f t="shared" si="56"/>
        <v>530</v>
      </c>
      <c r="Q36" s="113">
        <v>3</v>
      </c>
      <c r="R36" s="113">
        <f t="shared" si="57"/>
        <v>530</v>
      </c>
      <c r="S36" s="113">
        <v>3</v>
      </c>
      <c r="T36" s="113">
        <f t="shared" si="58"/>
        <v>530</v>
      </c>
      <c r="U36" s="113">
        <v>3</v>
      </c>
      <c r="V36" s="113">
        <f t="shared" si="59"/>
        <v>530</v>
      </c>
      <c r="W36" s="113">
        <v>3</v>
      </c>
      <c r="X36" s="113">
        <f t="shared" si="60"/>
        <v>530</v>
      </c>
      <c r="Y36" s="113">
        <v>3</v>
      </c>
      <c r="Z36" s="113">
        <f t="shared" si="61"/>
        <v>530</v>
      </c>
    </row>
    <row r="37" spans="1:26" ht="14.4" x14ac:dyDescent="0.3">
      <c r="A37" s="166"/>
      <c r="B37" s="167"/>
    </row>
    <row r="38" spans="1:26" thickBot="1" x14ac:dyDescent="0.35">
      <c r="A38" s="166"/>
      <c r="B38" s="167"/>
    </row>
    <row r="39" spans="1:26" ht="26.4" thickBot="1" x14ac:dyDescent="0.55000000000000004">
      <c r="A39" s="507" t="s">
        <v>157</v>
      </c>
      <c r="B39" s="365"/>
      <c r="C39" s="365"/>
      <c r="D39" s="365"/>
      <c r="E39" s="36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5">
      <c r="A40" s="497" t="s">
        <v>188</v>
      </c>
      <c r="B40" s="498"/>
      <c r="C40" s="501" t="s">
        <v>39</v>
      </c>
      <c r="D40" s="502"/>
      <c r="E40" s="503" t="s">
        <v>40</v>
      </c>
      <c r="F40" s="504"/>
      <c r="G40" s="505" t="s">
        <v>41</v>
      </c>
      <c r="H40" s="506"/>
      <c r="I40" s="505" t="s">
        <v>42</v>
      </c>
      <c r="J40" s="506"/>
      <c r="K40" s="505" t="s">
        <v>43</v>
      </c>
      <c r="L40" s="506"/>
      <c r="M40" s="505" t="s">
        <v>44</v>
      </c>
      <c r="N40" s="506"/>
      <c r="O40" s="505" t="s">
        <v>45</v>
      </c>
      <c r="P40" s="506"/>
      <c r="Q40" s="505" t="s">
        <v>46</v>
      </c>
      <c r="R40" s="506"/>
      <c r="S40" s="505" t="s">
        <v>47</v>
      </c>
      <c r="T40" s="506"/>
      <c r="U40" s="505" t="s">
        <v>48</v>
      </c>
      <c r="V40" s="506"/>
      <c r="W40" s="505" t="s">
        <v>49</v>
      </c>
      <c r="X40" s="506"/>
      <c r="Y40" s="505" t="s">
        <v>50</v>
      </c>
      <c r="Z40" s="506"/>
    </row>
    <row r="41" spans="1:26" ht="29.4" thickBot="1" x14ac:dyDescent="0.3">
      <c r="A41" s="499"/>
      <c r="B41" s="500"/>
      <c r="C41" s="155" t="s">
        <v>156</v>
      </c>
      <c r="D41" s="156" t="s">
        <v>87</v>
      </c>
      <c r="E41" s="155" t="s">
        <v>156</v>
      </c>
      <c r="F41" s="156" t="s">
        <v>87</v>
      </c>
      <c r="G41" s="155" t="s">
        <v>156</v>
      </c>
      <c r="H41" s="156" t="s">
        <v>87</v>
      </c>
      <c r="I41" s="155" t="s">
        <v>156</v>
      </c>
      <c r="J41" s="156" t="s">
        <v>87</v>
      </c>
      <c r="K41" s="155" t="s">
        <v>156</v>
      </c>
      <c r="L41" s="156" t="s">
        <v>87</v>
      </c>
      <c r="M41" s="155" t="s">
        <v>156</v>
      </c>
      <c r="N41" s="156" t="s">
        <v>87</v>
      </c>
      <c r="O41" s="155" t="s">
        <v>156</v>
      </c>
      <c r="P41" s="156" t="s">
        <v>87</v>
      </c>
      <c r="Q41" s="155" t="s">
        <v>156</v>
      </c>
      <c r="R41" s="156" t="s">
        <v>87</v>
      </c>
      <c r="S41" s="155" t="s">
        <v>156</v>
      </c>
      <c r="T41" s="156" t="s">
        <v>87</v>
      </c>
      <c r="U41" s="155" t="s">
        <v>156</v>
      </c>
      <c r="V41" s="156" t="s">
        <v>87</v>
      </c>
      <c r="W41" s="155" t="s">
        <v>156</v>
      </c>
      <c r="X41" s="156" t="s">
        <v>87</v>
      </c>
      <c r="Y41" s="155" t="s">
        <v>156</v>
      </c>
      <c r="Z41" s="156" t="s">
        <v>87</v>
      </c>
    </row>
    <row r="42" spans="1:26" ht="15.75" customHeight="1" x14ac:dyDescent="0.3">
      <c r="A42" s="335">
        <v>3</v>
      </c>
      <c r="B42" s="31" t="s">
        <v>216</v>
      </c>
      <c r="C42" s="111">
        <v>3</v>
      </c>
      <c r="D42" s="111">
        <f t="shared" ref="D42" si="63">C42*$B$14</f>
        <v>530</v>
      </c>
      <c r="E42" s="111">
        <v>3</v>
      </c>
      <c r="F42" s="111">
        <f t="shared" ref="F42" si="64">E42*$B$14</f>
        <v>530</v>
      </c>
      <c r="G42" s="111">
        <v>3</v>
      </c>
      <c r="H42" s="111">
        <f t="shared" ref="H42" si="65">G42*$B$14</f>
        <v>530</v>
      </c>
      <c r="I42" s="111">
        <v>3</v>
      </c>
      <c r="J42" s="111">
        <f t="shared" ref="J42" si="66">I42*$B$14</f>
        <v>530</v>
      </c>
      <c r="K42" s="111">
        <v>3</v>
      </c>
      <c r="L42" s="111">
        <f t="shared" ref="L42" si="67">K42*$B$14</f>
        <v>530</v>
      </c>
      <c r="M42" s="111">
        <v>3</v>
      </c>
      <c r="N42" s="111">
        <f t="shared" ref="N42" si="68">M42*$B$14</f>
        <v>530</v>
      </c>
      <c r="O42" s="111">
        <v>3</v>
      </c>
      <c r="P42" s="111">
        <f t="shared" ref="P42" si="69">O42*$B$14</f>
        <v>530</v>
      </c>
      <c r="Q42" s="111">
        <v>3</v>
      </c>
      <c r="R42" s="111">
        <f t="shared" ref="R42:R46" si="70">Q42*$B$14</f>
        <v>530</v>
      </c>
      <c r="S42" s="111">
        <v>3</v>
      </c>
      <c r="T42" s="111">
        <f t="shared" ref="T42:T46" si="71">S42*$B$14</f>
        <v>530</v>
      </c>
      <c r="U42" s="111">
        <v>3</v>
      </c>
      <c r="V42" s="111">
        <f t="shared" ref="V42:V46" si="72">U42*$B$14</f>
        <v>530</v>
      </c>
      <c r="W42" s="111">
        <v>3</v>
      </c>
      <c r="X42" s="111">
        <f t="shared" ref="X42:X46" si="73">W42*$B$14</f>
        <v>530</v>
      </c>
      <c r="Y42" s="111">
        <v>3</v>
      </c>
      <c r="Z42" s="111">
        <f t="shared" ref="Z42:Z46" si="74">Y42*$B$14</f>
        <v>530</v>
      </c>
    </row>
    <row r="43" spans="1:26" ht="15.75" customHeight="1" x14ac:dyDescent="0.3">
      <c r="A43" s="32">
        <v>1</v>
      </c>
      <c r="B43" s="33" t="s">
        <v>183</v>
      </c>
      <c r="C43" s="111">
        <v>1</v>
      </c>
      <c r="D43" s="111">
        <f t="shared" ref="D43:D46" si="75">C43*$B$14</f>
        <v>176.66666666666666</v>
      </c>
      <c r="E43" s="111">
        <v>1</v>
      </c>
      <c r="F43" s="111">
        <f t="shared" ref="F43:F46" si="76">E43*$B$14</f>
        <v>176.66666666666666</v>
      </c>
      <c r="G43" s="111">
        <v>1</v>
      </c>
      <c r="H43" s="111">
        <f t="shared" ref="H43:H46" si="77">G43*$B$14</f>
        <v>176.66666666666666</v>
      </c>
      <c r="I43" s="111">
        <v>1</v>
      </c>
      <c r="J43" s="111">
        <f t="shared" ref="J43:J46" si="78">I43*$B$14</f>
        <v>176.66666666666666</v>
      </c>
      <c r="K43" s="111">
        <v>1</v>
      </c>
      <c r="L43" s="111">
        <f t="shared" ref="L43:L46" si="79">K43*$B$14</f>
        <v>176.66666666666666</v>
      </c>
      <c r="M43" s="111">
        <v>1</v>
      </c>
      <c r="N43" s="111">
        <f t="shared" ref="N43:N46" si="80">M43*$B$14</f>
        <v>176.66666666666666</v>
      </c>
      <c r="O43" s="111">
        <v>1</v>
      </c>
      <c r="P43" s="111">
        <f t="shared" ref="P43:P46" si="81">O43*$B$14</f>
        <v>176.66666666666666</v>
      </c>
      <c r="Q43" s="111">
        <v>1</v>
      </c>
      <c r="R43" s="111">
        <f t="shared" si="70"/>
        <v>176.66666666666666</v>
      </c>
      <c r="S43" s="111">
        <v>1</v>
      </c>
      <c r="T43" s="111">
        <f t="shared" si="71"/>
        <v>176.66666666666666</v>
      </c>
      <c r="U43" s="111">
        <v>1</v>
      </c>
      <c r="V43" s="111">
        <f t="shared" si="72"/>
        <v>176.66666666666666</v>
      </c>
      <c r="W43" s="111">
        <v>1</v>
      </c>
      <c r="X43" s="111">
        <f t="shared" si="73"/>
        <v>176.66666666666666</v>
      </c>
      <c r="Y43" s="111">
        <v>1</v>
      </c>
      <c r="Z43" s="111">
        <f t="shared" si="74"/>
        <v>176.66666666666666</v>
      </c>
    </row>
    <row r="44" spans="1:26" ht="14.25" customHeight="1" x14ac:dyDescent="0.3">
      <c r="A44" s="32">
        <v>1</v>
      </c>
      <c r="B44" s="33" t="s">
        <v>257</v>
      </c>
      <c r="C44" s="111">
        <v>1</v>
      </c>
      <c r="D44" s="111">
        <f t="shared" si="75"/>
        <v>176.66666666666666</v>
      </c>
      <c r="E44" s="111">
        <v>1</v>
      </c>
      <c r="F44" s="111">
        <f t="shared" si="76"/>
        <v>176.66666666666666</v>
      </c>
      <c r="G44" s="111">
        <v>1</v>
      </c>
      <c r="H44" s="111">
        <f t="shared" si="77"/>
        <v>176.66666666666666</v>
      </c>
      <c r="I44" s="111">
        <v>1</v>
      </c>
      <c r="J44" s="111">
        <f t="shared" si="78"/>
        <v>176.66666666666666</v>
      </c>
      <c r="K44" s="111">
        <v>1</v>
      </c>
      <c r="L44" s="111">
        <f t="shared" si="79"/>
        <v>176.66666666666666</v>
      </c>
      <c r="M44" s="111">
        <v>1</v>
      </c>
      <c r="N44" s="111">
        <f t="shared" si="80"/>
        <v>176.66666666666666</v>
      </c>
      <c r="O44" s="111">
        <v>1</v>
      </c>
      <c r="P44" s="111">
        <f t="shared" si="81"/>
        <v>176.66666666666666</v>
      </c>
      <c r="Q44" s="111">
        <v>1</v>
      </c>
      <c r="R44" s="111">
        <f t="shared" si="70"/>
        <v>176.66666666666666</v>
      </c>
      <c r="S44" s="111">
        <v>1</v>
      </c>
      <c r="T44" s="111">
        <f t="shared" si="71"/>
        <v>176.66666666666666</v>
      </c>
      <c r="U44" s="111">
        <v>1</v>
      </c>
      <c r="V44" s="111">
        <f t="shared" si="72"/>
        <v>176.66666666666666</v>
      </c>
      <c r="W44" s="111">
        <v>1</v>
      </c>
      <c r="X44" s="111">
        <f t="shared" si="73"/>
        <v>176.66666666666666</v>
      </c>
      <c r="Y44" s="111">
        <v>1</v>
      </c>
      <c r="Z44" s="111">
        <f t="shared" si="74"/>
        <v>176.66666666666666</v>
      </c>
    </row>
    <row r="45" spans="1:26" ht="15.75" customHeight="1" x14ac:dyDescent="0.3">
      <c r="A45" s="110">
        <v>3</v>
      </c>
      <c r="B45" s="33" t="s">
        <v>258</v>
      </c>
      <c r="C45" s="111">
        <v>2</v>
      </c>
      <c r="D45" s="111">
        <f t="shared" si="75"/>
        <v>353.33333333333331</v>
      </c>
      <c r="E45" s="111">
        <v>2</v>
      </c>
      <c r="F45" s="111">
        <f t="shared" si="76"/>
        <v>353.33333333333331</v>
      </c>
      <c r="G45" s="111">
        <v>2</v>
      </c>
      <c r="H45" s="111">
        <f t="shared" si="77"/>
        <v>353.33333333333331</v>
      </c>
      <c r="I45" s="111">
        <v>2</v>
      </c>
      <c r="J45" s="111">
        <f t="shared" si="78"/>
        <v>353.33333333333331</v>
      </c>
      <c r="K45" s="111">
        <v>2</v>
      </c>
      <c r="L45" s="111">
        <f t="shared" si="79"/>
        <v>353.33333333333331</v>
      </c>
      <c r="M45" s="113">
        <v>3</v>
      </c>
      <c r="N45" s="113">
        <f t="shared" si="80"/>
        <v>530</v>
      </c>
      <c r="O45" s="113">
        <v>3</v>
      </c>
      <c r="P45" s="113">
        <f t="shared" si="81"/>
        <v>530</v>
      </c>
      <c r="Q45" s="113">
        <v>3</v>
      </c>
      <c r="R45" s="113">
        <f t="shared" si="70"/>
        <v>530</v>
      </c>
      <c r="S45" s="113">
        <v>3</v>
      </c>
      <c r="T45" s="113">
        <f t="shared" si="71"/>
        <v>530</v>
      </c>
      <c r="U45" s="113">
        <v>3</v>
      </c>
      <c r="V45" s="113">
        <f t="shared" si="72"/>
        <v>530</v>
      </c>
      <c r="W45" s="113">
        <v>3</v>
      </c>
      <c r="X45" s="113">
        <f t="shared" si="73"/>
        <v>530</v>
      </c>
      <c r="Y45" s="113">
        <v>3</v>
      </c>
      <c r="Z45" s="113">
        <f t="shared" si="74"/>
        <v>530</v>
      </c>
    </row>
    <row r="46" spans="1:26" ht="15.75" customHeight="1" x14ac:dyDescent="0.3">
      <c r="A46" s="32">
        <v>3</v>
      </c>
      <c r="B46" s="33" t="s">
        <v>259</v>
      </c>
      <c r="C46" s="111">
        <v>3</v>
      </c>
      <c r="D46" s="111">
        <f t="shared" si="75"/>
        <v>530</v>
      </c>
      <c r="E46" s="111">
        <v>3</v>
      </c>
      <c r="F46" s="111">
        <f t="shared" si="76"/>
        <v>530</v>
      </c>
      <c r="G46" s="111">
        <v>3</v>
      </c>
      <c r="H46" s="111">
        <f t="shared" si="77"/>
        <v>530</v>
      </c>
      <c r="I46" s="111">
        <v>3</v>
      </c>
      <c r="J46" s="111">
        <f t="shared" si="78"/>
        <v>530</v>
      </c>
      <c r="K46" s="111">
        <v>3</v>
      </c>
      <c r="L46" s="111">
        <f t="shared" si="79"/>
        <v>530</v>
      </c>
      <c r="M46" s="111">
        <v>3</v>
      </c>
      <c r="N46" s="111">
        <f t="shared" si="80"/>
        <v>530</v>
      </c>
      <c r="O46" s="111">
        <v>3</v>
      </c>
      <c r="P46" s="111">
        <f t="shared" si="81"/>
        <v>530</v>
      </c>
      <c r="Q46" s="111">
        <v>3</v>
      </c>
      <c r="R46" s="111">
        <f t="shared" si="70"/>
        <v>530</v>
      </c>
      <c r="S46" s="111">
        <v>3</v>
      </c>
      <c r="T46" s="111">
        <f t="shared" si="71"/>
        <v>530</v>
      </c>
      <c r="U46" s="111">
        <v>3</v>
      </c>
      <c r="V46" s="111">
        <f t="shared" si="72"/>
        <v>530</v>
      </c>
      <c r="W46" s="111">
        <v>3</v>
      </c>
      <c r="X46" s="111">
        <f t="shared" si="73"/>
        <v>530</v>
      </c>
      <c r="Y46" s="111">
        <v>3</v>
      </c>
      <c r="Z46" s="111">
        <f t="shared" si="74"/>
        <v>530</v>
      </c>
    </row>
    <row r="47" spans="1:26" ht="15.75" customHeight="1" x14ac:dyDescent="0.25"/>
    <row r="48" spans="1:26" ht="15.75" customHeight="1" x14ac:dyDescent="0.25"/>
    <row r="49" spans="1:20" ht="15.75" customHeight="1" x14ac:dyDescent="0.25"/>
    <row r="50" spans="1:20" ht="15.75" customHeight="1" x14ac:dyDescent="0.25"/>
    <row r="51" spans="1:20" ht="15.75" customHeight="1" x14ac:dyDescent="0.25"/>
    <row r="52" spans="1:20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5"/>
    <row r="60" spans="1:20" ht="15.75" customHeight="1" x14ac:dyDescent="0.25"/>
    <row r="61" spans="1:20" ht="15.75" customHeight="1" x14ac:dyDescent="0.25"/>
    <row r="62" spans="1:20" ht="15.75" customHeight="1" x14ac:dyDescent="0.25"/>
    <row r="63" spans="1:20" ht="15.75" customHeight="1" x14ac:dyDescent="0.25"/>
    <row r="64" spans="1:20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spans="1:26" ht="15.75" customHeight="1" x14ac:dyDescent="0.25"/>
    <row r="130" spans="1:26" ht="15.75" customHeight="1" x14ac:dyDescent="0.3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K40:L40"/>
    <mergeCell ref="M40:N40"/>
    <mergeCell ref="O40:P40"/>
    <mergeCell ref="Q40:R40"/>
    <mergeCell ref="S40:T4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39:E39"/>
    <mergeCell ref="W30:X30"/>
    <mergeCell ref="A40:B41"/>
    <mergeCell ref="C40:D40"/>
    <mergeCell ref="E40:F40"/>
    <mergeCell ref="G40:H40"/>
    <mergeCell ref="I40:J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zoomScale="85" zoomScaleNormal="85" workbookViewId="0">
      <pane ySplit="1" topLeftCell="A8" activePane="bottomLeft" state="frozen"/>
      <selection pane="bottomLeft" activeCell="H24" sqref="H24"/>
    </sheetView>
  </sheetViews>
  <sheetFormatPr baseColWidth="10" defaultColWidth="12.59765625" defaultRowHeight="15" customHeight="1" x14ac:dyDescent="0.25"/>
  <cols>
    <col min="1" max="1" width="10" customWidth="1"/>
    <col min="2" max="2" width="25.69921875" customWidth="1"/>
    <col min="3" max="3" width="20" customWidth="1"/>
    <col min="4" max="4" width="24.19921875" customWidth="1"/>
    <col min="5" max="5" width="20.19921875" customWidth="1"/>
    <col min="6" max="7" width="10" customWidth="1"/>
    <col min="8" max="8" width="13.59765625" customWidth="1"/>
    <col min="9" max="26" width="10" customWidth="1"/>
  </cols>
  <sheetData>
    <row r="1" spans="1:26" ht="96" customHeight="1" x14ac:dyDescent="0.3">
      <c r="A1" s="169"/>
      <c r="B1" s="169"/>
      <c r="C1" s="169"/>
      <c r="D1" s="169"/>
      <c r="E1" s="170" t="s">
        <v>12</v>
      </c>
      <c r="F1" s="169"/>
      <c r="G1" s="171"/>
      <c r="H1" s="171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5">
      <c r="A15" s="1"/>
      <c r="B15" s="513" t="s">
        <v>192</v>
      </c>
      <c r="C15" s="514"/>
      <c r="D15" s="514"/>
      <c r="E15" s="51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6" x14ac:dyDescent="0.3">
      <c r="A16" s="1"/>
      <c r="B16" s="188" t="s">
        <v>32</v>
      </c>
      <c r="C16" s="189" t="s">
        <v>90</v>
      </c>
      <c r="D16" s="189" t="s">
        <v>91</v>
      </c>
      <c r="E16" s="190" t="s">
        <v>229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6" x14ac:dyDescent="0.3">
      <c r="A17" s="1"/>
      <c r="B17" s="185" t="str">
        <f>Hipótesis!B37</f>
        <v>Inicial</v>
      </c>
      <c r="C17" s="186">
        <f>'Proy. ventas'!D23</f>
        <v>4050000</v>
      </c>
      <c r="D17" s="186">
        <f>'Proy. ventas'!D54</f>
        <v>12960000</v>
      </c>
      <c r="E17" s="187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63" t="str">
        <f>Hipótesis!B38</f>
        <v>Normal</v>
      </c>
      <c r="C18" s="64">
        <f>'Proy. ventas'!D24</f>
        <v>10400000</v>
      </c>
      <c r="D18" s="181">
        <f>'Proy. ventas'!D55</f>
        <v>32000000</v>
      </c>
      <c r="E18" s="183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65" t="str">
        <f>Hipótesis!B39</f>
        <v>Premium</v>
      </c>
      <c r="C19" s="66">
        <f>'Proy. ventas'!D25</f>
        <v>9460000</v>
      </c>
      <c r="D19" s="182">
        <f>'Proy. ventas'!D56</f>
        <v>27940000</v>
      </c>
      <c r="E19" s="18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3"/>
  <sheetViews>
    <sheetView zoomScale="70" zoomScaleNormal="70" workbookViewId="0">
      <pane ySplit="1" topLeftCell="A2" activePane="bottomLeft" state="frozen"/>
      <selection pane="bottomLeft" activeCell="B38" sqref="B38"/>
    </sheetView>
  </sheetViews>
  <sheetFormatPr baseColWidth="10" defaultColWidth="12.59765625" defaultRowHeight="15" customHeight="1" x14ac:dyDescent="0.25"/>
  <cols>
    <col min="1" max="1" width="10" customWidth="1"/>
    <col min="2" max="2" width="35" customWidth="1"/>
    <col min="3" max="3" width="75.8984375" customWidth="1"/>
    <col min="4" max="4" width="25.59765625" customWidth="1"/>
    <col min="5" max="5" width="17" customWidth="1"/>
    <col min="6" max="6" width="22.3984375" customWidth="1"/>
    <col min="7" max="7" width="16.8984375" customWidth="1"/>
    <col min="8" max="8" width="16.5" customWidth="1"/>
    <col min="9" max="9" width="16.8984375" customWidth="1"/>
    <col min="10" max="10" width="19.8984375" customWidth="1"/>
    <col min="11" max="11" width="16.5" customWidth="1"/>
    <col min="12" max="12" width="17.8984375" customWidth="1"/>
    <col min="13" max="13" width="16.8984375" customWidth="1"/>
    <col min="14" max="15" width="16.5" customWidth="1"/>
    <col min="16" max="16" width="19" customWidth="1"/>
    <col min="17" max="17" width="108.3984375" customWidth="1"/>
    <col min="18" max="26" width="10" customWidth="1"/>
  </cols>
  <sheetData>
    <row r="1" spans="1:26" ht="83.25" customHeight="1" x14ac:dyDescent="0.3">
      <c r="A1" s="191"/>
      <c r="B1" s="191"/>
      <c r="C1" s="191"/>
      <c r="D1" s="191"/>
      <c r="E1" s="191"/>
      <c r="F1" s="192" t="s">
        <v>13</v>
      </c>
      <c r="G1" s="193"/>
      <c r="H1" s="193"/>
      <c r="I1" s="191"/>
      <c r="J1" s="191"/>
      <c r="K1" s="191"/>
      <c r="L1" s="191"/>
      <c r="M1" s="191"/>
      <c r="N1" s="191"/>
      <c r="O1" s="191"/>
      <c r="P1" s="191"/>
      <c r="Q1" s="191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1"/>
      <c r="C3" s="1"/>
      <c r="D3" s="518" t="s">
        <v>92</v>
      </c>
      <c r="E3" s="458"/>
      <c r="F3" s="43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1"/>
      <c r="C4" s="1"/>
      <c r="D4" s="194">
        <v>2022</v>
      </c>
      <c r="E4" s="172">
        <v>2023</v>
      </c>
      <c r="F4" s="19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1"/>
      <c r="C5" s="1"/>
      <c r="D5" s="24">
        <f>P15</f>
        <v>11450400</v>
      </c>
      <c r="E5" s="25">
        <f>P24</f>
        <v>6890400</v>
      </c>
      <c r="F5" s="26">
        <f>P33</f>
        <v>7130400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6" t="s">
        <v>97</v>
      </c>
      <c r="C9" s="464"/>
      <c r="D9" s="464"/>
      <c r="E9" s="464"/>
      <c r="F9" s="464"/>
      <c r="G9" s="464"/>
      <c r="H9" s="464"/>
      <c r="I9" s="464"/>
      <c r="J9" s="464"/>
      <c r="K9" s="464"/>
      <c r="L9" s="464"/>
      <c r="M9" s="464"/>
      <c r="N9" s="464"/>
      <c r="O9" s="464"/>
      <c r="P9" s="464"/>
      <c r="Q9" s="464"/>
      <c r="R9" s="1"/>
      <c r="S9" s="1"/>
      <c r="T9" s="1"/>
      <c r="U9" s="1"/>
      <c r="V9" s="1"/>
      <c r="W9" s="1"/>
      <c r="X9" s="1"/>
      <c r="Y9" s="1"/>
      <c r="Z9" s="1"/>
    </row>
    <row r="10" spans="1:26" ht="18.600000000000001" thickBot="1" x14ac:dyDescent="0.35">
      <c r="A10" s="1"/>
      <c r="B10" s="517" t="s">
        <v>93</v>
      </c>
      <c r="C10" s="464"/>
      <c r="D10" s="196" t="s">
        <v>39</v>
      </c>
      <c r="E10" s="196" t="s">
        <v>40</v>
      </c>
      <c r="F10" s="196" t="s">
        <v>41</v>
      </c>
      <c r="G10" s="196" t="s">
        <v>42</v>
      </c>
      <c r="H10" s="196" t="s">
        <v>43</v>
      </c>
      <c r="I10" s="196" t="s">
        <v>44</v>
      </c>
      <c r="J10" s="196" t="s">
        <v>45</v>
      </c>
      <c r="K10" s="196" t="s">
        <v>46</v>
      </c>
      <c r="L10" s="196" t="s">
        <v>47</v>
      </c>
      <c r="M10" s="196" t="s">
        <v>48</v>
      </c>
      <c r="N10" s="196" t="s">
        <v>49</v>
      </c>
      <c r="O10" s="196" t="s">
        <v>50</v>
      </c>
      <c r="P10" s="196" t="s">
        <v>94</v>
      </c>
      <c r="Q10" s="19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8.600000000000001" thickBot="1" x14ac:dyDescent="0.35">
      <c r="A11" s="1"/>
      <c r="B11" s="198" t="s">
        <v>245</v>
      </c>
      <c r="C11" s="199" t="s">
        <v>162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7">
        <f t="shared" ref="P11:P14" si="1">SUM(D11:O11)</f>
        <v>50400</v>
      </c>
      <c r="Q11" s="20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5">
      <c r="A12" s="109"/>
      <c r="B12" s="198" t="s">
        <v>246</v>
      </c>
      <c r="C12" s="199" t="s">
        <v>247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7">
        <f>SUM(D12:O12)</f>
        <v>600000</v>
      </c>
      <c r="Q12" s="202"/>
      <c r="R12" s="109"/>
      <c r="S12" s="109"/>
      <c r="T12" s="109"/>
      <c r="U12" s="109"/>
      <c r="V12" s="109"/>
      <c r="W12" s="109"/>
      <c r="X12" s="109"/>
      <c r="Y12" s="109"/>
      <c r="Z12" s="109"/>
    </row>
    <row r="13" spans="1:26" ht="25.5" customHeight="1" thickBot="1" x14ac:dyDescent="0.35">
      <c r="A13" s="1"/>
      <c r="B13" s="201" t="s">
        <v>236</v>
      </c>
      <c r="C13" s="199" t="s">
        <v>164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7">
        <f t="shared" ref="P13" si="4">SUM(D13:O13)</f>
        <v>6000000</v>
      </c>
      <c r="Q13" s="20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5">
      <c r="A14" s="1"/>
      <c r="B14" s="201" t="s">
        <v>96</v>
      </c>
      <c r="C14" s="199" t="s">
        <v>163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7">
        <f t="shared" si="1"/>
        <v>4800000</v>
      </c>
      <c r="Q14" s="20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5">
      <c r="A15" s="1"/>
      <c r="B15" s="199"/>
      <c r="C15" s="203" t="s">
        <v>30</v>
      </c>
      <c r="D15" s="197">
        <f t="shared" ref="D15:P15" si="6">SUM(D11:D14)</f>
        <v>954200</v>
      </c>
      <c r="E15" s="197">
        <f t="shared" si="6"/>
        <v>954200</v>
      </c>
      <c r="F15" s="197">
        <f t="shared" si="6"/>
        <v>954200</v>
      </c>
      <c r="G15" s="197">
        <f t="shared" si="6"/>
        <v>954200</v>
      </c>
      <c r="H15" s="197">
        <f t="shared" si="6"/>
        <v>954200</v>
      </c>
      <c r="I15" s="197">
        <f t="shared" si="6"/>
        <v>954200</v>
      </c>
      <c r="J15" s="197">
        <f t="shared" si="6"/>
        <v>954200</v>
      </c>
      <c r="K15" s="197">
        <f t="shared" si="6"/>
        <v>954200</v>
      </c>
      <c r="L15" s="197">
        <f t="shared" si="6"/>
        <v>954200</v>
      </c>
      <c r="M15" s="197">
        <f t="shared" si="6"/>
        <v>954200</v>
      </c>
      <c r="N15" s="197">
        <f t="shared" si="6"/>
        <v>954200</v>
      </c>
      <c r="O15" s="197">
        <f t="shared" si="6"/>
        <v>954200</v>
      </c>
      <c r="P15" s="71">
        <f t="shared" si="6"/>
        <v>11450400</v>
      </c>
      <c r="Q15" s="19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R16" s="1"/>
      <c r="S16" s="1"/>
      <c r="T16" s="1"/>
      <c r="U16" s="1"/>
      <c r="V16" s="1"/>
      <c r="W16" s="1"/>
      <c r="X16" s="1"/>
      <c r="Y16" s="1"/>
      <c r="Z16" s="1"/>
    </row>
    <row r="17" spans="1:26" thickBot="1" x14ac:dyDescent="0.35"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B18" s="516" t="s">
        <v>98</v>
      </c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1"/>
      <c r="S18" s="1"/>
      <c r="T18" s="1"/>
      <c r="U18" s="1"/>
      <c r="V18" s="1"/>
      <c r="W18" s="1"/>
      <c r="X18" s="1"/>
      <c r="Y18" s="1"/>
      <c r="Z18" s="1"/>
    </row>
    <row r="19" spans="1:26" ht="18.600000000000001" thickBot="1" x14ac:dyDescent="0.35">
      <c r="A19" s="1"/>
      <c r="B19" s="517" t="s">
        <v>93</v>
      </c>
      <c r="C19" s="464"/>
      <c r="D19" s="196" t="s">
        <v>39</v>
      </c>
      <c r="E19" s="196" t="s">
        <v>40</v>
      </c>
      <c r="F19" s="196" t="s">
        <v>41</v>
      </c>
      <c r="G19" s="196" t="s">
        <v>42</v>
      </c>
      <c r="H19" s="196" t="s">
        <v>43</v>
      </c>
      <c r="I19" s="196" t="s">
        <v>44</v>
      </c>
      <c r="J19" s="196" t="s">
        <v>45</v>
      </c>
      <c r="K19" s="196" t="s">
        <v>46</v>
      </c>
      <c r="L19" s="196" t="s">
        <v>47</v>
      </c>
      <c r="M19" s="196" t="s">
        <v>48</v>
      </c>
      <c r="N19" s="196" t="s">
        <v>49</v>
      </c>
      <c r="O19" s="196" t="s">
        <v>50</v>
      </c>
      <c r="P19" s="196" t="s">
        <v>94</v>
      </c>
      <c r="Q19" s="196" t="s">
        <v>95</v>
      </c>
    </row>
    <row r="20" spans="1:26" ht="15.75" customHeight="1" thickBot="1" x14ac:dyDescent="0.35">
      <c r="A20" s="1"/>
      <c r="B20" s="198" t="s">
        <v>245</v>
      </c>
      <c r="C20" s="199" t="s">
        <v>162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7">
        <f t="shared" ref="P20" si="8">SUM(D20:O20)</f>
        <v>50400</v>
      </c>
      <c r="Q20" s="200"/>
    </row>
    <row r="21" spans="1:26" ht="15.75" customHeight="1" thickBot="1" x14ac:dyDescent="0.35">
      <c r="A21" s="1"/>
      <c r="B21" s="198" t="s">
        <v>246</v>
      </c>
      <c r="C21" s="199" t="s">
        <v>247</v>
      </c>
      <c r="D21" s="73">
        <f>$C$43</f>
        <v>70000</v>
      </c>
      <c r="E21" s="73">
        <f t="shared" ref="E21:O21" si="9">$C$43</f>
        <v>70000</v>
      </c>
      <c r="F21" s="73">
        <f t="shared" si="9"/>
        <v>70000</v>
      </c>
      <c r="G21" s="73">
        <f t="shared" si="9"/>
        <v>70000</v>
      </c>
      <c r="H21" s="73">
        <f t="shared" si="9"/>
        <v>70000</v>
      </c>
      <c r="I21" s="73">
        <f t="shared" si="9"/>
        <v>70000</v>
      </c>
      <c r="J21" s="73">
        <f t="shared" si="9"/>
        <v>70000</v>
      </c>
      <c r="K21" s="73">
        <f t="shared" si="9"/>
        <v>70000</v>
      </c>
      <c r="L21" s="73">
        <f t="shared" si="9"/>
        <v>70000</v>
      </c>
      <c r="M21" s="73">
        <f t="shared" si="9"/>
        <v>70000</v>
      </c>
      <c r="N21" s="73">
        <f t="shared" si="9"/>
        <v>70000</v>
      </c>
      <c r="O21" s="73">
        <f t="shared" si="9"/>
        <v>70000</v>
      </c>
      <c r="P21" s="197">
        <f>SUM(D21:O21)</f>
        <v>840000</v>
      </c>
      <c r="Q21" s="202"/>
    </row>
    <row r="22" spans="1:26" ht="15.75" customHeight="1" thickBot="1" x14ac:dyDescent="0.35">
      <c r="A22" s="1"/>
      <c r="B22" s="201" t="s">
        <v>236</v>
      </c>
      <c r="C22" s="199" t="s">
        <v>164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7">
        <f t="shared" ref="P22:P23" si="11">SUM(D22:O22)</f>
        <v>3600000</v>
      </c>
      <c r="Q22" s="202"/>
    </row>
    <row r="23" spans="1:26" ht="15.75" customHeight="1" thickBot="1" x14ac:dyDescent="0.35">
      <c r="A23" s="1"/>
      <c r="B23" s="201" t="s">
        <v>96</v>
      </c>
      <c r="C23" s="199" t="s">
        <v>163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7">
        <f t="shared" si="11"/>
        <v>2400000</v>
      </c>
      <c r="Q23" s="202"/>
    </row>
    <row r="24" spans="1:26" ht="15.75" customHeight="1" thickBot="1" x14ac:dyDescent="0.35">
      <c r="A24" s="1"/>
      <c r="B24" s="199"/>
      <c r="C24" s="203" t="s">
        <v>30</v>
      </c>
      <c r="D24" s="197">
        <f t="shared" ref="D24:P24" si="13">SUM(D20:D23)</f>
        <v>574200</v>
      </c>
      <c r="E24" s="197">
        <f t="shared" si="13"/>
        <v>574200</v>
      </c>
      <c r="F24" s="197">
        <f t="shared" si="13"/>
        <v>574200</v>
      </c>
      <c r="G24" s="197">
        <f t="shared" si="13"/>
        <v>574200</v>
      </c>
      <c r="H24" s="197">
        <f t="shared" si="13"/>
        <v>574200</v>
      </c>
      <c r="I24" s="197">
        <f t="shared" si="13"/>
        <v>574200</v>
      </c>
      <c r="J24" s="197">
        <f t="shared" si="13"/>
        <v>574200</v>
      </c>
      <c r="K24" s="197">
        <f t="shared" si="13"/>
        <v>574200</v>
      </c>
      <c r="L24" s="197">
        <f t="shared" si="13"/>
        <v>574200</v>
      </c>
      <c r="M24" s="197">
        <f t="shared" si="13"/>
        <v>574200</v>
      </c>
      <c r="N24" s="197">
        <f t="shared" si="13"/>
        <v>574200</v>
      </c>
      <c r="O24" s="197">
        <f t="shared" si="13"/>
        <v>574200</v>
      </c>
      <c r="P24" s="71">
        <f t="shared" si="13"/>
        <v>6890400</v>
      </c>
      <c r="Q24" s="199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6" ht="15.75" customHeight="1" thickBo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6" ht="30.75" customHeight="1" thickBot="1" x14ac:dyDescent="0.55000000000000004">
      <c r="A27" s="1"/>
      <c r="B27" s="516" t="s">
        <v>193</v>
      </c>
      <c r="C27" s="464"/>
      <c r="D27" s="464"/>
      <c r="E27" s="464"/>
      <c r="F27" s="464"/>
      <c r="G27" s="464"/>
      <c r="H27" s="464"/>
      <c r="I27" s="464"/>
      <c r="J27" s="464"/>
      <c r="K27" s="464"/>
      <c r="L27" s="464"/>
      <c r="M27" s="464"/>
      <c r="N27" s="464"/>
      <c r="O27" s="464"/>
      <c r="P27" s="464"/>
      <c r="Q27" s="464"/>
    </row>
    <row r="28" spans="1:26" ht="15.75" customHeight="1" thickBot="1" x14ac:dyDescent="0.35">
      <c r="A28" s="1"/>
      <c r="B28" s="517" t="s">
        <v>93</v>
      </c>
      <c r="C28" s="464"/>
      <c r="D28" s="196" t="s">
        <v>39</v>
      </c>
      <c r="E28" s="196" t="s">
        <v>40</v>
      </c>
      <c r="F28" s="196" t="s">
        <v>41</v>
      </c>
      <c r="G28" s="196" t="s">
        <v>42</v>
      </c>
      <c r="H28" s="196" t="s">
        <v>43</v>
      </c>
      <c r="I28" s="196" t="s">
        <v>44</v>
      </c>
      <c r="J28" s="196" t="s">
        <v>45</v>
      </c>
      <c r="K28" s="196" t="s">
        <v>46</v>
      </c>
      <c r="L28" s="196" t="s">
        <v>47</v>
      </c>
      <c r="M28" s="196" t="s">
        <v>48</v>
      </c>
      <c r="N28" s="196" t="s">
        <v>49</v>
      </c>
      <c r="O28" s="196" t="s">
        <v>50</v>
      </c>
      <c r="P28" s="196" t="s">
        <v>94</v>
      </c>
      <c r="Q28" s="196" t="s">
        <v>95</v>
      </c>
    </row>
    <row r="29" spans="1:26" ht="15.75" customHeight="1" thickBot="1" x14ac:dyDescent="0.35">
      <c r="A29" s="1"/>
      <c r="B29" s="198" t="s">
        <v>245</v>
      </c>
      <c r="C29" s="199" t="s">
        <v>162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7">
        <f t="shared" ref="P29" si="15">SUM(D29:O29)</f>
        <v>50400</v>
      </c>
      <c r="Q29" s="200"/>
    </row>
    <row r="30" spans="1:26" ht="21" customHeight="1" thickBot="1" x14ac:dyDescent="0.35">
      <c r="B30" s="198" t="s">
        <v>246</v>
      </c>
      <c r="C30" s="199" t="s">
        <v>247</v>
      </c>
      <c r="D30" s="73">
        <f>$C$44</f>
        <v>90000</v>
      </c>
      <c r="E30" s="73">
        <f t="shared" ref="E30:O30" si="16">$C$44</f>
        <v>90000</v>
      </c>
      <c r="F30" s="73">
        <f t="shared" si="16"/>
        <v>90000</v>
      </c>
      <c r="G30" s="73">
        <f t="shared" si="16"/>
        <v>90000</v>
      </c>
      <c r="H30" s="73">
        <f t="shared" si="16"/>
        <v>90000</v>
      </c>
      <c r="I30" s="73">
        <f t="shared" si="16"/>
        <v>90000</v>
      </c>
      <c r="J30" s="73">
        <f t="shared" si="16"/>
        <v>90000</v>
      </c>
      <c r="K30" s="73">
        <f t="shared" si="16"/>
        <v>90000</v>
      </c>
      <c r="L30" s="73">
        <f t="shared" si="16"/>
        <v>90000</v>
      </c>
      <c r="M30" s="73">
        <f t="shared" si="16"/>
        <v>90000</v>
      </c>
      <c r="N30" s="73">
        <f t="shared" si="16"/>
        <v>90000</v>
      </c>
      <c r="O30" s="73">
        <f t="shared" si="16"/>
        <v>90000</v>
      </c>
      <c r="P30" s="197">
        <f>SUM(D30:O30)</f>
        <v>1080000</v>
      </c>
      <c r="Q30" s="20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5">
      <c r="B31" s="201" t="s">
        <v>236</v>
      </c>
      <c r="C31" s="199" t="s">
        <v>164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7">
        <f t="shared" ref="P31:P32" si="18">SUM(D31:O31)</f>
        <v>3600000</v>
      </c>
      <c r="Q31" s="20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5">
      <c r="B32" s="201" t="s">
        <v>96</v>
      </c>
      <c r="C32" s="199" t="s">
        <v>163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7">
        <f t="shared" si="18"/>
        <v>2400000</v>
      </c>
      <c r="Q32" s="20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5">
      <c r="B33" s="199"/>
      <c r="C33" s="203" t="s">
        <v>30</v>
      </c>
      <c r="D33" s="197">
        <f t="shared" ref="D33:P33" si="20">SUM(D29:D32)</f>
        <v>594200</v>
      </c>
      <c r="E33" s="197">
        <f t="shared" si="20"/>
        <v>594200</v>
      </c>
      <c r="F33" s="197">
        <f t="shared" si="20"/>
        <v>594200</v>
      </c>
      <c r="G33" s="197">
        <f t="shared" si="20"/>
        <v>594200</v>
      </c>
      <c r="H33" s="197">
        <f t="shared" si="20"/>
        <v>594200</v>
      </c>
      <c r="I33" s="197">
        <f t="shared" si="20"/>
        <v>594200</v>
      </c>
      <c r="J33" s="197">
        <f t="shared" si="20"/>
        <v>594200</v>
      </c>
      <c r="K33" s="197">
        <f t="shared" si="20"/>
        <v>594200</v>
      </c>
      <c r="L33" s="197">
        <f t="shared" si="20"/>
        <v>594200</v>
      </c>
      <c r="M33" s="197">
        <f t="shared" si="20"/>
        <v>594200</v>
      </c>
      <c r="N33" s="197">
        <f t="shared" si="20"/>
        <v>594200</v>
      </c>
      <c r="O33" s="197">
        <f t="shared" si="20"/>
        <v>594200</v>
      </c>
      <c r="P33" s="71">
        <f t="shared" si="20"/>
        <v>7130400</v>
      </c>
      <c r="Q33" s="19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ht="15.75" customHeight="1" x14ac:dyDescent="0.3">
      <c r="B36" s="305" t="s">
        <v>214</v>
      </c>
      <c r="C36" s="305" t="s">
        <v>100</v>
      </c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B37" s="250" t="s">
        <v>250</v>
      </c>
      <c r="C37" s="251">
        <v>4200</v>
      </c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3">
      <c r="B38" s="250" t="s">
        <v>249</v>
      </c>
      <c r="C38" s="251">
        <v>500000</v>
      </c>
      <c r="H38" s="109"/>
      <c r="I38" s="109"/>
      <c r="J38" s="109"/>
      <c r="K38" s="109"/>
      <c r="L38" s="109"/>
      <c r="M38" s="109"/>
      <c r="N38" s="109"/>
      <c r="O38" s="109"/>
      <c r="P38" s="109"/>
    </row>
    <row r="39" spans="1:26" ht="15.75" customHeight="1" x14ac:dyDescent="0.3">
      <c r="B39" s="250" t="s">
        <v>248</v>
      </c>
      <c r="C39" s="251">
        <v>300000</v>
      </c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3">
      <c r="B40" s="250" t="s">
        <v>254</v>
      </c>
      <c r="C40" s="251">
        <f>400000</f>
        <v>400000</v>
      </c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3">
      <c r="B41" s="250" t="s">
        <v>96</v>
      </c>
      <c r="C41" s="251">
        <f>200000</f>
        <v>200000</v>
      </c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3">
      <c r="B42" s="250" t="s">
        <v>253</v>
      </c>
      <c r="C42" s="251">
        <v>50000</v>
      </c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3">
      <c r="B43" s="250" t="s">
        <v>251</v>
      </c>
      <c r="C43" s="251">
        <v>70000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B44" s="250" t="s">
        <v>252</v>
      </c>
      <c r="C44" s="251">
        <v>90000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3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8"/>
  <sheetViews>
    <sheetView zoomScale="70" zoomScaleNormal="70" workbookViewId="0">
      <pane ySplit="1" topLeftCell="A11" activePane="bottomLeft" state="frozen"/>
      <selection pane="bottomLeft" activeCell="D46" sqref="D46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5" customWidth="1"/>
    <col min="4" max="4" width="58.19921875" customWidth="1"/>
    <col min="5" max="5" width="25.59765625" customWidth="1"/>
    <col min="6" max="6" width="17" customWidth="1"/>
    <col min="7" max="7" width="22.3984375" customWidth="1"/>
    <col min="8" max="8" width="16.8984375" customWidth="1"/>
    <col min="9" max="9" width="18.09765625" customWidth="1"/>
    <col min="10" max="10" width="18.19921875" customWidth="1"/>
    <col min="11" max="11" width="19.8984375" customWidth="1"/>
    <col min="12" max="12" width="19" customWidth="1"/>
    <col min="13" max="13" width="20.8984375" customWidth="1"/>
    <col min="14" max="14" width="18" customWidth="1"/>
    <col min="15" max="15" width="18.3984375" customWidth="1"/>
    <col min="16" max="16" width="18.5" customWidth="1"/>
    <col min="17" max="17" width="20.69921875" customWidth="1"/>
    <col min="18" max="18" width="110" customWidth="1"/>
    <col min="19" max="27" width="10" customWidth="1"/>
  </cols>
  <sheetData>
    <row r="1" spans="1:27" ht="83.25" customHeight="1" x14ac:dyDescent="0.3">
      <c r="A1" s="191"/>
      <c r="B1" s="325"/>
      <c r="C1" s="191"/>
      <c r="D1" s="191"/>
      <c r="E1" s="191"/>
      <c r="F1" s="191"/>
      <c r="G1" s="192" t="s">
        <v>256</v>
      </c>
      <c r="H1" s="193"/>
      <c r="I1" s="193"/>
      <c r="J1" s="191"/>
      <c r="K1" s="191"/>
      <c r="L1" s="191"/>
      <c r="M1" s="191"/>
      <c r="N1" s="191"/>
      <c r="O1" s="191"/>
      <c r="P1" s="191"/>
      <c r="Q1" s="191"/>
      <c r="R1" s="191"/>
      <c r="S1" s="8"/>
      <c r="T1" s="8"/>
      <c r="U1" s="8"/>
      <c r="V1" s="8"/>
      <c r="W1" s="8"/>
      <c r="X1" s="8"/>
      <c r="Y1" s="8"/>
      <c r="Z1" s="8"/>
      <c r="AA1" s="8"/>
    </row>
    <row r="2" spans="1:27" thickBot="1" x14ac:dyDescent="0.35">
      <c r="A2" s="1"/>
      <c r="B2" s="10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4" thickBot="1" x14ac:dyDescent="0.55000000000000004">
      <c r="A3" s="1"/>
      <c r="B3" s="109"/>
      <c r="C3" s="1"/>
      <c r="D3" s="1"/>
      <c r="E3" s="518" t="s">
        <v>92</v>
      </c>
      <c r="F3" s="458"/>
      <c r="G3" s="43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4.4" x14ac:dyDescent="0.3">
      <c r="A4" s="1"/>
      <c r="B4" s="109"/>
      <c r="C4" s="1"/>
      <c r="D4" s="1"/>
      <c r="E4" s="194">
        <v>2022</v>
      </c>
      <c r="F4" s="172">
        <v>2023</v>
      </c>
      <c r="G4" s="19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thickBot="1" x14ac:dyDescent="0.35">
      <c r="A5" s="1"/>
      <c r="B5" s="109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ht="14.4" x14ac:dyDescent="0.3">
      <c r="A6" s="1"/>
      <c r="B6" s="109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ht="14.4" x14ac:dyDescent="0.3">
      <c r="A7" s="1"/>
      <c r="B7" s="10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thickBot="1" x14ac:dyDescent="0.35">
      <c r="A8" s="1"/>
      <c r="B8" s="10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6.4" thickBot="1" x14ac:dyDescent="0.55000000000000004">
      <c r="A9" s="1"/>
      <c r="B9" s="521" t="s">
        <v>97</v>
      </c>
      <c r="C9" s="522"/>
      <c r="D9" s="522"/>
      <c r="E9" s="522"/>
      <c r="F9" s="522"/>
      <c r="G9" s="522"/>
      <c r="H9" s="522"/>
      <c r="I9" s="522"/>
      <c r="J9" s="522"/>
      <c r="K9" s="522"/>
      <c r="L9" s="522"/>
      <c r="M9" s="522"/>
      <c r="N9" s="522"/>
      <c r="O9" s="522"/>
      <c r="P9" s="522"/>
      <c r="Q9" s="522"/>
      <c r="R9" s="523"/>
      <c r="S9" s="1"/>
      <c r="T9" s="1"/>
      <c r="U9" s="1"/>
      <c r="V9" s="1"/>
      <c r="W9" s="1"/>
      <c r="X9" s="1"/>
      <c r="Y9" s="1"/>
      <c r="Z9" s="1"/>
      <c r="AA9" s="1"/>
    </row>
    <row r="10" spans="1:27" ht="18.600000000000001" thickBot="1" x14ac:dyDescent="0.35">
      <c r="A10" s="1"/>
      <c r="B10" s="198" t="s">
        <v>52</v>
      </c>
      <c r="C10" s="527" t="s">
        <v>93</v>
      </c>
      <c r="D10" s="528"/>
      <c r="E10" s="326" t="s">
        <v>39</v>
      </c>
      <c r="F10" s="326" t="s">
        <v>40</v>
      </c>
      <c r="G10" s="326" t="s">
        <v>41</v>
      </c>
      <c r="H10" s="326" t="s">
        <v>42</v>
      </c>
      <c r="I10" s="326" t="s">
        <v>43</v>
      </c>
      <c r="J10" s="326" t="s">
        <v>44</v>
      </c>
      <c r="K10" s="326" t="s">
        <v>45</v>
      </c>
      <c r="L10" s="326" t="s">
        <v>46</v>
      </c>
      <c r="M10" s="326" t="s">
        <v>47</v>
      </c>
      <c r="N10" s="326" t="s">
        <v>48</v>
      </c>
      <c r="O10" s="326" t="s">
        <v>49</v>
      </c>
      <c r="P10" s="326" t="s">
        <v>50</v>
      </c>
      <c r="Q10" s="326" t="s">
        <v>94</v>
      </c>
      <c r="R10" s="326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5">
      <c r="A11" s="109"/>
      <c r="B11" s="330">
        <v>2</v>
      </c>
      <c r="C11" s="198" t="s">
        <v>194</v>
      </c>
      <c r="D11" s="199" t="s">
        <v>199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31">
        <f>$D$43 * 2</f>
        <v>120000</v>
      </c>
      <c r="L11" s="342">
        <f t="shared" ref="L11:P11" si="1">$D$43 * 2</f>
        <v>120000</v>
      </c>
      <c r="M11" s="342">
        <f t="shared" si="1"/>
        <v>120000</v>
      </c>
      <c r="N11" s="342">
        <f t="shared" si="1"/>
        <v>120000</v>
      </c>
      <c r="O11" s="342">
        <f t="shared" si="1"/>
        <v>120000</v>
      </c>
      <c r="P11" s="342">
        <f t="shared" si="1"/>
        <v>120000</v>
      </c>
      <c r="Q11" s="197">
        <f t="shared" ref="Q11:Q15" si="2">SUM(E11:P11)</f>
        <v>1080000</v>
      </c>
      <c r="R11" s="199" t="s">
        <v>272</v>
      </c>
      <c r="S11" s="109"/>
      <c r="T11" s="109"/>
      <c r="U11" s="109"/>
      <c r="V11" s="109"/>
      <c r="W11" s="109"/>
      <c r="X11" s="109"/>
      <c r="Y11" s="109"/>
      <c r="Z11" s="109"/>
      <c r="AA11" s="109"/>
    </row>
    <row r="12" spans="1:27" ht="17.25" customHeight="1" thickBot="1" x14ac:dyDescent="0.35">
      <c r="A12" s="109"/>
      <c r="B12" s="330">
        <v>2</v>
      </c>
      <c r="C12" s="198" t="s">
        <v>195</v>
      </c>
      <c r="D12" s="199" t="s">
        <v>200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31">
        <f>$D$44 * 2</f>
        <v>40000</v>
      </c>
      <c r="L12" s="332">
        <f t="shared" ref="L12:P12" si="4">$D$44 * 2</f>
        <v>40000</v>
      </c>
      <c r="M12" s="332">
        <f t="shared" si="4"/>
        <v>40000</v>
      </c>
      <c r="N12" s="332">
        <f t="shared" si="4"/>
        <v>40000</v>
      </c>
      <c r="O12" s="332">
        <f t="shared" si="4"/>
        <v>40000</v>
      </c>
      <c r="P12" s="332">
        <f t="shared" si="4"/>
        <v>40000</v>
      </c>
      <c r="Q12" s="197">
        <f t="shared" si="2"/>
        <v>360000</v>
      </c>
      <c r="R12" s="199" t="s">
        <v>271</v>
      </c>
      <c r="S12" s="109"/>
      <c r="T12" s="109"/>
      <c r="U12" s="109"/>
      <c r="V12" s="109"/>
      <c r="W12" s="109"/>
      <c r="X12" s="109"/>
      <c r="Y12" s="109"/>
      <c r="Z12" s="109"/>
      <c r="AA12" s="109"/>
    </row>
    <row r="13" spans="1:27" ht="15.75" customHeight="1" thickBot="1" x14ac:dyDescent="0.35">
      <c r="A13" s="109"/>
      <c r="B13" s="330">
        <v>2</v>
      </c>
      <c r="C13" s="198" t="s">
        <v>196</v>
      </c>
      <c r="D13" s="199" t="s">
        <v>201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31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7">
        <f t="shared" si="2"/>
        <v>630000</v>
      </c>
      <c r="R13" s="199" t="s">
        <v>270</v>
      </c>
      <c r="S13" s="109"/>
      <c r="T13" s="109"/>
      <c r="U13" s="109"/>
      <c r="V13" s="109"/>
      <c r="W13" s="109"/>
      <c r="X13" s="109"/>
      <c r="Y13" s="109"/>
      <c r="Z13" s="109"/>
      <c r="AA13" s="109"/>
    </row>
    <row r="14" spans="1:27" ht="15.75" customHeight="1" thickBot="1" x14ac:dyDescent="0.35">
      <c r="A14" s="109"/>
      <c r="B14" s="330">
        <v>1</v>
      </c>
      <c r="C14" s="198" t="s">
        <v>197</v>
      </c>
      <c r="D14" s="199" t="s">
        <v>202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7">
        <f t="shared" si="2"/>
        <v>180000</v>
      </c>
      <c r="R14" s="199" t="s">
        <v>273</v>
      </c>
      <c r="S14" s="109"/>
      <c r="T14" s="109"/>
      <c r="U14" s="109"/>
      <c r="V14" s="109"/>
      <c r="W14" s="109"/>
      <c r="X14" s="109"/>
      <c r="Y14" s="109"/>
      <c r="Z14" s="109"/>
      <c r="AA14" s="109"/>
    </row>
    <row r="15" spans="1:27" ht="15.75" customHeight="1" thickBot="1" x14ac:dyDescent="0.35">
      <c r="A15" s="109"/>
      <c r="B15" s="330">
        <v>2</v>
      </c>
      <c r="C15" s="198" t="s">
        <v>198</v>
      </c>
      <c r="D15" s="199" t="s">
        <v>203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31">
        <f>$D$47 * 2</f>
        <v>160000</v>
      </c>
      <c r="L15" s="332">
        <f t="shared" ref="L15:P15" si="9">$D$47 * 2</f>
        <v>160000</v>
      </c>
      <c r="M15" s="332">
        <f t="shared" si="9"/>
        <v>160000</v>
      </c>
      <c r="N15" s="332">
        <f t="shared" si="9"/>
        <v>160000</v>
      </c>
      <c r="O15" s="332">
        <f t="shared" si="9"/>
        <v>160000</v>
      </c>
      <c r="P15" s="332">
        <f t="shared" si="9"/>
        <v>160000</v>
      </c>
      <c r="Q15" s="197">
        <f t="shared" si="2"/>
        <v>1440000</v>
      </c>
      <c r="R15" s="199" t="s">
        <v>274</v>
      </c>
      <c r="S15" s="109"/>
      <c r="T15" s="109"/>
      <c r="U15" s="109"/>
      <c r="V15" s="109"/>
      <c r="W15" s="109"/>
      <c r="X15" s="109"/>
      <c r="Y15" s="109"/>
      <c r="Z15" s="109"/>
      <c r="AA15" s="109"/>
    </row>
    <row r="16" spans="1:27" ht="15.75" customHeight="1" thickBot="1" x14ac:dyDescent="0.35">
      <c r="A16" s="1"/>
      <c r="B16" s="109"/>
      <c r="C16" s="327"/>
      <c r="D16" s="203" t="s">
        <v>30</v>
      </c>
      <c r="E16" s="197">
        <f t="shared" ref="E16:Q16" si="10">SUM(E11:E15)</f>
        <v>210000</v>
      </c>
      <c r="F16" s="197">
        <f t="shared" si="10"/>
        <v>210000</v>
      </c>
      <c r="G16" s="197">
        <f t="shared" si="10"/>
        <v>210000</v>
      </c>
      <c r="H16" s="197">
        <f t="shared" si="10"/>
        <v>210000</v>
      </c>
      <c r="I16" s="197">
        <f t="shared" si="10"/>
        <v>210000</v>
      </c>
      <c r="J16" s="197">
        <f t="shared" si="10"/>
        <v>210000</v>
      </c>
      <c r="K16" s="197">
        <f t="shared" si="10"/>
        <v>405000</v>
      </c>
      <c r="L16" s="197">
        <f t="shared" si="10"/>
        <v>405000</v>
      </c>
      <c r="M16" s="197">
        <f t="shared" si="10"/>
        <v>405000</v>
      </c>
      <c r="N16" s="197">
        <f t="shared" si="10"/>
        <v>405000</v>
      </c>
      <c r="O16" s="197">
        <f t="shared" si="10"/>
        <v>405000</v>
      </c>
      <c r="P16" s="197">
        <f t="shared" si="10"/>
        <v>405000</v>
      </c>
      <c r="Q16" s="71">
        <f t="shared" si="10"/>
        <v>3690000</v>
      </c>
      <c r="R16" s="199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165"/>
      <c r="B17" s="165"/>
      <c r="C17" s="165"/>
      <c r="D17" s="165"/>
      <c r="E17" s="165"/>
      <c r="F17" s="165"/>
      <c r="G17" s="165"/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"/>
      <c r="T17" s="1"/>
      <c r="U17" s="1"/>
      <c r="V17" s="1"/>
      <c r="W17" s="1"/>
      <c r="X17" s="1"/>
      <c r="Y17" s="1"/>
      <c r="Z17" s="1"/>
      <c r="AA17" s="1"/>
    </row>
    <row r="18" spans="1:27" thickBot="1" x14ac:dyDescent="0.35">
      <c r="A18" s="165"/>
      <c r="B18" s="165"/>
      <c r="C18" s="16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"/>
      <c r="T18" s="1"/>
      <c r="U18" s="1"/>
      <c r="V18" s="1"/>
      <c r="W18" s="1"/>
      <c r="X18" s="1"/>
      <c r="Y18" s="1"/>
      <c r="Z18" s="1"/>
      <c r="AA18" s="1"/>
    </row>
    <row r="19" spans="1:27" ht="26.4" thickBot="1" x14ac:dyDescent="0.55000000000000004">
      <c r="A19" s="165"/>
      <c r="B19" s="524" t="s">
        <v>98</v>
      </c>
      <c r="C19" s="525"/>
      <c r="D19" s="525"/>
      <c r="E19" s="525"/>
      <c r="F19" s="525"/>
      <c r="G19" s="525"/>
      <c r="H19" s="525"/>
      <c r="I19" s="525"/>
      <c r="J19" s="525"/>
      <c r="K19" s="525"/>
      <c r="L19" s="525"/>
      <c r="M19" s="525"/>
      <c r="N19" s="525"/>
      <c r="O19" s="525"/>
      <c r="P19" s="525"/>
      <c r="Q19" s="525"/>
      <c r="R19" s="526"/>
      <c r="S19" s="1"/>
      <c r="T19" s="1"/>
      <c r="U19" s="1"/>
      <c r="V19" s="1"/>
      <c r="W19" s="1"/>
      <c r="X19" s="1"/>
      <c r="Y19" s="1"/>
      <c r="Z19" s="1"/>
      <c r="AA19" s="1"/>
    </row>
    <row r="20" spans="1:27" ht="18.600000000000001" thickBot="1" x14ac:dyDescent="0.35">
      <c r="A20" s="1"/>
      <c r="B20" s="198" t="s">
        <v>52</v>
      </c>
      <c r="C20" s="527" t="s">
        <v>93</v>
      </c>
      <c r="D20" s="528"/>
      <c r="E20" s="326" t="s">
        <v>39</v>
      </c>
      <c r="F20" s="326" t="s">
        <v>40</v>
      </c>
      <c r="G20" s="326" t="s">
        <v>41</v>
      </c>
      <c r="H20" s="326" t="s">
        <v>42</v>
      </c>
      <c r="I20" s="326" t="s">
        <v>43</v>
      </c>
      <c r="J20" s="326" t="s">
        <v>44</v>
      </c>
      <c r="K20" s="326" t="s">
        <v>45</v>
      </c>
      <c r="L20" s="326" t="s">
        <v>46</v>
      </c>
      <c r="M20" s="326" t="s">
        <v>47</v>
      </c>
      <c r="N20" s="326" t="s">
        <v>48</v>
      </c>
      <c r="O20" s="326" t="s">
        <v>49</v>
      </c>
      <c r="P20" s="326" t="s">
        <v>50</v>
      </c>
      <c r="Q20" s="326" t="s">
        <v>94</v>
      </c>
      <c r="R20" s="326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5">
      <c r="A21" s="1"/>
      <c r="B21" s="330">
        <v>4</v>
      </c>
      <c r="C21" s="198" t="s">
        <v>194</v>
      </c>
      <c r="D21" s="199" t="s">
        <v>199</v>
      </c>
      <c r="E21" s="331">
        <f>$D$43 * 3</f>
        <v>180000</v>
      </c>
      <c r="F21" s="332">
        <f t="shared" ref="F21:H21" si="11">$D$43 * 3</f>
        <v>180000</v>
      </c>
      <c r="G21" s="332">
        <f t="shared" si="11"/>
        <v>180000</v>
      </c>
      <c r="H21" s="332">
        <f t="shared" si="11"/>
        <v>180000</v>
      </c>
      <c r="I21" s="343">
        <f>$D$43 * 4</f>
        <v>240000</v>
      </c>
      <c r="J21" s="344">
        <f t="shared" ref="J21:P21" si="12">$D$43 * 4</f>
        <v>240000</v>
      </c>
      <c r="K21" s="344">
        <f t="shared" si="12"/>
        <v>240000</v>
      </c>
      <c r="L21" s="344">
        <f t="shared" si="12"/>
        <v>240000</v>
      </c>
      <c r="M21" s="344">
        <f t="shared" si="12"/>
        <v>240000</v>
      </c>
      <c r="N21" s="344">
        <f t="shared" si="12"/>
        <v>240000</v>
      </c>
      <c r="O21" s="344">
        <f t="shared" si="12"/>
        <v>240000</v>
      </c>
      <c r="P21" s="344">
        <f t="shared" si="12"/>
        <v>240000</v>
      </c>
      <c r="Q21" s="197">
        <f t="shared" ref="Q21:Q25" si="13">SUM(E21:P21)</f>
        <v>2640000</v>
      </c>
      <c r="R21" s="199" t="s">
        <v>272</v>
      </c>
      <c r="S21" s="165"/>
      <c r="T21" s="165"/>
      <c r="U21" s="165"/>
      <c r="V21" s="165"/>
    </row>
    <row r="22" spans="1:27" ht="15.75" customHeight="1" thickBot="1" x14ac:dyDescent="0.35">
      <c r="A22" s="1"/>
      <c r="B22" s="330">
        <v>4</v>
      </c>
      <c r="C22" s="198" t="s">
        <v>195</v>
      </c>
      <c r="D22" s="199" t="s">
        <v>200</v>
      </c>
      <c r="E22" s="331">
        <f>$D$44 * 3</f>
        <v>60000</v>
      </c>
      <c r="F22" s="332">
        <f t="shared" ref="F22:H22" si="14">$D$44 * 3</f>
        <v>60000</v>
      </c>
      <c r="G22" s="332">
        <f t="shared" si="14"/>
        <v>60000</v>
      </c>
      <c r="H22" s="332">
        <f t="shared" si="14"/>
        <v>60000</v>
      </c>
      <c r="I22" s="331">
        <f>$D$44 * 4</f>
        <v>80000</v>
      </c>
      <c r="J22" s="332">
        <f t="shared" ref="J22:K22" si="15">$D$44 * 4</f>
        <v>80000</v>
      </c>
      <c r="K22" s="332">
        <f t="shared" si="15"/>
        <v>80000</v>
      </c>
      <c r="L22" s="332">
        <f>$D$44 * 4</f>
        <v>80000</v>
      </c>
      <c r="M22" s="332">
        <f t="shared" ref="M22:P22" si="16">$D$44 * 4</f>
        <v>80000</v>
      </c>
      <c r="N22" s="332">
        <f t="shared" si="16"/>
        <v>80000</v>
      </c>
      <c r="O22" s="332">
        <f t="shared" si="16"/>
        <v>80000</v>
      </c>
      <c r="P22" s="332">
        <f t="shared" si="16"/>
        <v>80000</v>
      </c>
      <c r="Q22" s="197">
        <f t="shared" si="13"/>
        <v>880000</v>
      </c>
      <c r="R22" s="199" t="s">
        <v>271</v>
      </c>
      <c r="S22" s="165"/>
      <c r="T22" s="165"/>
      <c r="U22" s="165"/>
      <c r="V22" s="165"/>
    </row>
    <row r="23" spans="1:27" ht="15.75" customHeight="1" thickBot="1" x14ac:dyDescent="0.35">
      <c r="A23" s="1"/>
      <c r="B23" s="330">
        <v>4</v>
      </c>
      <c r="C23" s="198" t="s">
        <v>196</v>
      </c>
      <c r="D23" s="199" t="s">
        <v>201</v>
      </c>
      <c r="E23" s="331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31">
        <f>$D$45 * 4</f>
        <v>140000</v>
      </c>
      <c r="J23" s="341">
        <f t="shared" ref="J23:P23" si="18">$D$45 * 4</f>
        <v>140000</v>
      </c>
      <c r="K23" s="341">
        <f t="shared" si="18"/>
        <v>140000</v>
      </c>
      <c r="L23" s="341">
        <f t="shared" si="18"/>
        <v>140000</v>
      </c>
      <c r="M23" s="341">
        <f t="shared" si="18"/>
        <v>140000</v>
      </c>
      <c r="N23" s="341">
        <f t="shared" si="18"/>
        <v>140000</v>
      </c>
      <c r="O23" s="341">
        <f t="shared" si="18"/>
        <v>140000</v>
      </c>
      <c r="P23" s="341">
        <f t="shared" si="18"/>
        <v>140000</v>
      </c>
      <c r="Q23" s="197">
        <f t="shared" si="13"/>
        <v>1540000</v>
      </c>
      <c r="R23" s="199" t="s">
        <v>270</v>
      </c>
      <c r="S23" s="165"/>
      <c r="T23" s="165"/>
      <c r="U23" s="165"/>
      <c r="V23" s="165"/>
    </row>
    <row r="24" spans="1:27" ht="15.75" customHeight="1" thickBot="1" x14ac:dyDescent="0.35">
      <c r="A24" s="165"/>
      <c r="B24" s="329">
        <v>2</v>
      </c>
      <c r="C24" s="198" t="s">
        <v>197</v>
      </c>
      <c r="D24" s="199" t="s">
        <v>202</v>
      </c>
      <c r="E24" s="331">
        <f>$D$46 * 2</f>
        <v>30000</v>
      </c>
      <c r="F24" s="342">
        <f t="shared" ref="F24:I24" si="19">$D$46 * 2</f>
        <v>30000</v>
      </c>
      <c r="G24" s="342">
        <f t="shared" si="19"/>
        <v>30000</v>
      </c>
      <c r="H24" s="342">
        <f t="shared" si="19"/>
        <v>30000</v>
      </c>
      <c r="I24" s="342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7">
        <f t="shared" si="13"/>
        <v>360000</v>
      </c>
      <c r="R24" s="199" t="s">
        <v>273</v>
      </c>
      <c r="S24" s="165"/>
      <c r="T24" s="165"/>
      <c r="U24" s="165"/>
      <c r="V24" s="165"/>
    </row>
    <row r="25" spans="1:27" ht="15.75" customHeight="1" thickBot="1" x14ac:dyDescent="0.35">
      <c r="A25" s="165"/>
      <c r="B25" s="329">
        <v>4</v>
      </c>
      <c r="C25" s="198" t="s">
        <v>198</v>
      </c>
      <c r="D25" s="199" t="s">
        <v>203</v>
      </c>
      <c r="E25" s="331">
        <f>$D$47 * 3</f>
        <v>240000</v>
      </c>
      <c r="F25" s="332">
        <f t="shared" ref="F25:H25" si="21">$D$47 * 3</f>
        <v>240000</v>
      </c>
      <c r="G25" s="332">
        <f t="shared" si="21"/>
        <v>240000</v>
      </c>
      <c r="H25" s="332">
        <f t="shared" si="21"/>
        <v>240000</v>
      </c>
      <c r="I25" s="331">
        <f>$D$47 * 4</f>
        <v>320000</v>
      </c>
      <c r="J25" s="332">
        <f t="shared" ref="J25:K25" si="22">$D$47 * 4</f>
        <v>320000</v>
      </c>
      <c r="K25" s="332">
        <f t="shared" si="22"/>
        <v>320000</v>
      </c>
      <c r="L25" s="332">
        <f>$D$47 * 4</f>
        <v>320000</v>
      </c>
      <c r="M25" s="332">
        <f t="shared" ref="M25:P25" si="23">$D$47 * 4</f>
        <v>320000</v>
      </c>
      <c r="N25" s="332">
        <f t="shared" si="23"/>
        <v>320000</v>
      </c>
      <c r="O25" s="332">
        <f t="shared" si="23"/>
        <v>320000</v>
      </c>
      <c r="P25" s="332">
        <f t="shared" si="23"/>
        <v>320000</v>
      </c>
      <c r="Q25" s="197">
        <f t="shared" si="13"/>
        <v>3520000</v>
      </c>
      <c r="R25" s="199" t="s">
        <v>274</v>
      </c>
      <c r="S25" s="165"/>
      <c r="T25" s="165"/>
      <c r="U25" s="165"/>
      <c r="V25" s="165"/>
    </row>
    <row r="26" spans="1:27" thickBot="1" x14ac:dyDescent="0.35">
      <c r="A26" s="1"/>
      <c r="B26" s="109"/>
      <c r="C26" s="328"/>
      <c r="D26" s="203" t="s">
        <v>30</v>
      </c>
      <c r="E26" s="197">
        <f t="shared" ref="E26:Q26" si="24">SUM(E21:E25)</f>
        <v>615000</v>
      </c>
      <c r="F26" s="197">
        <f t="shared" si="24"/>
        <v>615000</v>
      </c>
      <c r="G26" s="197">
        <f t="shared" si="24"/>
        <v>615000</v>
      </c>
      <c r="H26" s="197">
        <f t="shared" si="24"/>
        <v>615000</v>
      </c>
      <c r="I26" s="197">
        <f>SUM(I21:I25)</f>
        <v>810000</v>
      </c>
      <c r="J26" s="197">
        <f t="shared" si="24"/>
        <v>810000</v>
      </c>
      <c r="K26" s="197">
        <f t="shared" si="24"/>
        <v>810000</v>
      </c>
      <c r="L26" s="197">
        <f t="shared" si="24"/>
        <v>810000</v>
      </c>
      <c r="M26" s="197">
        <f t="shared" si="24"/>
        <v>810000</v>
      </c>
      <c r="N26" s="197">
        <f t="shared" si="24"/>
        <v>810000</v>
      </c>
      <c r="O26" s="197">
        <f t="shared" si="24"/>
        <v>810000</v>
      </c>
      <c r="P26" s="197">
        <f t="shared" si="24"/>
        <v>810000</v>
      </c>
      <c r="Q26" s="71">
        <f t="shared" si="24"/>
        <v>8940000</v>
      </c>
      <c r="R26" s="199"/>
      <c r="S26" s="165"/>
      <c r="T26" s="165"/>
      <c r="U26" s="165"/>
      <c r="V26" s="165"/>
    </row>
    <row r="27" spans="1:27" ht="15.75" customHeight="1" x14ac:dyDescent="0.3">
      <c r="A27" s="1"/>
      <c r="B27" s="109"/>
      <c r="C27" s="1"/>
      <c r="D27" s="1"/>
      <c r="E27" s="1"/>
      <c r="F27" s="1"/>
      <c r="G27" s="1"/>
      <c r="H27" s="1"/>
      <c r="I27" s="1"/>
      <c r="J27" s="1"/>
      <c r="K27" s="1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</row>
    <row r="28" spans="1:27" ht="15.75" customHeight="1" thickBot="1" x14ac:dyDescent="0.35">
      <c r="A28" s="1"/>
      <c r="B28" s="109"/>
      <c r="C28" s="1"/>
      <c r="D28" s="1"/>
      <c r="E28" s="1"/>
      <c r="F28" s="1"/>
      <c r="G28" s="1"/>
      <c r="H28" s="1"/>
      <c r="I28" s="1"/>
      <c r="J28" s="1"/>
      <c r="K28" s="1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</row>
    <row r="29" spans="1:27" ht="30.75" customHeight="1" thickBot="1" x14ac:dyDescent="0.55000000000000004">
      <c r="A29" s="1"/>
      <c r="B29" s="521" t="s">
        <v>193</v>
      </c>
      <c r="C29" s="522"/>
      <c r="D29" s="522"/>
      <c r="E29" s="522"/>
      <c r="F29" s="522"/>
      <c r="G29" s="522"/>
      <c r="H29" s="522"/>
      <c r="I29" s="522"/>
      <c r="J29" s="522"/>
      <c r="K29" s="522"/>
      <c r="L29" s="522"/>
      <c r="M29" s="522"/>
      <c r="N29" s="522"/>
      <c r="O29" s="522"/>
      <c r="P29" s="522"/>
      <c r="Q29" s="522"/>
      <c r="R29" s="523"/>
      <c r="S29" s="165"/>
      <c r="T29" s="165"/>
      <c r="U29" s="165"/>
      <c r="V29" s="165"/>
    </row>
    <row r="30" spans="1:27" ht="15.75" customHeight="1" thickBot="1" x14ac:dyDescent="0.35">
      <c r="A30" s="1"/>
      <c r="B30" s="198" t="s">
        <v>52</v>
      </c>
      <c r="C30" s="527" t="s">
        <v>93</v>
      </c>
      <c r="D30" s="528"/>
      <c r="E30" s="326" t="s">
        <v>39</v>
      </c>
      <c r="F30" s="326" t="s">
        <v>40</v>
      </c>
      <c r="G30" s="326" t="s">
        <v>41</v>
      </c>
      <c r="H30" s="326" t="s">
        <v>42</v>
      </c>
      <c r="I30" s="326" t="s">
        <v>43</v>
      </c>
      <c r="J30" s="326" t="s">
        <v>44</v>
      </c>
      <c r="K30" s="326" t="s">
        <v>45</v>
      </c>
      <c r="L30" s="326" t="s">
        <v>46</v>
      </c>
      <c r="M30" s="326" t="s">
        <v>47</v>
      </c>
      <c r="N30" s="326" t="s">
        <v>48</v>
      </c>
      <c r="O30" s="326" t="s">
        <v>49</v>
      </c>
      <c r="P30" s="326" t="s">
        <v>50</v>
      </c>
      <c r="Q30" s="326" t="s">
        <v>94</v>
      </c>
      <c r="R30" s="326" t="s">
        <v>95</v>
      </c>
      <c r="S30" s="165"/>
      <c r="T30" s="165"/>
      <c r="U30" s="165"/>
      <c r="V30" s="165"/>
    </row>
    <row r="31" spans="1:27" ht="15.75" customHeight="1" thickBot="1" x14ac:dyDescent="0.35">
      <c r="A31" s="165"/>
      <c r="B31" s="329">
        <v>6</v>
      </c>
      <c r="C31" s="198" t="s">
        <v>194</v>
      </c>
      <c r="D31" s="199" t="s">
        <v>199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31">
        <f>$D$43 * 5</f>
        <v>300000</v>
      </c>
      <c r="J31" s="342">
        <f t="shared" ref="J31:N31" si="26">$D$43 * 5</f>
        <v>300000</v>
      </c>
      <c r="K31" s="342">
        <f t="shared" si="26"/>
        <v>300000</v>
      </c>
      <c r="L31" s="342">
        <f t="shared" si="26"/>
        <v>300000</v>
      </c>
      <c r="M31" s="342">
        <f t="shared" si="26"/>
        <v>300000</v>
      </c>
      <c r="N31" s="342">
        <f t="shared" si="26"/>
        <v>300000</v>
      </c>
      <c r="O31" s="331">
        <f>$D$43 * 6</f>
        <v>360000</v>
      </c>
      <c r="P31" s="342">
        <f>$D$43 * 6</f>
        <v>360000</v>
      </c>
      <c r="Q31" s="197">
        <f t="shared" ref="Q31:Q35" si="27">SUM(E31:P31)</f>
        <v>3480000</v>
      </c>
      <c r="R31" s="199" t="s">
        <v>272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5">
      <c r="A32" s="165"/>
      <c r="B32" s="329">
        <v>6</v>
      </c>
      <c r="C32" s="198" t="s">
        <v>195</v>
      </c>
      <c r="D32" s="199" t="s">
        <v>200</v>
      </c>
      <c r="E32" s="332">
        <f>$D$44 * 4</f>
        <v>80000</v>
      </c>
      <c r="F32" s="332">
        <f t="shared" ref="F32:H32" si="28">$D$44 * 4</f>
        <v>80000</v>
      </c>
      <c r="G32" s="332">
        <f t="shared" si="28"/>
        <v>80000</v>
      </c>
      <c r="H32" s="332">
        <f t="shared" si="28"/>
        <v>80000</v>
      </c>
      <c r="I32" s="331">
        <f>$D$44 * 5</f>
        <v>100000</v>
      </c>
      <c r="J32" s="332">
        <f t="shared" ref="J32:N32" si="29">$D$44 * 5</f>
        <v>100000</v>
      </c>
      <c r="K32" s="332">
        <f t="shared" si="29"/>
        <v>100000</v>
      </c>
      <c r="L32" s="332">
        <f t="shared" si="29"/>
        <v>100000</v>
      </c>
      <c r="M32" s="332">
        <f t="shared" si="29"/>
        <v>100000</v>
      </c>
      <c r="N32" s="332">
        <f t="shared" si="29"/>
        <v>100000</v>
      </c>
      <c r="O32" s="331">
        <f>$D$44 * 6</f>
        <v>120000</v>
      </c>
      <c r="P32" s="332">
        <f>$D$44 * 6</f>
        <v>120000</v>
      </c>
      <c r="Q32" s="197">
        <f t="shared" si="27"/>
        <v>1160000</v>
      </c>
      <c r="R32" s="199" t="s">
        <v>271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5">
      <c r="A33" s="165"/>
      <c r="B33" s="329">
        <v>6</v>
      </c>
      <c r="C33" s="198" t="s">
        <v>196</v>
      </c>
      <c r="D33" s="199" t="s">
        <v>201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31">
        <f>$D$45 * 5</f>
        <v>175000</v>
      </c>
      <c r="J33" s="342">
        <f t="shared" ref="J33:P33" si="31">$D$45 * 5</f>
        <v>175000</v>
      </c>
      <c r="K33" s="342">
        <f t="shared" si="31"/>
        <v>175000</v>
      </c>
      <c r="L33" s="342">
        <f t="shared" si="31"/>
        <v>175000</v>
      </c>
      <c r="M33" s="342">
        <f t="shared" si="31"/>
        <v>175000</v>
      </c>
      <c r="N33" s="342">
        <f t="shared" si="31"/>
        <v>175000</v>
      </c>
      <c r="O33" s="331">
        <f>$D$45 * 6</f>
        <v>210000</v>
      </c>
      <c r="P33" s="342">
        <f t="shared" si="31"/>
        <v>175000</v>
      </c>
      <c r="Q33" s="197">
        <f t="shared" si="27"/>
        <v>1995000</v>
      </c>
      <c r="R33" s="199" t="s">
        <v>270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5">
      <c r="A34" s="165"/>
      <c r="B34" s="329">
        <v>3</v>
      </c>
      <c r="C34" s="198" t="s">
        <v>197</v>
      </c>
      <c r="D34" s="199" t="s">
        <v>202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31">
        <f>$D$46 * 3</f>
        <v>45000</v>
      </c>
      <c r="J34" s="342">
        <f t="shared" ref="J34:P34" si="33">$D$46 * 3</f>
        <v>45000</v>
      </c>
      <c r="K34" s="342">
        <f t="shared" si="33"/>
        <v>45000</v>
      </c>
      <c r="L34" s="342">
        <f t="shared" si="33"/>
        <v>45000</v>
      </c>
      <c r="M34" s="342">
        <f t="shared" si="33"/>
        <v>45000</v>
      </c>
      <c r="N34" s="342">
        <f t="shared" si="33"/>
        <v>45000</v>
      </c>
      <c r="O34" s="342">
        <f t="shared" si="33"/>
        <v>45000</v>
      </c>
      <c r="P34" s="342">
        <f t="shared" si="33"/>
        <v>45000</v>
      </c>
      <c r="Q34" s="197">
        <f t="shared" si="27"/>
        <v>480000</v>
      </c>
      <c r="R34" s="199" t="s">
        <v>273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5">
      <c r="A35" s="165"/>
      <c r="B35" s="329">
        <v>6</v>
      </c>
      <c r="C35" s="198" t="s">
        <v>198</v>
      </c>
      <c r="D35" s="199" t="s">
        <v>203</v>
      </c>
      <c r="E35" s="332">
        <f>$D$47 *4</f>
        <v>320000</v>
      </c>
      <c r="F35" s="332">
        <f t="shared" ref="F35:H35" si="34">$D$47 *4</f>
        <v>320000</v>
      </c>
      <c r="G35" s="332">
        <f t="shared" si="34"/>
        <v>320000</v>
      </c>
      <c r="H35" s="332">
        <f t="shared" si="34"/>
        <v>320000</v>
      </c>
      <c r="I35" s="331">
        <f>$D$47 *5</f>
        <v>400000</v>
      </c>
      <c r="J35" s="332">
        <f t="shared" ref="J35:N35" si="35">$D$47 *5</f>
        <v>400000</v>
      </c>
      <c r="K35" s="332">
        <f t="shared" si="35"/>
        <v>400000</v>
      </c>
      <c r="L35" s="332">
        <f t="shared" si="35"/>
        <v>400000</v>
      </c>
      <c r="M35" s="332">
        <f t="shared" si="35"/>
        <v>400000</v>
      </c>
      <c r="N35" s="332">
        <f t="shared" si="35"/>
        <v>400000</v>
      </c>
      <c r="O35" s="331">
        <f>$D$47 *6</f>
        <v>480000</v>
      </c>
      <c r="P35" s="332">
        <f>$D$47 *6</f>
        <v>480000</v>
      </c>
      <c r="Q35" s="197">
        <f t="shared" si="27"/>
        <v>4640000</v>
      </c>
      <c r="R35" s="199" t="s">
        <v>274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5">
      <c r="A36" s="165"/>
      <c r="B36" s="165"/>
      <c r="C36" s="355"/>
      <c r="D36" s="203" t="s">
        <v>30</v>
      </c>
      <c r="E36" s="197">
        <f t="shared" ref="E36:Q36" si="36">SUM(E31:E35)</f>
        <v>810000</v>
      </c>
      <c r="F36" s="197">
        <f t="shared" si="36"/>
        <v>810000</v>
      </c>
      <c r="G36" s="197">
        <f t="shared" si="36"/>
        <v>810000</v>
      </c>
      <c r="H36" s="197">
        <f t="shared" si="36"/>
        <v>810000</v>
      </c>
      <c r="I36" s="197">
        <f t="shared" si="36"/>
        <v>1020000</v>
      </c>
      <c r="J36" s="197">
        <f t="shared" si="36"/>
        <v>1020000</v>
      </c>
      <c r="K36" s="197">
        <f t="shared" si="36"/>
        <v>1020000</v>
      </c>
      <c r="L36" s="197">
        <f t="shared" si="36"/>
        <v>1020000</v>
      </c>
      <c r="M36" s="197">
        <f t="shared" si="36"/>
        <v>1020000</v>
      </c>
      <c r="N36" s="197">
        <f t="shared" si="36"/>
        <v>1020000</v>
      </c>
      <c r="O36" s="197">
        <f t="shared" si="36"/>
        <v>1215000</v>
      </c>
      <c r="P36" s="197">
        <f t="shared" si="36"/>
        <v>1180000</v>
      </c>
      <c r="Q36" s="71">
        <f t="shared" si="36"/>
        <v>11755000</v>
      </c>
      <c r="R36" s="199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3">
      <c r="A37" s="165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3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09"/>
      <c r="T38" s="109"/>
      <c r="U38" s="109"/>
      <c r="V38" s="109"/>
      <c r="W38" s="109"/>
      <c r="X38" s="109"/>
      <c r="Y38" s="109"/>
      <c r="Z38" s="109"/>
      <c r="AA38" s="109"/>
    </row>
    <row r="39" spans="1:27" ht="15.75" customHeight="1" x14ac:dyDescent="0.3">
      <c r="A39" s="165"/>
      <c r="B39" s="165"/>
      <c r="C39" s="305" t="s">
        <v>214</v>
      </c>
      <c r="D39" s="305" t="s">
        <v>100</v>
      </c>
      <c r="E39" s="529" t="s">
        <v>215</v>
      </c>
      <c r="F39" s="529"/>
      <c r="G39" s="529"/>
      <c r="H39" s="529"/>
      <c r="I39" s="529"/>
      <c r="J39" s="165"/>
      <c r="K39" s="165"/>
      <c r="L39" s="165"/>
      <c r="M39" s="165"/>
      <c r="N39" s="165"/>
      <c r="O39" s="165"/>
      <c r="P39" s="165"/>
      <c r="Q39" s="165"/>
      <c r="R39" s="165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3">
      <c r="A40" s="165"/>
      <c r="B40" s="165"/>
      <c r="C40" s="250" t="s">
        <v>233</v>
      </c>
      <c r="D40" s="356">
        <v>5000</v>
      </c>
      <c r="E40" s="520" t="s">
        <v>212</v>
      </c>
      <c r="F40" s="520"/>
      <c r="G40" s="520"/>
      <c r="H40" s="520"/>
      <c r="I40" s="520"/>
      <c r="J40" s="165"/>
      <c r="K40" s="165"/>
      <c r="L40" s="165"/>
      <c r="M40" s="165"/>
      <c r="N40" s="165"/>
      <c r="O40" s="165"/>
      <c r="P40" s="165"/>
      <c r="Q40" s="165"/>
      <c r="R40" s="165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3">
      <c r="A41" s="165"/>
      <c r="B41" s="165"/>
      <c r="C41" s="250" t="s">
        <v>234</v>
      </c>
      <c r="D41" s="357">
        <v>9</v>
      </c>
      <c r="E41" s="520"/>
      <c r="F41" s="520"/>
      <c r="G41" s="520"/>
      <c r="H41" s="520"/>
      <c r="I41" s="520"/>
      <c r="J41" s="165"/>
      <c r="K41" s="165"/>
      <c r="L41" s="165"/>
      <c r="M41" s="165"/>
      <c r="N41" s="165"/>
      <c r="O41" s="165"/>
      <c r="P41" s="165"/>
      <c r="Q41" s="165"/>
      <c r="R41" s="165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3">
      <c r="A42" s="165"/>
      <c r="B42" s="165"/>
      <c r="C42" s="250" t="s">
        <v>235</v>
      </c>
      <c r="D42" s="357">
        <v>3</v>
      </c>
      <c r="E42" s="520"/>
      <c r="F42" s="520"/>
      <c r="G42" s="520"/>
      <c r="H42" s="520"/>
      <c r="I42" s="520"/>
      <c r="J42" s="165"/>
      <c r="K42" s="165"/>
      <c r="L42" s="165"/>
      <c r="M42" s="165"/>
      <c r="N42" s="165"/>
      <c r="O42" s="165"/>
      <c r="P42" s="165"/>
      <c r="Q42" s="165"/>
      <c r="R42" s="165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3">
      <c r="A43" s="165"/>
      <c r="B43" s="165"/>
      <c r="C43" s="250" t="s">
        <v>207</v>
      </c>
      <c r="D43" s="356">
        <f>(D41+D42)*D40</f>
        <v>60000</v>
      </c>
      <c r="E43" s="520"/>
      <c r="F43" s="520"/>
      <c r="G43" s="520"/>
      <c r="H43" s="520"/>
      <c r="I43" s="520"/>
      <c r="J43" s="165"/>
      <c r="K43" s="165"/>
      <c r="L43" s="165"/>
      <c r="M43" s="165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3">
      <c r="A44" s="165"/>
      <c r="B44" s="165"/>
      <c r="C44" s="250" t="s">
        <v>208</v>
      </c>
      <c r="D44" s="356">
        <v>20000</v>
      </c>
      <c r="E44" s="520" t="s">
        <v>213</v>
      </c>
      <c r="F44" s="520"/>
      <c r="G44" s="520"/>
      <c r="H44" s="520"/>
      <c r="I44" s="520"/>
      <c r="J44" s="165"/>
      <c r="K44" s="165"/>
      <c r="L44" s="165"/>
      <c r="M44" s="165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3">
      <c r="A45" s="165"/>
      <c r="B45" s="165"/>
      <c r="C45" s="250" t="s">
        <v>209</v>
      </c>
      <c r="D45" s="356">
        <v>35000</v>
      </c>
      <c r="E45" s="519" t="s">
        <v>218</v>
      </c>
      <c r="F45" s="519"/>
      <c r="G45" s="519"/>
      <c r="H45" s="519"/>
      <c r="I45" s="519"/>
      <c r="J45" s="165"/>
      <c r="K45" s="165"/>
      <c r="L45" s="165"/>
      <c r="M45" s="165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3">
      <c r="A46" s="165"/>
      <c r="B46" s="165"/>
      <c r="C46" s="250" t="s">
        <v>210</v>
      </c>
      <c r="D46" s="356">
        <v>15000</v>
      </c>
      <c r="E46" s="520" t="s">
        <v>213</v>
      </c>
      <c r="F46" s="520"/>
      <c r="G46" s="520"/>
      <c r="H46" s="520"/>
      <c r="I46" s="520"/>
      <c r="J46" s="165"/>
      <c r="K46" s="165"/>
      <c r="L46" s="165"/>
      <c r="M46" s="165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3">
      <c r="A47" s="165"/>
      <c r="B47" s="165"/>
      <c r="C47" s="250" t="s">
        <v>211</v>
      </c>
      <c r="D47" s="356">
        <v>80000</v>
      </c>
      <c r="E47" s="520"/>
      <c r="F47" s="520"/>
      <c r="G47" s="520"/>
      <c r="H47" s="520"/>
      <c r="I47" s="520"/>
      <c r="J47" s="165"/>
      <c r="K47" s="165"/>
      <c r="L47" s="165"/>
      <c r="M47" s="165"/>
      <c r="N47" s="165"/>
      <c r="O47" s="165"/>
      <c r="P47" s="165"/>
      <c r="Q47" s="165"/>
      <c r="R47" s="165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3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3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3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3">
      <c r="A51" s="1"/>
      <c r="B51" s="10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3">
      <c r="A52" s="1"/>
      <c r="B52" s="10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3">
      <c r="A53" s="1"/>
      <c r="B53" s="10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3">
      <c r="A54" s="1"/>
      <c r="B54" s="10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3">
      <c r="A55" s="1"/>
      <c r="B55" s="10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3">
      <c r="A56" s="1"/>
      <c r="B56" s="10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3">
      <c r="A57" s="1"/>
      <c r="B57" s="10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3">
      <c r="A58" s="1"/>
      <c r="B58" s="10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3">
      <c r="A59" s="1"/>
      <c r="B59" s="10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3">
      <c r="A60" s="1"/>
      <c r="B60" s="10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3">
      <c r="A61" s="1"/>
      <c r="B61" s="10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3">
      <c r="A62" s="1"/>
      <c r="B62" s="10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3">
      <c r="A63" s="1"/>
      <c r="B63" s="10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3">
      <c r="A64" s="1"/>
      <c r="B64" s="10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3">
      <c r="A65" s="1"/>
      <c r="B65" s="10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3">
      <c r="A66" s="1"/>
      <c r="B66" s="10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3">
      <c r="A67" s="1"/>
      <c r="B67" s="10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3">
      <c r="A68" s="1"/>
      <c r="B68" s="10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3">
      <c r="A69" s="1"/>
      <c r="B69" s="10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3">
      <c r="A70" s="1"/>
      <c r="B70" s="10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3">
      <c r="A71" s="1"/>
      <c r="B71" s="10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3">
      <c r="A72" s="1"/>
      <c r="B72" s="10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3">
      <c r="A73" s="1"/>
      <c r="B73" s="10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3">
      <c r="A74" s="1"/>
      <c r="B74" s="10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3">
      <c r="A75" s="1"/>
      <c r="B75" s="10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3">
      <c r="A76" s="1"/>
      <c r="B76" s="10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3">
      <c r="A77" s="1"/>
      <c r="B77" s="10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3">
      <c r="A78" s="1"/>
      <c r="B78" s="10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3">
      <c r="A79" s="1"/>
      <c r="B79" s="10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3">
      <c r="A80" s="1"/>
      <c r="B80" s="10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3">
      <c r="A81" s="1"/>
      <c r="B81" s="10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3">
      <c r="A82" s="1"/>
      <c r="B82" s="10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3">
      <c r="A83" s="1"/>
      <c r="B83" s="10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3">
      <c r="A84" s="1"/>
      <c r="B84" s="10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3">
      <c r="A85" s="1"/>
      <c r="B85" s="10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3">
      <c r="A86" s="1"/>
      <c r="B86" s="10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3">
      <c r="A87" s="1"/>
      <c r="B87" s="10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3">
      <c r="A88" s="1"/>
      <c r="B88" s="10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3">
      <c r="A89" s="1"/>
      <c r="B89" s="10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3">
      <c r="A90" s="1"/>
      <c r="B90" s="10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3">
      <c r="A91" s="1"/>
      <c r="B91" s="10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3">
      <c r="A92" s="1"/>
      <c r="B92" s="10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3">
      <c r="A93" s="1"/>
      <c r="B93" s="10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3">
      <c r="A94" s="1"/>
      <c r="B94" s="10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3">
      <c r="A95" s="1"/>
      <c r="B95" s="10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3">
      <c r="A96" s="1"/>
      <c r="B96" s="10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3">
      <c r="A97" s="1"/>
      <c r="B97" s="10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3">
      <c r="A98" s="1"/>
      <c r="B98" s="10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3">
      <c r="A99" s="1"/>
      <c r="B99" s="10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3">
      <c r="A100" s="1"/>
      <c r="B100" s="10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3">
      <c r="A101" s="1"/>
      <c r="B101" s="10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3">
      <c r="A102" s="1"/>
      <c r="B102" s="10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3">
      <c r="A103" s="1"/>
      <c r="B103" s="10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3">
      <c r="A104" s="1"/>
      <c r="B104" s="10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3">
      <c r="A105" s="1"/>
      <c r="B105" s="10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3">
      <c r="A106" s="1"/>
      <c r="B106" s="10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3">
      <c r="A107" s="1"/>
      <c r="B107" s="10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3">
      <c r="A108" s="1"/>
      <c r="B108" s="10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3">
      <c r="A109" s="1"/>
      <c r="B109" s="10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3">
      <c r="A110" s="1"/>
      <c r="B110" s="10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3">
      <c r="A111" s="1"/>
      <c r="B111" s="10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3">
      <c r="A112" s="1"/>
      <c r="B112" s="10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3">
      <c r="A113" s="1"/>
      <c r="B113" s="10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3">
      <c r="A114" s="1"/>
      <c r="B114" s="10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3">
      <c r="A115" s="1"/>
      <c r="B115" s="10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3">
      <c r="A116" s="1"/>
      <c r="B116" s="10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3">
      <c r="A117" s="1"/>
      <c r="B117" s="10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3">
      <c r="A118" s="1"/>
      <c r="B118" s="10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3">
      <c r="A119" s="1"/>
      <c r="B119" s="10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3">
      <c r="A120" s="1"/>
      <c r="B120" s="10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3">
      <c r="A121" s="1"/>
      <c r="B121" s="10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3">
      <c r="A122" s="1"/>
      <c r="B122" s="10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3">
      <c r="A123" s="1"/>
      <c r="B123" s="10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3">
      <c r="A124" s="1"/>
      <c r="B124" s="10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3">
      <c r="A125" s="1"/>
      <c r="B125" s="10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3">
      <c r="A126" s="1"/>
      <c r="B126" s="10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3">
      <c r="A127" s="1"/>
      <c r="B127" s="10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3">
      <c r="A128" s="1"/>
      <c r="B128" s="10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3">
      <c r="A129" s="1"/>
      <c r="B129" s="10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3">
      <c r="A130" s="1"/>
      <c r="B130" s="10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3">
      <c r="A131" s="1"/>
      <c r="B131" s="10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3">
      <c r="A132" s="1"/>
      <c r="B132" s="10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3">
      <c r="A133" s="1"/>
      <c r="B133" s="10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3">
      <c r="A134" s="1"/>
      <c r="B134" s="10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3">
      <c r="A135" s="1"/>
      <c r="B135" s="10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3">
      <c r="A136" s="1"/>
      <c r="B136" s="10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3">
      <c r="A137" s="1"/>
      <c r="B137" s="10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3">
      <c r="A138" s="1"/>
      <c r="B138" s="10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3">
      <c r="A139" s="1"/>
      <c r="B139" s="10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3">
      <c r="A140" s="1"/>
      <c r="B140" s="10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3">
      <c r="A141" s="1"/>
      <c r="B141" s="10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3">
      <c r="A142" s="1"/>
      <c r="B142" s="10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3">
      <c r="A143" s="1"/>
      <c r="B143" s="10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3">
      <c r="A144" s="1"/>
      <c r="B144" s="10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3">
      <c r="A145" s="1"/>
      <c r="B145" s="10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3">
      <c r="A146" s="1"/>
      <c r="B146" s="10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3">
      <c r="A147" s="1"/>
      <c r="B147" s="10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3">
      <c r="A148" s="1"/>
      <c r="B148" s="10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3">
      <c r="A149" s="1"/>
      <c r="B149" s="10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3">
      <c r="A150" s="1"/>
      <c r="B150" s="10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3">
      <c r="A151" s="1"/>
      <c r="B151" s="10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3">
      <c r="A152" s="1"/>
      <c r="B152" s="10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3">
      <c r="A153" s="1"/>
      <c r="B153" s="10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3">
      <c r="A154" s="1"/>
      <c r="B154" s="10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3">
      <c r="A155" s="1"/>
      <c r="B155" s="10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3">
      <c r="A156" s="1"/>
      <c r="B156" s="10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3">
      <c r="A157" s="1"/>
      <c r="B157" s="10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3">
      <c r="A158" s="1"/>
      <c r="B158" s="10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3">
      <c r="A159" s="1"/>
      <c r="B159" s="10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3">
      <c r="A160" s="1"/>
      <c r="B160" s="10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3">
      <c r="A161" s="1"/>
      <c r="B161" s="10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3">
      <c r="A162" s="1"/>
      <c r="B162" s="10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3">
      <c r="A163" s="1"/>
      <c r="B163" s="10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3">
      <c r="A164" s="1"/>
      <c r="B164" s="10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3">
      <c r="A165" s="1"/>
      <c r="B165" s="10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3">
      <c r="A166" s="1"/>
      <c r="B166" s="10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3">
      <c r="A167" s="1"/>
      <c r="B167" s="10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3">
      <c r="A168" s="1"/>
      <c r="B168" s="10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3">
      <c r="A169" s="1"/>
      <c r="B169" s="109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3">
      <c r="A170" s="1"/>
      <c r="B170" s="109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3">
      <c r="A171" s="1"/>
      <c r="B171" s="109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3">
      <c r="A172" s="1"/>
      <c r="B172" s="109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3">
      <c r="A173" s="1"/>
      <c r="B173" s="109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3">
      <c r="A174" s="1"/>
      <c r="B174" s="109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3">
      <c r="A175" s="1"/>
      <c r="B175" s="109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3">
      <c r="A176" s="1"/>
      <c r="B176" s="109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3">
      <c r="A177" s="1"/>
      <c r="B177" s="109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3">
      <c r="A178" s="1"/>
      <c r="B178" s="109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3">
      <c r="A179" s="1"/>
      <c r="B179" s="109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3">
      <c r="A180" s="1"/>
      <c r="B180" s="109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3">
      <c r="A181" s="1"/>
      <c r="B181" s="109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3">
      <c r="A182" s="1"/>
      <c r="B182" s="109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3">
      <c r="A183" s="1"/>
      <c r="B183" s="109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3">
      <c r="A184" s="1"/>
      <c r="B184" s="109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3">
      <c r="A185" s="1"/>
      <c r="B185" s="109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3">
      <c r="A186" s="1"/>
      <c r="B186" s="109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3">
      <c r="A187" s="1"/>
      <c r="B187" s="109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3">
      <c r="A188" s="1"/>
      <c r="B188" s="109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3">
      <c r="A189" s="1"/>
      <c r="B189" s="109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3">
      <c r="A190" s="1"/>
      <c r="B190" s="109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3">
      <c r="A191" s="1"/>
      <c r="B191" s="109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3">
      <c r="A192" s="1"/>
      <c r="B192" s="109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3">
      <c r="A193" s="1"/>
      <c r="B193" s="109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3">
      <c r="A194" s="1"/>
      <c r="B194" s="109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3">
      <c r="A195" s="1"/>
      <c r="B195" s="109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3">
      <c r="A196" s="1"/>
      <c r="B196" s="109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3">
      <c r="A197" s="1"/>
      <c r="B197" s="109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3">
      <c r="A198" s="1"/>
      <c r="B198" s="109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3">
      <c r="A199" s="1"/>
      <c r="B199" s="109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3">
      <c r="A200" s="1"/>
      <c r="B200" s="109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3">
      <c r="A201" s="1"/>
      <c r="B201" s="109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3">
      <c r="A202" s="1"/>
      <c r="B202" s="109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3">
      <c r="A203" s="1"/>
      <c r="B203" s="109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3">
      <c r="A204" s="1"/>
      <c r="B204" s="109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3">
      <c r="A205" s="1"/>
      <c r="B205" s="109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3">
      <c r="A206" s="1"/>
      <c r="B206" s="109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3">
      <c r="A207" s="1"/>
      <c r="B207" s="109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3">
      <c r="A208" s="1"/>
      <c r="B208" s="109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3">
      <c r="A209" s="1"/>
      <c r="B209" s="109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3">
      <c r="A210" s="1"/>
      <c r="B210" s="109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3">
      <c r="A211" s="1"/>
      <c r="B211" s="109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3">
      <c r="A212" s="1"/>
      <c r="B212" s="109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3">
      <c r="A213" s="1"/>
      <c r="B213" s="109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3">
      <c r="A214" s="1"/>
      <c r="B214" s="109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3">
      <c r="A215" s="1"/>
      <c r="B215" s="109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3">
      <c r="A216" s="1"/>
      <c r="B216" s="109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3">
      <c r="A217" s="1"/>
      <c r="B217" s="109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3">
      <c r="A218" s="1"/>
      <c r="B218" s="109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3">
      <c r="A219" s="1"/>
      <c r="B219" s="109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3">
      <c r="A220" s="1"/>
      <c r="B220" s="109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3">
      <c r="A221" s="1"/>
      <c r="B221" s="109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3">
      <c r="A222" s="1"/>
      <c r="B222" s="109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3">
      <c r="A223" s="1"/>
      <c r="B223" s="109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3">
      <c r="A224" s="1"/>
      <c r="B224" s="109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3">
      <c r="A225" s="1"/>
      <c r="B225" s="109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3">
      <c r="A226" s="1"/>
      <c r="B226" s="109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3">
      <c r="A227" s="1"/>
      <c r="B227" s="109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3">
      <c r="A228" s="1"/>
      <c r="B228" s="109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3">
      <c r="A229" s="1"/>
      <c r="B229" s="109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3">
      <c r="A230" s="1"/>
      <c r="B230" s="109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3">
      <c r="A231" s="1"/>
      <c r="B231" s="109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3">
      <c r="A232" s="1"/>
      <c r="B232" s="109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3">
      <c r="A233" s="1"/>
      <c r="B233" s="109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3">
      <c r="A234" s="1"/>
      <c r="B234" s="109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3">
      <c r="A235" s="1"/>
      <c r="B235" s="109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3">
      <c r="A236" s="1"/>
      <c r="B236" s="109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3">
      <c r="A237" s="1"/>
      <c r="B237" s="109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3">
      <c r="A238" s="1"/>
      <c r="B238" s="109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3">
      <c r="A239" s="1"/>
      <c r="B239" s="109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3">
      <c r="A240" s="1"/>
      <c r="B240" s="109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3">
      <c r="A241" s="1"/>
      <c r="B241" s="109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3">
      <c r="A242" s="1"/>
      <c r="B242" s="109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3">
      <c r="A243" s="1"/>
      <c r="B243" s="109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3">
      <c r="A244" s="1"/>
      <c r="B244" s="109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3">
      <c r="A245" s="1"/>
      <c r="B245" s="109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3">
      <c r="A246" s="1"/>
      <c r="B246" s="109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3">
      <c r="A247" s="1"/>
      <c r="B247" s="109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3">
      <c r="A248" s="1"/>
      <c r="B248" s="109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3">
      <c r="A249" s="1"/>
      <c r="B249" s="109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3">
      <c r="A250" s="1"/>
      <c r="B250" s="109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3">
      <c r="A251" s="1"/>
      <c r="B251" s="109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3">
      <c r="A252" s="1"/>
      <c r="B252" s="109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3">
      <c r="A253" s="1"/>
      <c r="B253" s="109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3">
      <c r="A254" s="1"/>
      <c r="B254" s="109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3">
      <c r="A255" s="1"/>
      <c r="B255" s="109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3">
      <c r="A256" s="1"/>
      <c r="B256" s="109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3">
      <c r="A257" s="1"/>
      <c r="B257" s="109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3">
      <c r="A258" s="1"/>
      <c r="B258" s="109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3">
      <c r="A259" s="1"/>
      <c r="B259" s="109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3">
      <c r="A260" s="1"/>
      <c r="B260" s="109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3">
      <c r="A261" s="1"/>
      <c r="B261" s="109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3">
      <c r="A262" s="1"/>
      <c r="B262" s="109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3">
      <c r="A263" s="1"/>
      <c r="B263" s="109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3">
      <c r="A264" s="1"/>
      <c r="B264" s="109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3">
      <c r="A265" s="1"/>
      <c r="B265" s="109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3">
      <c r="A266" s="1"/>
      <c r="B266" s="109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3">
      <c r="A267" s="1"/>
      <c r="B267" s="109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3">
      <c r="A268" s="1"/>
      <c r="B268" s="109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3">
      <c r="A269" s="1"/>
      <c r="B269" s="109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3">
      <c r="A270" s="1"/>
      <c r="B270" s="109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3">
      <c r="A271" s="1"/>
      <c r="B271" s="109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3">
      <c r="A272" s="1"/>
      <c r="B272" s="109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3">
      <c r="A273" s="1"/>
      <c r="B273" s="109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3">
      <c r="A274" s="1"/>
      <c r="B274" s="109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3">
      <c r="A275" s="1"/>
      <c r="B275" s="109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3">
      <c r="A276" s="1"/>
      <c r="B276" s="109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3">
      <c r="A277" s="1"/>
      <c r="B277" s="109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3">
      <c r="A278" s="1"/>
      <c r="B278" s="109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3">
      <c r="A279" s="1"/>
      <c r="B279" s="109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3">
      <c r="A280" s="1"/>
      <c r="B280" s="109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3">
      <c r="A281" s="1"/>
      <c r="B281" s="109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3">
      <c r="A282" s="1"/>
      <c r="B282" s="109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3">
      <c r="A283" s="1"/>
      <c r="B283" s="109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3">
      <c r="A284" s="1"/>
      <c r="B284" s="109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3">
      <c r="A285" s="1"/>
      <c r="B285" s="109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3">
      <c r="A286" s="1"/>
      <c r="B286" s="109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3">
      <c r="A287" s="1"/>
      <c r="B287" s="109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3">
      <c r="A288" s="1"/>
      <c r="B288" s="109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3">
      <c r="A289" s="1"/>
      <c r="B289" s="109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3">
      <c r="A290" s="1"/>
      <c r="B290" s="109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3">
      <c r="A291" s="1"/>
      <c r="B291" s="109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3">
      <c r="A292" s="1"/>
      <c r="B292" s="109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3">
      <c r="A293" s="1"/>
      <c r="B293" s="109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3">
      <c r="A294" s="1"/>
      <c r="B294" s="109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3">
      <c r="A295" s="1"/>
      <c r="B295" s="109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3">
      <c r="A296" s="1"/>
      <c r="B296" s="109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3">
      <c r="A297" s="1"/>
      <c r="B297" s="109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3">
      <c r="A298" s="1"/>
      <c r="B298" s="109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3">
      <c r="A299" s="1"/>
      <c r="B299" s="109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3">
      <c r="A300" s="1"/>
      <c r="B300" s="109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3">
      <c r="A301" s="1"/>
      <c r="B301" s="109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3">
      <c r="A302" s="1"/>
      <c r="B302" s="109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3">
      <c r="A303" s="1"/>
      <c r="B303" s="109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3">
      <c r="A304" s="1"/>
      <c r="B304" s="109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3">
      <c r="A305" s="1"/>
      <c r="B305" s="109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3">
      <c r="A306" s="1"/>
      <c r="B306" s="109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3">
      <c r="A307" s="1"/>
      <c r="B307" s="109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3">
      <c r="A308" s="1"/>
      <c r="B308" s="109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3">
      <c r="A309" s="1"/>
      <c r="B309" s="109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3">
      <c r="A310" s="1"/>
      <c r="B310" s="109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3">
      <c r="A311" s="1"/>
      <c r="B311" s="109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3">
      <c r="A312" s="1"/>
      <c r="B312" s="109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3">
      <c r="A313" s="1"/>
      <c r="B313" s="109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3">
      <c r="A314" s="1"/>
      <c r="B314" s="109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3">
      <c r="A315" s="1"/>
      <c r="B315" s="109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3">
      <c r="A316" s="1"/>
      <c r="B316" s="109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3">
      <c r="A317" s="1"/>
      <c r="B317" s="109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3">
      <c r="A318" s="1"/>
      <c r="B318" s="109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3">
      <c r="A319" s="1"/>
      <c r="B319" s="109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3">
      <c r="A320" s="1"/>
      <c r="B320" s="109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3">
      <c r="A321" s="1"/>
      <c r="B321" s="109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3">
      <c r="A322" s="1"/>
      <c r="B322" s="109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3">
      <c r="A323" s="1"/>
      <c r="B323" s="109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3">
      <c r="A324" s="1"/>
      <c r="B324" s="109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3">
      <c r="A325" s="1"/>
      <c r="B325" s="109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3">
      <c r="A326" s="1"/>
      <c r="B326" s="109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3">
      <c r="A327" s="1"/>
      <c r="B327" s="109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3">
      <c r="A328" s="1"/>
      <c r="B328" s="109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3">
      <c r="A329" s="1"/>
      <c r="B329" s="109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3">
      <c r="A330" s="1"/>
      <c r="B330" s="109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3">
      <c r="A331" s="1"/>
      <c r="B331" s="109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3">
      <c r="A332" s="1"/>
      <c r="B332" s="109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3">
      <c r="A333" s="1"/>
      <c r="B333" s="109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3">
      <c r="A334" s="1"/>
      <c r="B334" s="109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3">
      <c r="A335" s="1"/>
      <c r="B335" s="109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3">
      <c r="A336" s="1"/>
      <c r="B336" s="109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3">
      <c r="A337" s="1"/>
      <c r="B337" s="109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3">
      <c r="A338" s="1"/>
      <c r="B338" s="109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3">
      <c r="A339" s="1"/>
      <c r="B339" s="109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3">
      <c r="A340" s="1"/>
      <c r="B340" s="109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3">
      <c r="A341" s="1"/>
      <c r="B341" s="109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3">
      <c r="A342" s="1"/>
      <c r="B342" s="109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3">
      <c r="A343" s="1"/>
      <c r="B343" s="109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3">
      <c r="A344" s="1"/>
      <c r="B344" s="109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3">
      <c r="A345" s="1"/>
      <c r="B345" s="109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3">
      <c r="A346" s="1"/>
      <c r="B346" s="109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3">
      <c r="A347" s="1"/>
      <c r="B347" s="109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3">
      <c r="A348" s="1"/>
      <c r="B348" s="109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3">
      <c r="A349" s="1"/>
      <c r="B349" s="109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3">
      <c r="A350" s="1"/>
      <c r="B350" s="109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3">
      <c r="A351" s="1"/>
      <c r="B351" s="109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3">
      <c r="A352" s="1"/>
      <c r="B352" s="109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3">
      <c r="A353" s="1"/>
      <c r="B353" s="109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3">
      <c r="A354" s="1"/>
      <c r="B354" s="109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3">
      <c r="A355" s="1"/>
      <c r="B355" s="109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3">
      <c r="A356" s="1"/>
      <c r="B356" s="109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3">
      <c r="A357" s="1"/>
      <c r="B357" s="109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3">
      <c r="A358" s="1"/>
      <c r="B358" s="109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3">
      <c r="A359" s="1"/>
      <c r="B359" s="109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3">
      <c r="A360" s="1"/>
      <c r="B360" s="109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3">
      <c r="A361" s="1"/>
      <c r="B361" s="109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3">
      <c r="A362" s="1"/>
      <c r="B362" s="109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3">
      <c r="A363" s="1"/>
      <c r="B363" s="109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3">
      <c r="A364" s="1"/>
      <c r="B364" s="109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3">
      <c r="A365" s="1"/>
      <c r="B365" s="109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3">
      <c r="A366" s="1"/>
      <c r="B366" s="109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3">
      <c r="A367" s="1"/>
      <c r="B367" s="109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3">
      <c r="A368" s="1"/>
      <c r="B368" s="109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3">
      <c r="A369" s="1"/>
      <c r="B369" s="109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3">
      <c r="A370" s="1"/>
      <c r="B370" s="109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3">
      <c r="A371" s="1"/>
      <c r="B371" s="109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3">
      <c r="A372" s="1"/>
      <c r="B372" s="109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3">
      <c r="A373" s="1"/>
      <c r="B373" s="109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3">
      <c r="A374" s="1"/>
      <c r="B374" s="109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3">
      <c r="A375" s="1"/>
      <c r="B375" s="109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3">
      <c r="A376" s="1"/>
      <c r="B376" s="109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3">
      <c r="A377" s="1"/>
      <c r="B377" s="109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3">
      <c r="A378" s="1"/>
      <c r="B378" s="109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3">
      <c r="A379" s="1"/>
      <c r="B379" s="109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3">
      <c r="A380" s="1"/>
      <c r="B380" s="109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3">
      <c r="A381" s="1"/>
      <c r="B381" s="109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3">
      <c r="A382" s="1"/>
      <c r="B382" s="109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3">
      <c r="A383" s="1"/>
      <c r="B383" s="109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3">
      <c r="A384" s="1"/>
      <c r="B384" s="109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3">
      <c r="A385" s="1"/>
      <c r="B385" s="109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3">
      <c r="A386" s="1"/>
      <c r="B386" s="109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3">
      <c r="A387" s="1"/>
      <c r="B387" s="109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3">
      <c r="A388" s="1"/>
      <c r="B388" s="109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3">
      <c r="A389" s="1"/>
      <c r="B389" s="109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3">
      <c r="A390" s="1"/>
      <c r="B390" s="109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3">
      <c r="A391" s="1"/>
      <c r="B391" s="109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3">
      <c r="A392" s="1"/>
      <c r="B392" s="109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3">
      <c r="A393" s="1"/>
      <c r="B393" s="109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3">
      <c r="A394" s="1"/>
      <c r="B394" s="109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3">
      <c r="A395" s="1"/>
      <c r="B395" s="109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3">
      <c r="A396" s="1"/>
      <c r="B396" s="109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3">
      <c r="A397" s="1"/>
      <c r="B397" s="109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3">
      <c r="A398" s="1"/>
      <c r="B398" s="109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3">
      <c r="A399" s="1"/>
      <c r="B399" s="109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3">
      <c r="A400" s="1"/>
      <c r="B400" s="109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3">
      <c r="A401" s="1"/>
      <c r="B401" s="109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3">
      <c r="A402" s="1"/>
      <c r="B402" s="109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3">
      <c r="A403" s="1"/>
      <c r="B403" s="109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3">
      <c r="A404" s="1"/>
      <c r="B404" s="109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3">
      <c r="A405" s="1"/>
      <c r="B405" s="109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3">
      <c r="A406" s="1"/>
      <c r="B406" s="109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3">
      <c r="A407" s="1"/>
      <c r="B407" s="109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3">
      <c r="A408" s="1"/>
      <c r="B408" s="109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3">
      <c r="A409" s="1"/>
      <c r="B409" s="109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3">
      <c r="A410" s="1"/>
      <c r="B410" s="109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3">
      <c r="A411" s="1"/>
      <c r="B411" s="109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3">
      <c r="A412" s="1"/>
      <c r="B412" s="109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3">
      <c r="A413" s="1"/>
      <c r="B413" s="109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3">
      <c r="A414" s="1"/>
      <c r="B414" s="109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3">
      <c r="A415" s="1"/>
      <c r="B415" s="109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3">
      <c r="A416" s="1"/>
      <c r="B416" s="109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3">
      <c r="A417" s="1"/>
      <c r="B417" s="109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3">
      <c r="A418" s="1"/>
      <c r="B418" s="109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3">
      <c r="A419" s="1"/>
      <c r="B419" s="109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3">
      <c r="A420" s="1"/>
      <c r="B420" s="109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3">
      <c r="A421" s="1"/>
      <c r="B421" s="109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3">
      <c r="A422" s="1"/>
      <c r="B422" s="109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3">
      <c r="A423" s="1"/>
      <c r="B423" s="109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3">
      <c r="A424" s="1"/>
      <c r="B424" s="109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3">
      <c r="A425" s="1"/>
      <c r="B425" s="109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3">
      <c r="A426" s="1"/>
      <c r="B426" s="109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3">
      <c r="A427" s="1"/>
      <c r="B427" s="109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3">
      <c r="A428" s="1"/>
      <c r="B428" s="109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3">
      <c r="A429" s="1"/>
      <c r="B429" s="109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3">
      <c r="A430" s="1"/>
      <c r="B430" s="109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3">
      <c r="A431" s="1"/>
      <c r="B431" s="109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3">
      <c r="A432" s="1"/>
      <c r="B432" s="109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3">
      <c r="A433" s="1"/>
      <c r="B433" s="109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3">
      <c r="A434" s="1"/>
      <c r="B434" s="109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3">
      <c r="A435" s="1"/>
      <c r="B435" s="109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3">
      <c r="A436" s="1"/>
      <c r="B436" s="109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3">
      <c r="A437" s="1"/>
      <c r="B437" s="109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3">
      <c r="A438" s="1"/>
      <c r="B438" s="109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3">
      <c r="A439" s="1"/>
      <c r="B439" s="109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3">
      <c r="A440" s="1"/>
      <c r="B440" s="109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3">
      <c r="A441" s="1"/>
      <c r="B441" s="109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3">
      <c r="A442" s="1"/>
      <c r="B442" s="109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3">
      <c r="A443" s="1"/>
      <c r="B443" s="109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3">
      <c r="A444" s="1"/>
      <c r="B444" s="109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3">
      <c r="A445" s="1"/>
      <c r="B445" s="109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3">
      <c r="A446" s="1"/>
      <c r="B446" s="109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3">
      <c r="A447" s="1"/>
      <c r="B447" s="109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3">
      <c r="A448" s="1"/>
      <c r="B448" s="109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3">
      <c r="A449" s="1"/>
      <c r="B449" s="109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3">
      <c r="A450" s="1"/>
      <c r="B450" s="109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3">
      <c r="A451" s="1"/>
      <c r="B451" s="109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3">
      <c r="A452" s="1"/>
      <c r="B452" s="109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3">
      <c r="A453" s="1"/>
      <c r="B453" s="109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3">
      <c r="A454" s="1"/>
      <c r="B454" s="109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3">
      <c r="A455" s="1"/>
      <c r="B455" s="109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3">
      <c r="A456" s="1"/>
      <c r="B456" s="109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3">
      <c r="A457" s="1"/>
      <c r="B457" s="109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3">
      <c r="A458" s="1"/>
      <c r="B458" s="109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3">
      <c r="A459" s="1"/>
      <c r="B459" s="109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3">
      <c r="A460" s="1"/>
      <c r="B460" s="109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3">
      <c r="A461" s="1"/>
      <c r="B461" s="109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3">
      <c r="A462" s="1"/>
      <c r="B462" s="109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3">
      <c r="A463" s="1"/>
      <c r="B463" s="109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3">
      <c r="A464" s="1"/>
      <c r="B464" s="109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3">
      <c r="A465" s="1"/>
      <c r="B465" s="109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3">
      <c r="A466" s="1"/>
      <c r="B466" s="109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3">
      <c r="A467" s="1"/>
      <c r="B467" s="109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3">
      <c r="A468" s="1"/>
      <c r="B468" s="109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3">
      <c r="A469" s="1"/>
      <c r="B469" s="109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3">
      <c r="A470" s="1"/>
      <c r="B470" s="109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3">
      <c r="A471" s="1"/>
      <c r="B471" s="109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3">
      <c r="A472" s="1"/>
      <c r="B472" s="109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3">
      <c r="A473" s="1"/>
      <c r="B473" s="109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3">
      <c r="A474" s="1"/>
      <c r="B474" s="109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3">
      <c r="A475" s="1"/>
      <c r="B475" s="109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3">
      <c r="A476" s="1"/>
      <c r="B476" s="109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3">
      <c r="A477" s="1"/>
      <c r="B477" s="109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3">
      <c r="A478" s="1"/>
      <c r="B478" s="109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3">
      <c r="A479" s="1"/>
      <c r="B479" s="109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3">
      <c r="A480" s="1"/>
      <c r="B480" s="109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3">
      <c r="A481" s="1"/>
      <c r="B481" s="109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3">
      <c r="A482" s="1"/>
      <c r="B482" s="109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3">
      <c r="A483" s="1"/>
      <c r="B483" s="109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3">
      <c r="A484" s="1"/>
      <c r="B484" s="109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3">
      <c r="A485" s="1"/>
      <c r="B485" s="109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3">
      <c r="A486" s="1"/>
      <c r="B486" s="109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3">
      <c r="A487" s="1"/>
      <c r="B487" s="109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3">
      <c r="A488" s="1"/>
      <c r="B488" s="109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3">
      <c r="A489" s="1"/>
      <c r="B489" s="109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3">
      <c r="A490" s="1"/>
      <c r="B490" s="109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3">
      <c r="A491" s="1"/>
      <c r="B491" s="109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3">
      <c r="A492" s="1"/>
      <c r="B492" s="109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3">
      <c r="A493" s="1"/>
      <c r="B493" s="109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3">
      <c r="A494" s="1"/>
      <c r="B494" s="109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3">
      <c r="A495" s="1"/>
      <c r="B495" s="109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3">
      <c r="A496" s="1"/>
      <c r="B496" s="109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3">
      <c r="A497" s="1"/>
      <c r="B497" s="109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3">
      <c r="A498" s="1"/>
      <c r="B498" s="109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3">
      <c r="A499" s="1"/>
      <c r="B499" s="109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3">
      <c r="A500" s="1"/>
      <c r="B500" s="109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3">
      <c r="A501" s="1"/>
      <c r="B501" s="109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3">
      <c r="A502" s="1"/>
      <c r="B502" s="109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3">
      <c r="A503" s="1"/>
      <c r="B503" s="109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3">
      <c r="A504" s="1"/>
      <c r="B504" s="109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3">
      <c r="A505" s="1"/>
      <c r="B505" s="109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3">
      <c r="A506" s="1"/>
      <c r="B506" s="109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3">
      <c r="A507" s="1"/>
      <c r="B507" s="109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3">
      <c r="A508" s="1"/>
      <c r="B508" s="109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3">
      <c r="A509" s="1"/>
      <c r="B509" s="109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3">
      <c r="A510" s="1"/>
      <c r="B510" s="109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3">
      <c r="A511" s="1"/>
      <c r="B511" s="109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3">
      <c r="A512" s="1"/>
      <c r="B512" s="109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3">
      <c r="A513" s="1"/>
      <c r="B513" s="109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3">
      <c r="A514" s="1"/>
      <c r="B514" s="109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3">
      <c r="A515" s="1"/>
      <c r="B515" s="109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3">
      <c r="A516" s="1"/>
      <c r="B516" s="109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3">
      <c r="A517" s="1"/>
      <c r="B517" s="109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3">
      <c r="A518" s="1"/>
      <c r="B518" s="109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3">
      <c r="A519" s="1"/>
      <c r="B519" s="109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3">
      <c r="A520" s="1"/>
      <c r="B520" s="109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3">
      <c r="A521" s="1"/>
      <c r="B521" s="109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3">
      <c r="A522" s="1"/>
      <c r="B522" s="109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3">
      <c r="A523" s="1"/>
      <c r="B523" s="109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3">
      <c r="A524" s="1"/>
      <c r="B524" s="109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3">
      <c r="A525" s="1"/>
      <c r="B525" s="109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3">
      <c r="A526" s="1"/>
      <c r="B526" s="109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3">
      <c r="A527" s="1"/>
      <c r="B527" s="109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3">
      <c r="A528" s="1"/>
      <c r="B528" s="109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3">
      <c r="A529" s="1"/>
      <c r="B529" s="109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3">
      <c r="A530" s="1"/>
      <c r="B530" s="109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3">
      <c r="A531" s="1"/>
      <c r="B531" s="109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3">
      <c r="A532" s="1"/>
      <c r="B532" s="109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3">
      <c r="A533" s="1"/>
      <c r="B533" s="109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3">
      <c r="A534" s="1"/>
      <c r="B534" s="109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3">
      <c r="A535" s="1"/>
      <c r="B535" s="109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3">
      <c r="A536" s="1"/>
      <c r="B536" s="109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3">
      <c r="A537" s="1"/>
      <c r="B537" s="109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3">
      <c r="A538" s="1"/>
      <c r="B538" s="109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3">
      <c r="A539" s="1"/>
      <c r="B539" s="109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3">
      <c r="A540" s="1"/>
      <c r="B540" s="109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3">
      <c r="A541" s="1"/>
      <c r="B541" s="109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3">
      <c r="A542" s="1"/>
      <c r="B542" s="109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3">
      <c r="A543" s="1"/>
      <c r="B543" s="109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3">
      <c r="A544" s="1"/>
      <c r="B544" s="109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3">
      <c r="A545" s="1"/>
      <c r="B545" s="109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3">
      <c r="A546" s="1"/>
      <c r="B546" s="109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3">
      <c r="A547" s="1"/>
      <c r="B547" s="109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3">
      <c r="A548" s="1"/>
      <c r="B548" s="109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3">
      <c r="A549" s="1"/>
      <c r="B549" s="109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3">
      <c r="A550" s="1"/>
      <c r="B550" s="109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3">
      <c r="A551" s="1"/>
      <c r="B551" s="109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3">
      <c r="A552" s="1"/>
      <c r="B552" s="109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3">
      <c r="A553" s="1"/>
      <c r="B553" s="109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3">
      <c r="A554" s="1"/>
      <c r="B554" s="109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3">
      <c r="A555" s="1"/>
      <c r="B555" s="109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3">
      <c r="A556" s="1"/>
      <c r="B556" s="109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3">
      <c r="A557" s="1"/>
      <c r="B557" s="109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3">
      <c r="A558" s="1"/>
      <c r="B558" s="109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3">
      <c r="A559" s="1"/>
      <c r="B559" s="109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3">
      <c r="A560" s="1"/>
      <c r="B560" s="109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3">
      <c r="A561" s="1"/>
      <c r="B561" s="109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3">
      <c r="A562" s="1"/>
      <c r="B562" s="109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3">
      <c r="A563" s="1"/>
      <c r="B563" s="109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3">
      <c r="A564" s="1"/>
      <c r="B564" s="109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3">
      <c r="A565" s="1"/>
      <c r="B565" s="109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3">
      <c r="A566" s="1"/>
      <c r="B566" s="109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3">
      <c r="A567" s="1"/>
      <c r="B567" s="109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3">
      <c r="A568" s="1"/>
      <c r="B568" s="109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3">
      <c r="A569" s="1"/>
      <c r="B569" s="109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3">
      <c r="A570" s="1"/>
      <c r="B570" s="109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3">
      <c r="A571" s="1"/>
      <c r="B571" s="109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3">
      <c r="A572" s="1"/>
      <c r="B572" s="109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3">
      <c r="A573" s="1"/>
      <c r="B573" s="109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3">
      <c r="A574" s="1"/>
      <c r="B574" s="109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3">
      <c r="A575" s="1"/>
      <c r="B575" s="109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3">
      <c r="A576" s="1"/>
      <c r="B576" s="109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3">
      <c r="A577" s="1"/>
      <c r="B577" s="109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3">
      <c r="A578" s="1"/>
      <c r="B578" s="109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3">
      <c r="A579" s="1"/>
      <c r="B579" s="109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3">
      <c r="A580" s="1"/>
      <c r="B580" s="109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3">
      <c r="A581" s="1"/>
      <c r="B581" s="109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3">
      <c r="A582" s="1"/>
      <c r="B582" s="109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3">
      <c r="A583" s="1"/>
      <c r="B583" s="109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3">
      <c r="A584" s="1"/>
      <c r="B584" s="109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3">
      <c r="A585" s="1"/>
      <c r="B585" s="109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3">
      <c r="A586" s="1"/>
      <c r="B586" s="109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3">
      <c r="A587" s="1"/>
      <c r="B587" s="109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3">
      <c r="A588" s="1"/>
      <c r="B588" s="109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3">
      <c r="A589" s="1"/>
      <c r="B589" s="109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3">
      <c r="A590" s="1"/>
      <c r="B590" s="109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3">
      <c r="A591" s="1"/>
      <c r="B591" s="109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3">
      <c r="A592" s="1"/>
      <c r="B592" s="109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3">
      <c r="A593" s="1"/>
      <c r="B593" s="109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3">
      <c r="A594" s="1"/>
      <c r="B594" s="109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3">
      <c r="A595" s="1"/>
      <c r="B595" s="109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3">
      <c r="A596" s="1"/>
      <c r="B596" s="109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3">
      <c r="A597" s="1"/>
      <c r="B597" s="109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3">
      <c r="A598" s="1"/>
      <c r="B598" s="109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3">
      <c r="A599" s="1"/>
      <c r="B599" s="109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3">
      <c r="A600" s="1"/>
      <c r="B600" s="109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3">
      <c r="A601" s="1"/>
      <c r="B601" s="109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3">
      <c r="A602" s="1"/>
      <c r="B602" s="109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3">
      <c r="A603" s="1"/>
      <c r="B603" s="109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3">
      <c r="A604" s="1"/>
      <c r="B604" s="109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3">
      <c r="A605" s="1"/>
      <c r="B605" s="109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3">
      <c r="A606" s="1"/>
      <c r="B606" s="109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3">
      <c r="A607" s="1"/>
      <c r="B607" s="109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3">
      <c r="A608" s="1"/>
      <c r="B608" s="109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3">
      <c r="A609" s="1"/>
      <c r="B609" s="109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3">
      <c r="A610" s="1"/>
      <c r="B610" s="109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3">
      <c r="A611" s="1"/>
      <c r="B611" s="109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3">
      <c r="A612" s="1"/>
      <c r="B612" s="109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3">
      <c r="A613" s="1"/>
      <c r="B613" s="109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3">
      <c r="A614" s="1"/>
      <c r="B614" s="109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3">
      <c r="A615" s="1"/>
      <c r="B615" s="109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3">
      <c r="A616" s="1"/>
      <c r="B616" s="109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3">
      <c r="A617" s="1"/>
      <c r="B617" s="109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3">
      <c r="A618" s="1"/>
      <c r="B618" s="109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3">
      <c r="A619" s="1"/>
      <c r="B619" s="109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3">
      <c r="A620" s="1"/>
      <c r="B620" s="109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3">
      <c r="A621" s="1"/>
      <c r="B621" s="109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3">
      <c r="A622" s="1"/>
      <c r="B622" s="109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3">
      <c r="A623" s="1"/>
      <c r="B623" s="109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3">
      <c r="A624" s="1"/>
      <c r="B624" s="109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3">
      <c r="A625" s="1"/>
      <c r="B625" s="109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3">
      <c r="A626" s="1"/>
      <c r="B626" s="109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3">
      <c r="A627" s="1"/>
      <c r="B627" s="109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3">
      <c r="A628" s="1"/>
      <c r="B628" s="109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3">
      <c r="A629" s="1"/>
      <c r="B629" s="109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3">
      <c r="A630" s="1"/>
      <c r="B630" s="109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3">
      <c r="A631" s="1"/>
      <c r="B631" s="109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3">
      <c r="A632" s="1"/>
      <c r="B632" s="109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3">
      <c r="A633" s="1"/>
      <c r="B633" s="109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3">
      <c r="A634" s="1"/>
      <c r="B634" s="109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3">
      <c r="A635" s="1"/>
      <c r="B635" s="109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3">
      <c r="A636" s="1"/>
      <c r="B636" s="109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3">
      <c r="A637" s="1"/>
      <c r="B637" s="109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3">
      <c r="A638" s="1"/>
      <c r="B638" s="109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3">
      <c r="A639" s="1"/>
      <c r="B639" s="109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3">
      <c r="A640" s="1"/>
      <c r="B640" s="109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3">
      <c r="A641" s="1"/>
      <c r="B641" s="109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3">
      <c r="A642" s="1"/>
      <c r="B642" s="109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3">
      <c r="A643" s="1"/>
      <c r="B643" s="109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3">
      <c r="A644" s="1"/>
      <c r="B644" s="109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3">
      <c r="A645" s="1"/>
      <c r="B645" s="109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3">
      <c r="A646" s="1"/>
      <c r="B646" s="109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3">
      <c r="A647" s="1"/>
      <c r="B647" s="109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3">
      <c r="A648" s="1"/>
      <c r="B648" s="109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3">
      <c r="A649" s="1"/>
      <c r="B649" s="109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3">
      <c r="A650" s="1"/>
      <c r="B650" s="109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3">
      <c r="A651" s="1"/>
      <c r="B651" s="109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3">
      <c r="A652" s="1"/>
      <c r="B652" s="109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3">
      <c r="A653" s="1"/>
      <c r="B653" s="109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3">
      <c r="A654" s="1"/>
      <c r="B654" s="109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3">
      <c r="A655" s="1"/>
      <c r="B655" s="109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3">
      <c r="A656" s="1"/>
      <c r="B656" s="109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3">
      <c r="A657" s="1"/>
      <c r="B657" s="109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3">
      <c r="A658" s="1"/>
      <c r="B658" s="109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3">
      <c r="A659" s="1"/>
      <c r="B659" s="109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3">
      <c r="A660" s="1"/>
      <c r="B660" s="109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3">
      <c r="A661" s="1"/>
      <c r="B661" s="109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3">
      <c r="A662" s="1"/>
      <c r="B662" s="109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3">
      <c r="A663" s="1"/>
      <c r="B663" s="109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3">
      <c r="A664" s="1"/>
      <c r="B664" s="109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3">
      <c r="A665" s="1"/>
      <c r="B665" s="109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3">
      <c r="A666" s="1"/>
      <c r="B666" s="109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3">
      <c r="A667" s="1"/>
      <c r="B667" s="109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3">
      <c r="A668" s="1"/>
      <c r="B668" s="109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3">
      <c r="A669" s="1"/>
      <c r="B669" s="109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3">
      <c r="A670" s="1"/>
      <c r="B670" s="109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3">
      <c r="A671" s="1"/>
      <c r="B671" s="109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3">
      <c r="A672" s="1"/>
      <c r="B672" s="109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3">
      <c r="A673" s="1"/>
      <c r="B673" s="109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3">
      <c r="A674" s="1"/>
      <c r="B674" s="109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3">
      <c r="A675" s="1"/>
      <c r="B675" s="109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3">
      <c r="A676" s="1"/>
      <c r="B676" s="109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3">
      <c r="A677" s="1"/>
      <c r="B677" s="109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3">
      <c r="A678" s="1"/>
      <c r="B678" s="109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3">
      <c r="A679" s="1"/>
      <c r="B679" s="109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3">
      <c r="A680" s="1"/>
      <c r="B680" s="109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3">
      <c r="A681" s="1"/>
      <c r="B681" s="109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3">
      <c r="A682" s="1"/>
      <c r="B682" s="109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3">
      <c r="A683" s="1"/>
      <c r="B683" s="109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3">
      <c r="A684" s="1"/>
      <c r="B684" s="109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3">
      <c r="A685" s="1"/>
      <c r="B685" s="109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3">
      <c r="A686" s="1"/>
      <c r="B686" s="109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3">
      <c r="A687" s="1"/>
      <c r="B687" s="109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3">
      <c r="A688" s="1"/>
      <c r="B688" s="109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3">
      <c r="A689" s="1"/>
      <c r="B689" s="109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3">
      <c r="A690" s="1"/>
      <c r="B690" s="109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3">
      <c r="A691" s="1"/>
      <c r="B691" s="109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3">
      <c r="A692" s="1"/>
      <c r="B692" s="109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3">
      <c r="A693" s="1"/>
      <c r="B693" s="109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3">
      <c r="A694" s="1"/>
      <c r="B694" s="109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3">
      <c r="A695" s="1"/>
      <c r="B695" s="109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3">
      <c r="A696" s="1"/>
      <c r="B696" s="109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3">
      <c r="A697" s="1"/>
      <c r="B697" s="109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3">
      <c r="A698" s="1"/>
      <c r="B698" s="109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3">
      <c r="A699" s="1"/>
      <c r="B699" s="109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3">
      <c r="A700" s="1"/>
      <c r="B700" s="109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3">
      <c r="A701" s="1"/>
      <c r="B701" s="109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3">
      <c r="A702" s="1"/>
      <c r="B702" s="109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3">
      <c r="A703" s="1"/>
      <c r="B703" s="109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3">
      <c r="A704" s="1"/>
      <c r="B704" s="109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3">
      <c r="A705" s="1"/>
      <c r="B705" s="109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3">
      <c r="A706" s="1"/>
      <c r="B706" s="109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3">
      <c r="A707" s="1"/>
      <c r="B707" s="109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3">
      <c r="A708" s="1"/>
      <c r="B708" s="109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3">
      <c r="A709" s="1"/>
      <c r="B709" s="109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3">
      <c r="A710" s="1"/>
      <c r="B710" s="109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3">
      <c r="A711" s="1"/>
      <c r="B711" s="109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3">
      <c r="A712" s="1"/>
      <c r="B712" s="109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3">
      <c r="A713" s="1"/>
      <c r="B713" s="109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3">
      <c r="A714" s="1"/>
      <c r="B714" s="109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3">
      <c r="A715" s="1"/>
      <c r="B715" s="109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3">
      <c r="A716" s="1"/>
      <c r="B716" s="109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3">
      <c r="A717" s="1"/>
      <c r="B717" s="109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3">
      <c r="A718" s="1"/>
      <c r="B718" s="109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3">
      <c r="A719" s="1"/>
      <c r="B719" s="109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3">
      <c r="A720" s="1"/>
      <c r="B720" s="109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3">
      <c r="A721" s="1"/>
      <c r="B721" s="109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3">
      <c r="A722" s="1"/>
      <c r="B722" s="109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3">
      <c r="A723" s="1"/>
      <c r="B723" s="109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3">
      <c r="A724" s="1"/>
      <c r="B724" s="109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3">
      <c r="A725" s="1"/>
      <c r="B725" s="109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3">
      <c r="A726" s="1"/>
      <c r="B726" s="109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3">
      <c r="A727" s="1"/>
      <c r="B727" s="109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3">
      <c r="A728" s="1"/>
      <c r="B728" s="109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3">
      <c r="A729" s="1"/>
      <c r="B729" s="109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3">
      <c r="A730" s="1"/>
      <c r="B730" s="109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3">
      <c r="A731" s="1"/>
      <c r="B731" s="109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3">
      <c r="A732" s="1"/>
      <c r="B732" s="109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3">
      <c r="A733" s="1"/>
      <c r="B733" s="109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3">
      <c r="A734" s="1"/>
      <c r="B734" s="109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3">
      <c r="A735" s="1"/>
      <c r="B735" s="109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3">
      <c r="A736" s="1"/>
      <c r="B736" s="109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3">
      <c r="A737" s="1"/>
      <c r="B737" s="109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3">
      <c r="A738" s="1"/>
      <c r="B738" s="109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3">
      <c r="A739" s="1"/>
      <c r="B739" s="109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3">
      <c r="A740" s="1"/>
      <c r="B740" s="109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3">
      <c r="A741" s="1"/>
      <c r="B741" s="109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3">
      <c r="A742" s="1"/>
      <c r="B742" s="109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3">
      <c r="A743" s="1"/>
      <c r="B743" s="109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3">
      <c r="A744" s="1"/>
      <c r="B744" s="109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3">
      <c r="A745" s="1"/>
      <c r="B745" s="109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3">
      <c r="A746" s="1"/>
      <c r="B746" s="109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3">
      <c r="A747" s="1"/>
      <c r="B747" s="109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3">
      <c r="A748" s="1"/>
      <c r="B748" s="109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3">
      <c r="A749" s="1"/>
      <c r="B749" s="109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3">
      <c r="A750" s="1"/>
      <c r="B750" s="109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3">
      <c r="A751" s="1"/>
      <c r="B751" s="109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3">
      <c r="A752" s="1"/>
      <c r="B752" s="109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3">
      <c r="A753" s="1"/>
      <c r="B753" s="109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3">
      <c r="A754" s="1"/>
      <c r="B754" s="109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3">
      <c r="A755" s="1"/>
      <c r="B755" s="109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3">
      <c r="A756" s="1"/>
      <c r="B756" s="109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3">
      <c r="A757" s="1"/>
      <c r="B757" s="109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3">
      <c r="A758" s="1"/>
      <c r="B758" s="109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3">
      <c r="A759" s="1"/>
      <c r="B759" s="109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3">
      <c r="A760" s="1"/>
      <c r="B760" s="109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3">
      <c r="A761" s="1"/>
      <c r="B761" s="109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3">
      <c r="A762" s="1"/>
      <c r="B762" s="109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3">
      <c r="A763" s="1"/>
      <c r="B763" s="109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3">
      <c r="A764" s="1"/>
      <c r="B764" s="109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3">
      <c r="A765" s="1"/>
      <c r="B765" s="109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3">
      <c r="A766" s="1"/>
      <c r="B766" s="109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3">
      <c r="A767" s="1"/>
      <c r="B767" s="109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3">
      <c r="A768" s="1"/>
      <c r="B768" s="109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3">
      <c r="A769" s="1"/>
      <c r="B769" s="109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3">
      <c r="A770" s="1"/>
      <c r="B770" s="109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3">
      <c r="A771" s="1"/>
      <c r="B771" s="109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3">
      <c r="A772" s="1"/>
      <c r="B772" s="109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3">
      <c r="A773" s="1"/>
      <c r="B773" s="109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3">
      <c r="A774" s="1"/>
      <c r="B774" s="109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3">
      <c r="A775" s="1"/>
      <c r="B775" s="109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3">
      <c r="A776" s="1"/>
      <c r="B776" s="109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3">
      <c r="A777" s="1"/>
      <c r="B777" s="109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3">
      <c r="A778" s="1"/>
      <c r="B778" s="109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3">
      <c r="A779" s="1"/>
      <c r="B779" s="109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3">
      <c r="A780" s="1"/>
      <c r="B780" s="109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3">
      <c r="A781" s="1"/>
      <c r="B781" s="109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3">
      <c r="A782" s="1"/>
      <c r="B782" s="109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3">
      <c r="A783" s="1"/>
      <c r="B783" s="109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3">
      <c r="A784" s="1"/>
      <c r="B784" s="109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3">
      <c r="A785" s="1"/>
      <c r="B785" s="109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3">
      <c r="A786" s="1"/>
      <c r="B786" s="109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3">
      <c r="A787" s="1"/>
      <c r="B787" s="109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3">
      <c r="A788" s="1"/>
      <c r="B788" s="109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3">
      <c r="A789" s="1"/>
      <c r="B789" s="109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3">
      <c r="A790" s="1"/>
      <c r="B790" s="109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3">
      <c r="A791" s="1"/>
      <c r="B791" s="109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3">
      <c r="A792" s="1"/>
      <c r="B792" s="109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3">
      <c r="A793" s="1"/>
      <c r="B793" s="109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3">
      <c r="A794" s="1"/>
      <c r="B794" s="109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3">
      <c r="A795" s="1"/>
      <c r="B795" s="109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3">
      <c r="A796" s="1"/>
      <c r="B796" s="109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3">
      <c r="A797" s="1"/>
      <c r="B797" s="109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3">
      <c r="A798" s="1"/>
      <c r="B798" s="109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3">
      <c r="A799" s="1"/>
      <c r="B799" s="109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3">
      <c r="A800" s="1"/>
      <c r="B800" s="109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3">
      <c r="A801" s="1"/>
      <c r="B801" s="109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3">
      <c r="A802" s="1"/>
      <c r="B802" s="109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3">
      <c r="A803" s="1"/>
      <c r="B803" s="109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3">
      <c r="A804" s="1"/>
      <c r="B804" s="109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3">
      <c r="A805" s="1"/>
      <c r="B805" s="109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3">
      <c r="A806" s="1"/>
      <c r="B806" s="109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3">
      <c r="A807" s="1"/>
      <c r="B807" s="109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3">
      <c r="A808" s="1"/>
      <c r="B808" s="109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3">
      <c r="A809" s="1"/>
      <c r="B809" s="109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3">
      <c r="A810" s="1"/>
      <c r="B810" s="109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3">
      <c r="A811" s="1"/>
      <c r="B811" s="109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3">
      <c r="A812" s="1"/>
      <c r="B812" s="109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3">
      <c r="A813" s="1"/>
      <c r="B813" s="109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3">
      <c r="A814" s="1"/>
      <c r="B814" s="109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3">
      <c r="A815" s="1"/>
      <c r="B815" s="109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3">
      <c r="A816" s="1"/>
      <c r="B816" s="109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3">
      <c r="A817" s="1"/>
      <c r="B817" s="109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3">
      <c r="A818" s="1"/>
      <c r="B818" s="109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3">
      <c r="A819" s="1"/>
      <c r="B819" s="109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3">
      <c r="A820" s="1"/>
      <c r="B820" s="109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3">
      <c r="A821" s="1"/>
      <c r="B821" s="109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3">
      <c r="A822" s="1"/>
      <c r="B822" s="109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3">
      <c r="A823" s="1"/>
      <c r="B823" s="109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3">
      <c r="A824" s="1"/>
      <c r="B824" s="109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3">
      <c r="A825" s="1"/>
      <c r="B825" s="109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3">
      <c r="A826" s="1"/>
      <c r="B826" s="109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3">
      <c r="A827" s="1"/>
      <c r="B827" s="109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3">
      <c r="A828" s="1"/>
      <c r="B828" s="109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3">
      <c r="A829" s="1"/>
      <c r="B829" s="109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3">
      <c r="A830" s="1"/>
      <c r="B830" s="109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3">
      <c r="A831" s="1"/>
      <c r="B831" s="109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3">
      <c r="A832" s="1"/>
      <c r="B832" s="109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3">
      <c r="A833" s="1"/>
      <c r="B833" s="109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3">
      <c r="A834" s="1"/>
      <c r="B834" s="109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3">
      <c r="A835" s="1"/>
      <c r="B835" s="109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3">
      <c r="A836" s="1"/>
      <c r="B836" s="109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3">
      <c r="A837" s="1"/>
      <c r="B837" s="109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3">
      <c r="A838" s="1"/>
      <c r="B838" s="109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3">
      <c r="A839" s="1"/>
      <c r="B839" s="109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3">
      <c r="A840" s="1"/>
      <c r="B840" s="109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3">
      <c r="A841" s="1"/>
      <c r="B841" s="109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3">
      <c r="A842" s="1"/>
      <c r="B842" s="109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3">
      <c r="A843" s="1"/>
      <c r="B843" s="109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3">
      <c r="A844" s="1"/>
      <c r="B844" s="109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3">
      <c r="A845" s="1"/>
      <c r="B845" s="109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3">
      <c r="A846" s="1"/>
      <c r="B846" s="109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3">
      <c r="A847" s="1"/>
      <c r="B847" s="109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3">
      <c r="A848" s="1"/>
      <c r="B848" s="109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3">
      <c r="A849" s="1"/>
      <c r="B849" s="109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3">
      <c r="A850" s="1"/>
      <c r="B850" s="109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3">
      <c r="A851" s="1"/>
      <c r="B851" s="109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3">
      <c r="A852" s="1"/>
      <c r="B852" s="109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3">
      <c r="A853" s="1"/>
      <c r="B853" s="109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3">
      <c r="A854" s="1"/>
      <c r="B854" s="109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3">
      <c r="A855" s="1"/>
      <c r="B855" s="109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3">
      <c r="A856" s="1"/>
      <c r="B856" s="109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3">
      <c r="A857" s="1"/>
      <c r="B857" s="109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3">
      <c r="A858" s="1"/>
      <c r="B858" s="109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3">
      <c r="A859" s="1"/>
      <c r="B859" s="109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3">
      <c r="A860" s="1"/>
      <c r="B860" s="109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3">
      <c r="A861" s="1"/>
      <c r="B861" s="109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3">
      <c r="A862" s="1"/>
      <c r="B862" s="109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3">
      <c r="A863" s="1"/>
      <c r="B863" s="109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3">
      <c r="A864" s="1"/>
      <c r="B864" s="109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3">
      <c r="A865" s="1"/>
      <c r="B865" s="109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3">
      <c r="A866" s="1"/>
      <c r="B866" s="109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3">
      <c r="A867" s="1"/>
      <c r="B867" s="109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3">
      <c r="A868" s="1"/>
      <c r="B868" s="109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3">
      <c r="A869" s="1"/>
      <c r="B869" s="109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3">
      <c r="A870" s="1"/>
      <c r="B870" s="109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3">
      <c r="A871" s="1"/>
      <c r="B871" s="109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3">
      <c r="A872" s="1"/>
      <c r="B872" s="109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3">
      <c r="A873" s="1"/>
      <c r="B873" s="109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3">
      <c r="A874" s="1"/>
      <c r="B874" s="109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3">
      <c r="A875" s="1"/>
      <c r="B875" s="109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3">
      <c r="A876" s="1"/>
      <c r="B876" s="109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3">
      <c r="A877" s="1"/>
      <c r="B877" s="109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3">
      <c r="A878" s="1"/>
      <c r="B878" s="109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3">
      <c r="A879" s="1"/>
      <c r="B879" s="109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3">
      <c r="A880" s="1"/>
      <c r="B880" s="109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3">
      <c r="A881" s="1"/>
      <c r="B881" s="109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3">
      <c r="A882" s="1"/>
      <c r="B882" s="109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3">
      <c r="A883" s="1"/>
      <c r="B883" s="109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3">
      <c r="A884" s="1"/>
      <c r="B884" s="109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3">
      <c r="A885" s="1"/>
      <c r="B885" s="109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3">
      <c r="A886" s="1"/>
      <c r="B886" s="109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3">
      <c r="A887" s="1"/>
      <c r="B887" s="109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3">
      <c r="A888" s="1"/>
      <c r="B888" s="109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3">
      <c r="A889" s="1"/>
      <c r="B889" s="109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3">
      <c r="A890" s="1"/>
      <c r="B890" s="109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3">
      <c r="A891" s="1"/>
      <c r="B891" s="109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3">
      <c r="A892" s="1"/>
      <c r="B892" s="109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3">
      <c r="A893" s="1"/>
      <c r="B893" s="109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3">
      <c r="A894" s="1"/>
      <c r="B894" s="109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3">
      <c r="A895" s="1"/>
      <c r="B895" s="109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3">
      <c r="A896" s="1"/>
      <c r="B896" s="109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3">
      <c r="A897" s="1"/>
      <c r="B897" s="109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3">
      <c r="A898" s="1"/>
      <c r="B898" s="109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3">
      <c r="A899" s="1"/>
      <c r="B899" s="109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3">
      <c r="A900" s="1"/>
      <c r="B900" s="109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3">
      <c r="A901" s="1"/>
      <c r="B901" s="109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3">
      <c r="A902" s="1"/>
      <c r="B902" s="109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3">
      <c r="A903" s="1"/>
      <c r="B903" s="109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3">
      <c r="A904" s="1"/>
      <c r="B904" s="109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3">
      <c r="A905" s="1"/>
      <c r="B905" s="109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3">
      <c r="A906" s="1"/>
      <c r="B906" s="109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3">
      <c r="A907" s="1"/>
      <c r="B907" s="109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3">
      <c r="A908" s="1"/>
      <c r="B908" s="109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3">
      <c r="A909" s="1"/>
      <c r="B909" s="109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3">
      <c r="A910" s="1"/>
      <c r="B910" s="109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3">
      <c r="A911" s="1"/>
      <c r="B911" s="109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3">
      <c r="A912" s="1"/>
      <c r="B912" s="109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3">
      <c r="A913" s="1"/>
      <c r="B913" s="109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3">
      <c r="A914" s="1"/>
      <c r="B914" s="109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3">
      <c r="A915" s="1"/>
      <c r="B915" s="109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3">
      <c r="A916" s="1"/>
      <c r="B916" s="109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3">
      <c r="A917" s="1"/>
      <c r="B917" s="109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3">
      <c r="A918" s="1"/>
      <c r="B918" s="109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3">
      <c r="A919" s="1"/>
      <c r="B919" s="109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3">
      <c r="A920" s="1"/>
      <c r="B920" s="109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3">
      <c r="A921" s="1"/>
      <c r="B921" s="109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3">
      <c r="A922" s="1"/>
      <c r="B922" s="109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3">
      <c r="A923" s="1"/>
      <c r="B923" s="109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3">
      <c r="A924" s="1"/>
      <c r="B924" s="109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3">
      <c r="A925" s="1"/>
      <c r="B925" s="109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3">
      <c r="A926" s="1"/>
      <c r="B926" s="109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3">
      <c r="A927" s="1"/>
      <c r="B927" s="109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3">
      <c r="C928" s="1"/>
      <c r="D928" s="1"/>
      <c r="E928" s="1"/>
      <c r="F928" s="1"/>
      <c r="G928" s="1"/>
      <c r="H928" s="1"/>
      <c r="I928" s="1"/>
    </row>
  </sheetData>
  <mergeCells count="12">
    <mergeCell ref="E3:G3"/>
    <mergeCell ref="C10:D10"/>
    <mergeCell ref="C20:D20"/>
    <mergeCell ref="E40:I43"/>
    <mergeCell ref="E44:I44"/>
    <mergeCell ref="E45:I45"/>
    <mergeCell ref="E46:I47"/>
    <mergeCell ref="B9:R9"/>
    <mergeCell ref="B19:R19"/>
    <mergeCell ref="B29:R29"/>
    <mergeCell ref="C30:D30"/>
    <mergeCell ref="E39:I39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7"/>
  <sheetViews>
    <sheetView tabSelected="1" zoomScale="70" zoomScaleNormal="70" workbookViewId="0">
      <pane xSplit="2" ySplit="1" topLeftCell="C6" activePane="bottomRight" state="frozen"/>
      <selection pane="topRight" activeCell="C1" sqref="C1"/>
      <selection pane="bottomLeft" activeCell="A2" sqref="A2"/>
      <selection pane="bottomRight" activeCell="D17" sqref="D17"/>
    </sheetView>
  </sheetViews>
  <sheetFormatPr baseColWidth="10" defaultColWidth="12.59765625" defaultRowHeight="15" customHeight="1" x14ac:dyDescent="0.25"/>
  <cols>
    <col min="1" max="1" width="10" customWidth="1"/>
    <col min="2" max="2" width="89.69921875" customWidth="1"/>
    <col min="3" max="3" width="39.69921875" customWidth="1"/>
    <col min="4" max="4" width="21.3984375" customWidth="1"/>
    <col min="5" max="5" width="16.3984375" customWidth="1"/>
    <col min="6" max="6" width="15.59765625" bestFit="1" customWidth="1"/>
    <col min="7" max="7" width="16" bestFit="1" customWidth="1"/>
    <col min="8" max="8" width="15.59765625" bestFit="1" customWidth="1"/>
    <col min="9" max="9" width="15.09765625" bestFit="1" customWidth="1"/>
    <col min="10" max="10" width="15.59765625" bestFit="1" customWidth="1"/>
    <col min="11" max="11" width="14.59765625" customWidth="1"/>
    <col min="12" max="12" width="18.59765625" customWidth="1"/>
    <col min="13" max="13" width="10" customWidth="1"/>
    <col min="14" max="14" width="16.3984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59765625" customWidth="1"/>
    <col min="24" max="24" width="17.09765625" bestFit="1" customWidth="1"/>
    <col min="25" max="25" width="12.09765625" bestFit="1" customWidth="1"/>
    <col min="26" max="26" width="15.59765625" bestFit="1" customWidth="1"/>
    <col min="27" max="27" width="18.09765625" bestFit="1" customWidth="1"/>
    <col min="28" max="28" width="10" customWidth="1"/>
    <col min="29" max="29" width="10.8984375" customWidth="1"/>
    <col min="30" max="31" width="10" customWidth="1"/>
  </cols>
  <sheetData>
    <row r="1" spans="1:31" ht="99" customHeight="1" x14ac:dyDescent="0.3">
      <c r="A1" s="169"/>
      <c r="B1" s="169"/>
      <c r="C1" s="169"/>
      <c r="D1" s="169"/>
      <c r="E1" s="170" t="s">
        <v>14</v>
      </c>
      <c r="F1" s="207"/>
      <c r="G1" s="207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</row>
    <row r="2" spans="1:31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4" thickBot="1" x14ac:dyDescent="0.55000000000000004">
      <c r="A4" s="1"/>
      <c r="B4" s="21"/>
      <c r="C4" s="1"/>
      <c r="D4" s="1"/>
      <c r="E4" s="518" t="s">
        <v>101</v>
      </c>
      <c r="F4" s="458"/>
      <c r="G4" s="43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31" ht="14.4" x14ac:dyDescent="0.3">
      <c r="A5" s="1"/>
      <c r="B5" s="61"/>
      <c r="C5" s="1"/>
      <c r="D5" s="1"/>
      <c r="E5" s="194">
        <v>2022</v>
      </c>
      <c r="F5" s="172">
        <v>2023</v>
      </c>
      <c r="G5" s="19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31" thickBot="1" x14ac:dyDescent="0.35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31" ht="14.4" x14ac:dyDescent="0.3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31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thickBo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6.4" thickBot="1" x14ac:dyDescent="0.55000000000000004">
      <c r="A11" s="1"/>
      <c r="B11" s="516" t="s">
        <v>102</v>
      </c>
      <c r="C11" s="464"/>
      <c r="D11" s="464"/>
      <c r="E11" s="464"/>
      <c r="F11" s="464"/>
      <c r="G11" s="464"/>
      <c r="H11" s="464"/>
      <c r="I11" s="464"/>
      <c r="J11" s="464"/>
      <c r="K11" s="464"/>
      <c r="L11" s="464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2" thickBot="1" x14ac:dyDescent="0.35">
      <c r="A12" s="1"/>
      <c r="B12" s="538" t="s">
        <v>103</v>
      </c>
      <c r="C12" s="536" t="s">
        <v>104</v>
      </c>
      <c r="D12" s="537" t="s">
        <v>105</v>
      </c>
      <c r="E12" s="255" t="s">
        <v>106</v>
      </c>
      <c r="F12" s="255" t="s">
        <v>107</v>
      </c>
      <c r="G12" s="255" t="s">
        <v>108</v>
      </c>
      <c r="H12" s="255" t="s">
        <v>109</v>
      </c>
      <c r="I12" s="256" t="s">
        <v>110</v>
      </c>
      <c r="J12" s="256" t="s">
        <v>111</v>
      </c>
      <c r="K12" s="537" t="s">
        <v>112</v>
      </c>
      <c r="L12" s="537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2" thickBot="1" x14ac:dyDescent="0.35">
      <c r="A13" s="1"/>
      <c r="B13" s="539"/>
      <c r="C13" s="464"/>
      <c r="D13" s="464"/>
      <c r="E13" s="257">
        <v>0.1047</v>
      </c>
      <c r="F13" s="257">
        <v>1.54E-2</v>
      </c>
      <c r="G13" s="258">
        <v>0.06</v>
      </c>
      <c r="H13" s="257">
        <v>9.1999999999999998E-3</v>
      </c>
      <c r="I13" s="258" t="s">
        <v>114</v>
      </c>
      <c r="J13" s="258">
        <v>0.03</v>
      </c>
      <c r="K13" s="464"/>
      <c r="L13" s="464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thickBot="1" x14ac:dyDescent="0.35">
      <c r="A14" s="1"/>
      <c r="B14" s="540" t="s">
        <v>181</v>
      </c>
      <c r="C14" s="248" t="str">
        <f>'Anexo capacidad operativa'!B45</f>
        <v>Tester</v>
      </c>
      <c r="D14" s="253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9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thickBot="1" x14ac:dyDescent="0.35">
      <c r="A15" s="1"/>
      <c r="B15" s="541"/>
      <c r="C15" s="248" t="str">
        <f>'Anexo capacidad operativa'!B43</f>
        <v>Gerente de servicios</v>
      </c>
      <c r="D15" s="253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thickBot="1" x14ac:dyDescent="0.35">
      <c r="A16" s="1"/>
      <c r="B16" s="542"/>
      <c r="C16" s="247" t="str">
        <f>'Anexo capacidad operativa'!B42</f>
        <v>Desarrollador</v>
      </c>
      <c r="D16" s="254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9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thickBot="1" x14ac:dyDescent="0.35">
      <c r="A17" s="1"/>
      <c r="B17" s="252" t="s">
        <v>261</v>
      </c>
      <c r="C17" s="248" t="str">
        <f>'Anexo capacidad operativa'!B44</f>
        <v>Empleado de tecnologia</v>
      </c>
      <c r="D17" s="253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thickBot="1" x14ac:dyDescent="0.35">
      <c r="A18" s="1"/>
      <c r="B18" s="252" t="s">
        <v>260</v>
      </c>
      <c r="C18" s="248" t="str">
        <f>'Anexo capacidad operativa'!B46</f>
        <v>Empleado administrativo de ventas</v>
      </c>
      <c r="D18" s="253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6.4" thickBot="1" x14ac:dyDescent="0.55000000000000004">
      <c r="A22" s="1"/>
      <c r="B22" s="521" t="s">
        <v>230</v>
      </c>
      <c r="C22" s="522"/>
      <c r="D22" s="522"/>
      <c r="E22" s="522"/>
      <c r="F22" s="522"/>
      <c r="G22" s="522"/>
      <c r="H22" s="522"/>
      <c r="I22" s="522"/>
      <c r="J22" s="522"/>
      <c r="K22" s="522"/>
      <c r="L22" s="522"/>
      <c r="M22" s="522"/>
      <c r="N22" s="522"/>
      <c r="O22" s="522"/>
      <c r="P22" s="522"/>
      <c r="Q22" s="522"/>
      <c r="R22" s="522"/>
      <c r="S22" s="522"/>
      <c r="T22" s="522"/>
      <c r="U22" s="522"/>
      <c r="V22" s="522"/>
      <c r="W22" s="522"/>
      <c r="X22" s="522"/>
      <c r="Y22" s="522"/>
      <c r="Z22" s="522"/>
      <c r="AA22" s="523"/>
      <c r="AB22" s="1"/>
      <c r="AC22" s="1"/>
      <c r="AD22" s="1"/>
      <c r="AE22" s="1"/>
    </row>
    <row r="23" spans="1:31" ht="15.75" customHeight="1" x14ac:dyDescent="0.3">
      <c r="A23" s="1"/>
      <c r="B23" s="534" t="s">
        <v>104</v>
      </c>
      <c r="C23" s="530" t="s">
        <v>39</v>
      </c>
      <c r="D23" s="531"/>
      <c r="E23" s="530" t="s">
        <v>40</v>
      </c>
      <c r="F23" s="531"/>
      <c r="G23" s="530" t="s">
        <v>41</v>
      </c>
      <c r="H23" s="531"/>
      <c r="I23" s="530" t="s">
        <v>42</v>
      </c>
      <c r="J23" s="531"/>
      <c r="K23" s="530" t="s">
        <v>43</v>
      </c>
      <c r="L23" s="531"/>
      <c r="M23" s="530" t="s">
        <v>115</v>
      </c>
      <c r="N23" s="531"/>
      <c r="O23" s="530" t="s">
        <v>45</v>
      </c>
      <c r="P23" s="531"/>
      <c r="Q23" s="530" t="s">
        <v>46</v>
      </c>
      <c r="R23" s="531"/>
      <c r="S23" s="530" t="s">
        <v>47</v>
      </c>
      <c r="T23" s="531"/>
      <c r="U23" s="530" t="s">
        <v>48</v>
      </c>
      <c r="V23" s="531"/>
      <c r="W23" s="530" t="s">
        <v>49</v>
      </c>
      <c r="X23" s="531"/>
      <c r="Y23" s="530" t="s">
        <v>116</v>
      </c>
      <c r="Z23" s="531"/>
      <c r="AA23" s="532" t="s">
        <v>94</v>
      </c>
      <c r="AB23" s="1"/>
      <c r="AC23" s="1"/>
      <c r="AD23" s="1"/>
      <c r="AE23" s="1"/>
    </row>
    <row r="24" spans="1:31" ht="15.75" customHeight="1" thickBot="1" x14ac:dyDescent="0.35">
      <c r="A24" s="1"/>
      <c r="B24" s="535"/>
      <c r="C24" s="266" t="s">
        <v>52</v>
      </c>
      <c r="D24" s="266" t="s">
        <v>100</v>
      </c>
      <c r="E24" s="266" t="s">
        <v>52</v>
      </c>
      <c r="F24" s="266" t="s">
        <v>100</v>
      </c>
      <c r="G24" s="266" t="s">
        <v>52</v>
      </c>
      <c r="H24" s="266" t="s">
        <v>100</v>
      </c>
      <c r="I24" s="266" t="s">
        <v>52</v>
      </c>
      <c r="J24" s="266" t="s">
        <v>100</v>
      </c>
      <c r="K24" s="266" t="s">
        <v>52</v>
      </c>
      <c r="L24" s="266" t="s">
        <v>100</v>
      </c>
      <c r="M24" s="266" t="s">
        <v>52</v>
      </c>
      <c r="N24" s="266" t="s">
        <v>100</v>
      </c>
      <c r="O24" s="266" t="s">
        <v>52</v>
      </c>
      <c r="P24" s="266" t="s">
        <v>100</v>
      </c>
      <c r="Q24" s="266" t="s">
        <v>52</v>
      </c>
      <c r="R24" s="266" t="s">
        <v>100</v>
      </c>
      <c r="S24" s="266" t="s">
        <v>52</v>
      </c>
      <c r="T24" s="266" t="s">
        <v>100</v>
      </c>
      <c r="U24" s="266" t="s">
        <v>52</v>
      </c>
      <c r="V24" s="266" t="s">
        <v>100</v>
      </c>
      <c r="W24" s="266" t="s">
        <v>52</v>
      </c>
      <c r="X24" s="266" t="s">
        <v>100</v>
      </c>
      <c r="Y24" s="266" t="s">
        <v>52</v>
      </c>
      <c r="Z24" s="266" t="s">
        <v>100</v>
      </c>
      <c r="AA24" s="533"/>
      <c r="AB24" s="1"/>
      <c r="AC24" s="1"/>
      <c r="AD24" s="1"/>
      <c r="AE24" s="1"/>
    </row>
    <row r="25" spans="1:31" ht="15.75" customHeight="1" x14ac:dyDescent="0.3">
      <c r="A25" s="1"/>
      <c r="B25" s="31" t="str">
        <f>'Anexo capacidad operativa'!B22</f>
        <v>Desarrollador</v>
      </c>
      <c r="C25" s="361">
        <f>'Anexo capacidad operativa'!C22</f>
        <v>2</v>
      </c>
      <c r="D25" s="74">
        <f>C25*$L$16</f>
        <v>493941.42960000003</v>
      </c>
      <c r="E25" s="260">
        <f>'Anexo capacidad operativa'!E22</f>
        <v>2</v>
      </c>
      <c r="F25" s="74">
        <f t="shared" ref="F25" si="2">E25*$L$16</f>
        <v>493941.42960000003</v>
      </c>
      <c r="G25" s="260">
        <f>'Anexo capacidad operativa'!G22</f>
        <v>2</v>
      </c>
      <c r="H25" s="74">
        <f t="shared" ref="H25" si="3">G25*$L$16</f>
        <v>493941.42960000003</v>
      </c>
      <c r="I25" s="260">
        <f>'Anexo capacidad operativa'!I22</f>
        <v>2</v>
      </c>
      <c r="J25" s="74">
        <f t="shared" ref="J25" si="4">I25*$L$16</f>
        <v>493941.42960000003</v>
      </c>
      <c r="K25" s="260">
        <f>'Anexo capacidad operativa'!K22</f>
        <v>2</v>
      </c>
      <c r="L25" s="74">
        <f t="shared" ref="L25" si="5">K25*$L$16</f>
        <v>493941.42960000003</v>
      </c>
      <c r="M25" s="260">
        <f>'Anexo capacidad operativa'!M22</f>
        <v>2</v>
      </c>
      <c r="N25" s="74">
        <f t="shared" ref="N25" si="6">M25*$L$16</f>
        <v>493941.42960000003</v>
      </c>
      <c r="O25" s="260">
        <f>'Anexo capacidad operativa'!O22</f>
        <v>2</v>
      </c>
      <c r="P25" s="74">
        <f t="shared" ref="P25" si="7">O25*$L$16</f>
        <v>493941.42960000003</v>
      </c>
      <c r="Q25" s="260">
        <f>'Anexo capacidad operativa'!Q22</f>
        <v>2</v>
      </c>
      <c r="R25" s="74">
        <f t="shared" ref="R25" si="8">Q25*$L$16</f>
        <v>493941.42960000003</v>
      </c>
      <c r="S25" s="260">
        <f>'Anexo capacidad operativa'!S22</f>
        <v>2</v>
      </c>
      <c r="T25" s="74">
        <f t="shared" ref="T25" si="9">S25*$L$16</f>
        <v>493941.42960000003</v>
      </c>
      <c r="U25" s="260">
        <f>'Anexo capacidad operativa'!U22</f>
        <v>2</v>
      </c>
      <c r="V25" s="74">
        <f t="shared" ref="V25" si="10">U25*$L$16</f>
        <v>493941.42960000003</v>
      </c>
      <c r="W25" s="260">
        <f>'Anexo capacidad operativa'!W22</f>
        <v>2</v>
      </c>
      <c r="X25" s="74">
        <f t="shared" ref="X25" si="11">W25*$L$16</f>
        <v>493941.42960000003</v>
      </c>
      <c r="Y25" s="260">
        <f>'Anexo capacidad operativa'!Y22</f>
        <v>2</v>
      </c>
      <c r="Z25" s="74">
        <f t="shared" ref="Z25" si="12">Y25*$L$16</f>
        <v>493941.42960000003</v>
      </c>
      <c r="AA25" s="267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3">
      <c r="A26" s="1"/>
      <c r="B26" s="33" t="str">
        <f>'Anexo capacidad operativa'!B23</f>
        <v>Gerente de servicios</v>
      </c>
      <c r="C26" s="361">
        <f>'Anexo capacidad operativa'!C23</f>
        <v>1</v>
      </c>
      <c r="D26" s="74">
        <f>C26*$L$15</f>
        <v>306855.41499999998</v>
      </c>
      <c r="E26" s="260">
        <f>'Anexo capacidad operativa'!E23</f>
        <v>1</v>
      </c>
      <c r="F26" s="74">
        <f>E26*$L$15</f>
        <v>306855.41499999998</v>
      </c>
      <c r="G26" s="260">
        <f>'Anexo capacidad operativa'!G23</f>
        <v>1</v>
      </c>
      <c r="H26" s="74">
        <f>G26*$L$15</f>
        <v>306855.41499999998</v>
      </c>
      <c r="I26" s="260">
        <f>'Anexo capacidad operativa'!I23</f>
        <v>1</v>
      </c>
      <c r="J26" s="74">
        <f>I26*$L$15</f>
        <v>306855.41499999998</v>
      </c>
      <c r="K26" s="260">
        <f>'Anexo capacidad operativa'!K23</f>
        <v>1</v>
      </c>
      <c r="L26" s="74">
        <f>K26*$L$15</f>
        <v>306855.41499999998</v>
      </c>
      <c r="M26" s="260">
        <f>'Anexo capacidad operativa'!M23</f>
        <v>1</v>
      </c>
      <c r="N26" s="74">
        <f>M26*$L$15</f>
        <v>306855.41499999998</v>
      </c>
      <c r="O26" s="260">
        <f>'Anexo capacidad operativa'!O23</f>
        <v>1</v>
      </c>
      <c r="P26" s="74">
        <f>O26*$L$15</f>
        <v>306855.41499999998</v>
      </c>
      <c r="Q26" s="260">
        <f>'Anexo capacidad operativa'!Q23</f>
        <v>1</v>
      </c>
      <c r="R26" s="74">
        <f>Q26*$L$15</f>
        <v>306855.41499999998</v>
      </c>
      <c r="S26" s="260">
        <f>'Anexo capacidad operativa'!S23</f>
        <v>1</v>
      </c>
      <c r="T26" s="74">
        <f>S26*$L$15</f>
        <v>306855.41499999998</v>
      </c>
      <c r="U26" s="260">
        <f>'Anexo capacidad operativa'!U23</f>
        <v>1</v>
      </c>
      <c r="V26" s="74">
        <f>U26*$L$15</f>
        <v>306855.41499999998</v>
      </c>
      <c r="W26" s="260">
        <f>'Anexo capacidad operativa'!W23</f>
        <v>1</v>
      </c>
      <c r="X26" s="74">
        <f>W26*$L$15</f>
        <v>306855.41499999998</v>
      </c>
      <c r="Y26" s="260">
        <f>'Anexo capacidad operativa'!Y23</f>
        <v>1</v>
      </c>
      <c r="Z26" s="74">
        <f>Y26*$L$15</f>
        <v>306855.41499999998</v>
      </c>
      <c r="AA26" s="26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3">
      <c r="A27" s="1"/>
      <c r="B27" s="33" t="str">
        <f>'Anexo capacidad operativa'!B24</f>
        <v>Empleado de tecnologia</v>
      </c>
      <c r="C27" s="361">
        <f>'Anexo capacidad operativa'!C24</f>
        <v>1</v>
      </c>
      <c r="D27" s="74">
        <f>C27*$L$17</f>
        <v>112803.82</v>
      </c>
      <c r="E27" s="260">
        <f>'Anexo capacidad operativa'!E24</f>
        <v>1</v>
      </c>
      <c r="F27" s="74">
        <f t="shared" ref="F27" si="13">E27*$L$17</f>
        <v>112803.82</v>
      </c>
      <c r="G27" s="260">
        <f>'Anexo capacidad operativa'!G24</f>
        <v>1</v>
      </c>
      <c r="H27" s="74">
        <f t="shared" ref="H27" si="14">G27*$L$17</f>
        <v>112803.82</v>
      </c>
      <c r="I27" s="260">
        <f>'Anexo capacidad operativa'!I24</f>
        <v>1</v>
      </c>
      <c r="J27" s="74">
        <f t="shared" ref="J27" si="15">I27*$L$17</f>
        <v>112803.82</v>
      </c>
      <c r="K27" s="260">
        <f>'Anexo capacidad operativa'!K24</f>
        <v>1</v>
      </c>
      <c r="L27" s="74">
        <f t="shared" ref="L27" si="16">K27*$L$17</f>
        <v>112803.82</v>
      </c>
      <c r="M27" s="260">
        <f>'Anexo capacidad operativa'!M24</f>
        <v>1</v>
      </c>
      <c r="N27" s="74">
        <f t="shared" ref="N27" si="17">M27*$L$17</f>
        <v>112803.82</v>
      </c>
      <c r="O27" s="260">
        <f>'Anexo capacidad operativa'!O24</f>
        <v>1</v>
      </c>
      <c r="P27" s="74">
        <f t="shared" ref="P27" si="18">O27*$L$17</f>
        <v>112803.82</v>
      </c>
      <c r="Q27" s="260">
        <f>'Anexo capacidad operativa'!Q24</f>
        <v>1</v>
      </c>
      <c r="R27" s="74">
        <f t="shared" ref="R27" si="19">Q27*$L$17</f>
        <v>112803.82</v>
      </c>
      <c r="S27" s="260">
        <f>'Anexo capacidad operativa'!S24</f>
        <v>1</v>
      </c>
      <c r="T27" s="74">
        <f t="shared" ref="T27" si="20">S27*$L$17</f>
        <v>112803.82</v>
      </c>
      <c r="U27" s="260">
        <f>'Anexo capacidad operativa'!U24</f>
        <v>1</v>
      </c>
      <c r="V27" s="74">
        <f t="shared" ref="V27" si="21">U27*$L$17</f>
        <v>112803.82</v>
      </c>
      <c r="W27" s="260">
        <f>'Anexo capacidad operativa'!W24</f>
        <v>1</v>
      </c>
      <c r="X27" s="74">
        <f t="shared" ref="X27" si="22">W27*$L$17</f>
        <v>112803.82</v>
      </c>
      <c r="Y27" s="260">
        <f>'Anexo capacidad operativa'!Y24</f>
        <v>1</v>
      </c>
      <c r="Z27" s="74">
        <f t="shared" ref="Z27" si="23">Y27*$L$17</f>
        <v>112803.82</v>
      </c>
      <c r="AA27" s="26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3">
      <c r="A28" s="1"/>
      <c r="B28" s="33" t="str">
        <f>'Anexo capacidad operativa'!B25</f>
        <v>Tester</v>
      </c>
      <c r="C28" s="361">
        <f>'Anexo capacidad operativa'!C25</f>
        <v>1</v>
      </c>
      <c r="D28" s="74">
        <f>$L$14*C28</f>
        <v>128358.4301</v>
      </c>
      <c r="E28" s="260">
        <f>'Anexo capacidad operativa'!E25</f>
        <v>1</v>
      </c>
      <c r="F28" s="74">
        <f>$L$14*E28</f>
        <v>128358.4301</v>
      </c>
      <c r="G28" s="260">
        <f>'Anexo capacidad operativa'!G25</f>
        <v>1</v>
      </c>
      <c r="H28" s="74">
        <f>$L$14*G28</f>
        <v>128358.4301</v>
      </c>
      <c r="I28" s="260">
        <f>'Anexo capacidad operativa'!I25</f>
        <v>1</v>
      </c>
      <c r="J28" s="74">
        <f>$L$14*I28</f>
        <v>128358.4301</v>
      </c>
      <c r="K28" s="260">
        <f>'Anexo capacidad operativa'!K25</f>
        <v>1</v>
      </c>
      <c r="L28" s="74">
        <f>$L$14*K28</f>
        <v>128358.4301</v>
      </c>
      <c r="M28" s="260">
        <f>'Anexo capacidad operativa'!M25</f>
        <v>1</v>
      </c>
      <c r="N28" s="74">
        <f>$L$14*M28</f>
        <v>128358.4301</v>
      </c>
      <c r="O28" s="260">
        <f>'Anexo capacidad operativa'!O25</f>
        <v>1</v>
      </c>
      <c r="P28" s="74">
        <f>$L$14*O28</f>
        <v>128358.4301</v>
      </c>
      <c r="Q28" s="260">
        <f>'Anexo capacidad operativa'!Q25</f>
        <v>1</v>
      </c>
      <c r="R28" s="74">
        <f>$L$14*Q28</f>
        <v>128358.4301</v>
      </c>
      <c r="S28" s="260">
        <f>'Anexo capacidad operativa'!S25</f>
        <v>1</v>
      </c>
      <c r="T28" s="74">
        <f>$L$14*S28</f>
        <v>128358.4301</v>
      </c>
      <c r="U28" s="260">
        <f>'Anexo capacidad operativa'!U25</f>
        <v>1</v>
      </c>
      <c r="V28" s="74">
        <f>$L$14*U28</f>
        <v>128358.4301</v>
      </c>
      <c r="W28" s="260">
        <f>'Anexo capacidad operativa'!W25</f>
        <v>1</v>
      </c>
      <c r="X28" s="74">
        <f>$L$14*W28</f>
        <v>128358.4301</v>
      </c>
      <c r="Y28" s="260">
        <f>'Anexo capacidad operativa'!Y25</f>
        <v>1</v>
      </c>
      <c r="Z28" s="74">
        <f>$L$14*Y28</f>
        <v>128358.4301</v>
      </c>
      <c r="AA28" s="267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3">
      <c r="A29" s="1"/>
      <c r="B29" s="33" t="str">
        <f>'Anexo capacidad operativa'!B26</f>
        <v>Empleado administrativo de ventas</v>
      </c>
      <c r="C29" s="361">
        <f>'Anexo capacidad operativa'!C26</f>
        <v>1</v>
      </c>
      <c r="D29" s="74">
        <f>C29*$L$18</f>
        <v>99391.51999999999</v>
      </c>
      <c r="E29" s="260">
        <f>'Anexo capacidad operativa'!E26</f>
        <v>1</v>
      </c>
      <c r="F29" s="74">
        <f t="shared" ref="F29" si="24">E29*$L$18</f>
        <v>99391.51999999999</v>
      </c>
      <c r="G29" s="260">
        <f>'Anexo capacidad operativa'!G26</f>
        <v>1</v>
      </c>
      <c r="H29" s="74">
        <f t="shared" ref="H29" si="25">G29*$L$18</f>
        <v>99391.51999999999</v>
      </c>
      <c r="I29" s="260">
        <f>'Anexo capacidad operativa'!I26</f>
        <v>1</v>
      </c>
      <c r="J29" s="74">
        <f t="shared" ref="J29" si="26">I29*$L$18</f>
        <v>99391.51999999999</v>
      </c>
      <c r="K29" s="260">
        <f>'Anexo capacidad operativa'!K26</f>
        <v>1</v>
      </c>
      <c r="L29" s="74">
        <f t="shared" ref="L29" si="27">K29*$L$18</f>
        <v>99391.51999999999</v>
      </c>
      <c r="M29" s="260">
        <f>'Anexo capacidad operativa'!M26</f>
        <v>1</v>
      </c>
      <c r="N29" s="74">
        <f t="shared" ref="N29" si="28">M29*$L$18</f>
        <v>99391.51999999999</v>
      </c>
      <c r="O29" s="260">
        <f>'Anexo capacidad operativa'!O26</f>
        <v>2</v>
      </c>
      <c r="P29" s="74">
        <f t="shared" ref="P29" si="29">O29*$L$18</f>
        <v>198783.03999999998</v>
      </c>
      <c r="Q29" s="260">
        <f>'Anexo capacidad operativa'!Q26</f>
        <v>2</v>
      </c>
      <c r="R29" s="74">
        <f t="shared" ref="R29" si="30">Q29*$L$18</f>
        <v>198783.03999999998</v>
      </c>
      <c r="S29" s="260">
        <f>'Anexo capacidad operativa'!S26</f>
        <v>2</v>
      </c>
      <c r="T29" s="74">
        <f t="shared" ref="T29" si="31">S29*$L$18</f>
        <v>198783.03999999998</v>
      </c>
      <c r="U29" s="260">
        <f>'Anexo capacidad operativa'!U26</f>
        <v>2</v>
      </c>
      <c r="V29" s="74">
        <f t="shared" ref="V29" si="32">U29*$L$18</f>
        <v>198783.03999999998</v>
      </c>
      <c r="W29" s="260">
        <f>'Anexo capacidad operativa'!W26</f>
        <v>2</v>
      </c>
      <c r="X29" s="74">
        <f t="shared" ref="X29" si="33">W29*$L$18</f>
        <v>198783.03999999998</v>
      </c>
      <c r="Y29" s="260">
        <f>'Anexo capacidad operativa'!Y26</f>
        <v>2</v>
      </c>
      <c r="Z29" s="74">
        <f t="shared" ref="Z29" si="34">Y29*$L$18</f>
        <v>198783.03999999998</v>
      </c>
      <c r="AA29" s="26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5">
      <c r="A30" s="1"/>
      <c r="B30" s="268" t="s">
        <v>117</v>
      </c>
      <c r="C30" s="269">
        <f t="shared" ref="C30:Z30" si="35">SUM(C25:C29)</f>
        <v>6</v>
      </c>
      <c r="D30" s="270">
        <f t="shared" si="35"/>
        <v>1141350.6147</v>
      </c>
      <c r="E30" s="269">
        <f t="shared" si="35"/>
        <v>6</v>
      </c>
      <c r="F30" s="270">
        <f t="shared" si="35"/>
        <v>1141350.6147</v>
      </c>
      <c r="G30" s="269">
        <f t="shared" si="35"/>
        <v>6</v>
      </c>
      <c r="H30" s="270">
        <f t="shared" si="35"/>
        <v>1141350.6147</v>
      </c>
      <c r="I30" s="269">
        <f t="shared" si="35"/>
        <v>6</v>
      </c>
      <c r="J30" s="270">
        <f t="shared" si="35"/>
        <v>1141350.6147</v>
      </c>
      <c r="K30" s="269">
        <f t="shared" si="35"/>
        <v>6</v>
      </c>
      <c r="L30" s="270">
        <f t="shared" si="35"/>
        <v>1141350.6147</v>
      </c>
      <c r="M30" s="269">
        <f t="shared" si="35"/>
        <v>6</v>
      </c>
      <c r="N30" s="270">
        <f t="shared" si="35"/>
        <v>1141350.6147</v>
      </c>
      <c r="O30" s="269">
        <f t="shared" si="35"/>
        <v>7</v>
      </c>
      <c r="P30" s="270">
        <f t="shared" si="35"/>
        <v>1240742.1347000001</v>
      </c>
      <c r="Q30" s="269">
        <f t="shared" si="35"/>
        <v>7</v>
      </c>
      <c r="R30" s="270">
        <f t="shared" si="35"/>
        <v>1240742.1347000001</v>
      </c>
      <c r="S30" s="269">
        <f t="shared" si="35"/>
        <v>7</v>
      </c>
      <c r="T30" s="270">
        <f t="shared" si="35"/>
        <v>1240742.1347000001</v>
      </c>
      <c r="U30" s="269">
        <f t="shared" si="35"/>
        <v>7</v>
      </c>
      <c r="V30" s="270">
        <f t="shared" si="35"/>
        <v>1240742.1347000001</v>
      </c>
      <c r="W30" s="269">
        <f t="shared" si="35"/>
        <v>7</v>
      </c>
      <c r="X30" s="270">
        <f t="shared" si="35"/>
        <v>1240742.1347000001</v>
      </c>
      <c r="Y30" s="269">
        <f t="shared" si="35"/>
        <v>7</v>
      </c>
      <c r="Z30" s="270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3">
      <c r="A32" s="165"/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/>
      <c r="AB32" s="1"/>
      <c r="AC32" s="1"/>
      <c r="AD32" s="1"/>
      <c r="AE32" s="1"/>
    </row>
    <row r="33" spans="1:28" thickBot="1" x14ac:dyDescent="0.35">
      <c r="A33" s="1"/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</row>
    <row r="34" spans="1:28" ht="26.4" thickBot="1" x14ac:dyDescent="0.55000000000000004">
      <c r="A34" s="1"/>
      <c r="B34" s="521" t="s">
        <v>231</v>
      </c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522"/>
      <c r="T34" s="522"/>
      <c r="U34" s="522"/>
      <c r="V34" s="522"/>
      <c r="W34" s="522"/>
      <c r="X34" s="522"/>
      <c r="Y34" s="522"/>
      <c r="Z34" s="522"/>
      <c r="AA34" s="523"/>
      <c r="AB34" s="165"/>
    </row>
    <row r="35" spans="1:28" ht="15.6" x14ac:dyDescent="0.3">
      <c r="A35" s="1"/>
      <c r="B35" s="534" t="s">
        <v>104</v>
      </c>
      <c r="C35" s="530" t="s">
        <v>39</v>
      </c>
      <c r="D35" s="531"/>
      <c r="E35" s="530" t="s">
        <v>40</v>
      </c>
      <c r="F35" s="531"/>
      <c r="G35" s="530" t="s">
        <v>41</v>
      </c>
      <c r="H35" s="531"/>
      <c r="I35" s="530" t="s">
        <v>42</v>
      </c>
      <c r="J35" s="531"/>
      <c r="K35" s="530" t="s">
        <v>43</v>
      </c>
      <c r="L35" s="531"/>
      <c r="M35" s="530" t="s">
        <v>115</v>
      </c>
      <c r="N35" s="531"/>
      <c r="O35" s="530" t="s">
        <v>45</v>
      </c>
      <c r="P35" s="531"/>
      <c r="Q35" s="530" t="s">
        <v>46</v>
      </c>
      <c r="R35" s="531"/>
      <c r="S35" s="530" t="s">
        <v>47</v>
      </c>
      <c r="T35" s="531"/>
      <c r="U35" s="530" t="s">
        <v>48</v>
      </c>
      <c r="V35" s="531"/>
      <c r="W35" s="530" t="s">
        <v>49</v>
      </c>
      <c r="X35" s="531"/>
      <c r="Y35" s="530" t="s">
        <v>116</v>
      </c>
      <c r="Z35" s="531"/>
      <c r="AA35" s="532" t="s">
        <v>94</v>
      </c>
      <c r="AB35" s="165"/>
    </row>
    <row r="36" spans="1:28" ht="16.2" thickBot="1" x14ac:dyDescent="0.35">
      <c r="A36" s="1"/>
      <c r="B36" s="535"/>
      <c r="C36" s="266" t="s">
        <v>52</v>
      </c>
      <c r="D36" s="266" t="s">
        <v>100</v>
      </c>
      <c r="E36" s="266" t="s">
        <v>52</v>
      </c>
      <c r="F36" s="266" t="s">
        <v>100</v>
      </c>
      <c r="G36" s="266" t="s">
        <v>52</v>
      </c>
      <c r="H36" s="266" t="s">
        <v>100</v>
      </c>
      <c r="I36" s="266" t="s">
        <v>52</v>
      </c>
      <c r="J36" s="266" t="s">
        <v>100</v>
      </c>
      <c r="K36" s="266" t="s">
        <v>52</v>
      </c>
      <c r="L36" s="266" t="s">
        <v>100</v>
      </c>
      <c r="M36" s="266" t="s">
        <v>52</v>
      </c>
      <c r="N36" s="266" t="s">
        <v>100</v>
      </c>
      <c r="O36" s="266" t="s">
        <v>52</v>
      </c>
      <c r="P36" s="266" t="s">
        <v>100</v>
      </c>
      <c r="Q36" s="266" t="s">
        <v>52</v>
      </c>
      <c r="R36" s="266" t="s">
        <v>100</v>
      </c>
      <c r="S36" s="266" t="s">
        <v>52</v>
      </c>
      <c r="T36" s="266" t="s">
        <v>100</v>
      </c>
      <c r="U36" s="266" t="s">
        <v>52</v>
      </c>
      <c r="V36" s="266" t="s">
        <v>100</v>
      </c>
      <c r="W36" s="266" t="s">
        <v>52</v>
      </c>
      <c r="X36" s="266" t="s">
        <v>100</v>
      </c>
      <c r="Y36" s="266" t="s">
        <v>52</v>
      </c>
      <c r="Z36" s="266" t="s">
        <v>100</v>
      </c>
      <c r="AA36" s="533"/>
      <c r="AB36" s="165"/>
    </row>
    <row r="37" spans="1:28" ht="14.4" x14ac:dyDescent="0.3">
      <c r="A37" s="1"/>
      <c r="B37" s="31" t="str">
        <f>'Anexo capacidad operativa'!B32</f>
        <v>Desarrollador</v>
      </c>
      <c r="C37" s="262">
        <f>'Anexo capacidad operativa'!C32</f>
        <v>2</v>
      </c>
      <c r="D37" s="74">
        <f>C37*$L$16</f>
        <v>493941.42960000003</v>
      </c>
      <c r="E37" s="261">
        <f>'Anexo capacidad operativa'!E32</f>
        <v>2</v>
      </c>
      <c r="F37" s="74">
        <f>E37*$L$16</f>
        <v>493941.42960000003</v>
      </c>
      <c r="G37" s="261">
        <f>'Anexo capacidad operativa'!G32</f>
        <v>2</v>
      </c>
      <c r="H37" s="74">
        <f t="shared" ref="H37" si="36">G37*$L$16</f>
        <v>493941.42960000003</v>
      </c>
      <c r="I37" s="261">
        <f>'Anexo capacidad operativa'!I32</f>
        <v>2</v>
      </c>
      <c r="J37" s="74">
        <f t="shared" ref="J37" si="37">I37*$L$16</f>
        <v>493941.42960000003</v>
      </c>
      <c r="K37" s="261">
        <f>'Anexo capacidad operativa'!K32</f>
        <v>2</v>
      </c>
      <c r="L37" s="74">
        <f t="shared" ref="L37" si="38">K37*$L$16</f>
        <v>493941.42960000003</v>
      </c>
      <c r="M37" s="261">
        <f>'Anexo capacidad operativa'!M32</f>
        <v>3</v>
      </c>
      <c r="N37" s="74">
        <f t="shared" ref="N37" si="39">M37*$L$16</f>
        <v>740912.14440000011</v>
      </c>
      <c r="O37" s="261">
        <f>'Anexo capacidad operativa'!O32</f>
        <v>3</v>
      </c>
      <c r="P37" s="74">
        <f t="shared" ref="P37" si="40">O37*$L$16</f>
        <v>740912.14440000011</v>
      </c>
      <c r="Q37" s="261">
        <f>'Anexo capacidad operativa'!Q32</f>
        <v>3</v>
      </c>
      <c r="R37" s="74">
        <f t="shared" ref="R37" si="41">Q37*$L$16</f>
        <v>740912.14440000011</v>
      </c>
      <c r="S37" s="261">
        <f>'Anexo capacidad operativa'!S32</f>
        <v>3</v>
      </c>
      <c r="T37" s="74">
        <f t="shared" ref="T37" si="42">S37*$L$16</f>
        <v>740912.14440000011</v>
      </c>
      <c r="U37" s="261">
        <f>'Anexo capacidad operativa'!U32</f>
        <v>3</v>
      </c>
      <c r="V37" s="74">
        <f t="shared" ref="V37" si="43">U37*$L$16</f>
        <v>740912.14440000011</v>
      </c>
      <c r="W37" s="261">
        <f>'Anexo capacidad operativa'!W32</f>
        <v>3</v>
      </c>
      <c r="X37" s="74">
        <f t="shared" ref="X37" si="44">W37*$L$16</f>
        <v>740912.14440000011</v>
      </c>
      <c r="Y37" s="261">
        <f>'Anexo capacidad operativa'!Y32</f>
        <v>3</v>
      </c>
      <c r="Z37" s="74">
        <f t="shared" ref="Z37" si="45">Y37*$L$16</f>
        <v>740912.14440000011</v>
      </c>
      <c r="AA37" s="267">
        <f t="shared" ref="AA37:AA41" si="46">D37+F37+H37+J37+L37+N37+P37+R37+T37+V37+X37+Z37</f>
        <v>7656092.1588000022</v>
      </c>
      <c r="AB37" s="165"/>
    </row>
    <row r="38" spans="1:28" ht="15.75" customHeight="1" x14ac:dyDescent="0.3">
      <c r="A38" s="1"/>
      <c r="B38" s="33" t="str">
        <f>'Anexo capacidad operativa'!B33</f>
        <v>Gerente de servicios</v>
      </c>
      <c r="C38" s="262">
        <f>'Anexo capacidad operativa'!C33</f>
        <v>1</v>
      </c>
      <c r="D38" s="74">
        <f>C38*$L$15</f>
        <v>306855.41499999998</v>
      </c>
      <c r="E38" s="261">
        <f>'Anexo capacidad operativa'!E33</f>
        <v>1</v>
      </c>
      <c r="F38" s="74">
        <f>E38*$L$15</f>
        <v>306855.41499999998</v>
      </c>
      <c r="G38" s="261">
        <f>'Anexo capacidad operativa'!G33</f>
        <v>1</v>
      </c>
      <c r="H38" s="74">
        <f>G38*$L$15</f>
        <v>306855.41499999998</v>
      </c>
      <c r="I38" s="261">
        <f>'Anexo capacidad operativa'!I33</f>
        <v>1</v>
      </c>
      <c r="J38" s="74">
        <f>I38*$L$15</f>
        <v>306855.41499999998</v>
      </c>
      <c r="K38" s="261">
        <f>'Anexo capacidad operativa'!K33</f>
        <v>1</v>
      </c>
      <c r="L38" s="74">
        <f>K38*$L$15</f>
        <v>306855.41499999998</v>
      </c>
      <c r="M38" s="261">
        <f>'Anexo capacidad operativa'!M33</f>
        <v>1</v>
      </c>
      <c r="N38" s="74">
        <f>M38*$L$15</f>
        <v>306855.41499999998</v>
      </c>
      <c r="O38" s="261">
        <f>'Anexo capacidad operativa'!O33</f>
        <v>1</v>
      </c>
      <c r="P38" s="74">
        <f>O38*$L$15</f>
        <v>306855.41499999998</v>
      </c>
      <c r="Q38" s="261">
        <f>'Anexo capacidad operativa'!Q33</f>
        <v>1</v>
      </c>
      <c r="R38" s="74">
        <f>Q38*$L$15</f>
        <v>306855.41499999998</v>
      </c>
      <c r="S38" s="261">
        <f>'Anexo capacidad operativa'!S33</f>
        <v>1</v>
      </c>
      <c r="T38" s="74">
        <f>S38*$L$15</f>
        <v>306855.41499999998</v>
      </c>
      <c r="U38" s="261">
        <f>'Anexo capacidad operativa'!U33</f>
        <v>1</v>
      </c>
      <c r="V38" s="74">
        <f>U38*$L$15</f>
        <v>306855.41499999998</v>
      </c>
      <c r="W38" s="261">
        <f>'Anexo capacidad operativa'!W33</f>
        <v>1</v>
      </c>
      <c r="X38" s="74">
        <f>W38*$L$15</f>
        <v>306855.41499999998</v>
      </c>
      <c r="Y38" s="261">
        <f>'Anexo capacidad operativa'!Y33</f>
        <v>1</v>
      </c>
      <c r="Z38" s="74">
        <f>Y38*$L$15</f>
        <v>306855.41499999998</v>
      </c>
      <c r="AA38" s="267">
        <f t="shared" si="46"/>
        <v>3682264.98</v>
      </c>
      <c r="AB38" s="165"/>
    </row>
    <row r="39" spans="1:28" ht="15.75" customHeight="1" x14ac:dyDescent="0.3">
      <c r="A39" s="1"/>
      <c r="B39" s="33" t="str">
        <f>'Anexo capacidad operativa'!B34</f>
        <v>Empleado de tecnologia</v>
      </c>
      <c r="C39" s="262">
        <f>'Anexo capacidad operativa'!C34</f>
        <v>1</v>
      </c>
      <c r="D39" s="74">
        <f>C39*$L$17</f>
        <v>112803.82</v>
      </c>
      <c r="E39" s="261">
        <f>'Anexo capacidad operativa'!E34</f>
        <v>1</v>
      </c>
      <c r="F39" s="74">
        <f>E39*$L$17</f>
        <v>112803.82</v>
      </c>
      <c r="G39" s="261">
        <f>'Anexo capacidad operativa'!G34</f>
        <v>1</v>
      </c>
      <c r="H39" s="74">
        <f t="shared" ref="H39" si="47">G39*$L$17</f>
        <v>112803.82</v>
      </c>
      <c r="I39" s="261">
        <f>'Anexo capacidad operativa'!I34</f>
        <v>1</v>
      </c>
      <c r="J39" s="74">
        <f t="shared" ref="J39" si="48">I39*$L$17</f>
        <v>112803.82</v>
      </c>
      <c r="K39" s="261">
        <f>'Anexo capacidad operativa'!K34</f>
        <v>1</v>
      </c>
      <c r="L39" s="74">
        <f t="shared" ref="L39" si="49">K39*$L$17</f>
        <v>112803.82</v>
      </c>
      <c r="M39" s="261">
        <f>'Anexo capacidad operativa'!M34</f>
        <v>1</v>
      </c>
      <c r="N39" s="74">
        <f t="shared" ref="N39" si="50">M39*$L$17</f>
        <v>112803.82</v>
      </c>
      <c r="O39" s="261">
        <f>'Anexo capacidad operativa'!O34</f>
        <v>1</v>
      </c>
      <c r="P39" s="74">
        <f t="shared" ref="P39" si="51">O39*$L$17</f>
        <v>112803.82</v>
      </c>
      <c r="Q39" s="261">
        <f>'Anexo capacidad operativa'!Q34</f>
        <v>1</v>
      </c>
      <c r="R39" s="74">
        <f t="shared" ref="R39" si="52">Q39*$L$17</f>
        <v>112803.82</v>
      </c>
      <c r="S39" s="261">
        <f>'Anexo capacidad operativa'!S34</f>
        <v>1</v>
      </c>
      <c r="T39" s="74">
        <f t="shared" ref="T39" si="53">S39*$L$17</f>
        <v>112803.82</v>
      </c>
      <c r="U39" s="261">
        <f>'Anexo capacidad operativa'!U34</f>
        <v>1</v>
      </c>
      <c r="V39" s="74">
        <f t="shared" ref="V39" si="54">U39*$L$17</f>
        <v>112803.82</v>
      </c>
      <c r="W39" s="261">
        <f>'Anexo capacidad operativa'!W34</f>
        <v>1</v>
      </c>
      <c r="X39" s="74">
        <f t="shared" ref="X39" si="55">W39*$L$17</f>
        <v>112803.82</v>
      </c>
      <c r="Y39" s="261">
        <f>'Anexo capacidad operativa'!Y34</f>
        <v>1</v>
      </c>
      <c r="Z39" s="74">
        <f t="shared" ref="Z39" si="56">Y39*$L$17</f>
        <v>112803.82</v>
      </c>
      <c r="AA39" s="267">
        <f t="shared" si="46"/>
        <v>1353645.8400000005</v>
      </c>
      <c r="AB39" s="165"/>
    </row>
    <row r="40" spans="1:28" ht="15.75" customHeight="1" x14ac:dyDescent="0.3">
      <c r="A40" s="1"/>
      <c r="B40" s="33" t="str">
        <f>'Anexo capacidad operativa'!B35</f>
        <v>Tester</v>
      </c>
      <c r="C40" s="262">
        <f>'Anexo capacidad operativa'!C35</f>
        <v>1</v>
      </c>
      <c r="D40" s="74">
        <f>$L$14*C40</f>
        <v>128358.4301</v>
      </c>
      <c r="E40" s="262">
        <f>'Anexo capacidad operativa'!E35</f>
        <v>1</v>
      </c>
      <c r="F40" s="74">
        <f>$L$14*E40</f>
        <v>128358.4301</v>
      </c>
      <c r="G40" s="262">
        <f>'Anexo capacidad operativa'!G35</f>
        <v>1</v>
      </c>
      <c r="H40" s="74">
        <f>$L$14*G40</f>
        <v>128358.4301</v>
      </c>
      <c r="I40" s="262">
        <f>'Anexo capacidad operativa'!I35</f>
        <v>1</v>
      </c>
      <c r="J40" s="74">
        <f>$L$14*I40</f>
        <v>128358.4301</v>
      </c>
      <c r="K40" s="262">
        <f>'Anexo capacidad operativa'!K35</f>
        <v>1</v>
      </c>
      <c r="L40" s="74">
        <f>$L$14*K40</f>
        <v>128358.4301</v>
      </c>
      <c r="M40" s="262">
        <f>'Anexo capacidad operativa'!M35</f>
        <v>2</v>
      </c>
      <c r="N40" s="74">
        <f>$L$14*M40</f>
        <v>256716.8602</v>
      </c>
      <c r="O40" s="262">
        <f>'Anexo capacidad operativa'!O35</f>
        <v>2</v>
      </c>
      <c r="P40" s="74">
        <f>$L$14*O40</f>
        <v>256716.8602</v>
      </c>
      <c r="Q40" s="262">
        <f>'Anexo capacidad operativa'!Q35</f>
        <v>2</v>
      </c>
      <c r="R40" s="74">
        <f>$L$14*Q40</f>
        <v>256716.8602</v>
      </c>
      <c r="S40" s="262">
        <f>'Anexo capacidad operativa'!S35</f>
        <v>2</v>
      </c>
      <c r="T40" s="74">
        <f>$L$14*S40</f>
        <v>256716.8602</v>
      </c>
      <c r="U40" s="262">
        <f>'Anexo capacidad operativa'!U35</f>
        <v>2</v>
      </c>
      <c r="V40" s="74">
        <f>$L$14*U40</f>
        <v>256716.8602</v>
      </c>
      <c r="W40" s="262">
        <f>'Anexo capacidad operativa'!W35</f>
        <v>2</v>
      </c>
      <c r="X40" s="74">
        <f>$L$14*W40</f>
        <v>256716.8602</v>
      </c>
      <c r="Y40" s="262">
        <f>'Anexo capacidad operativa'!Y35</f>
        <v>2</v>
      </c>
      <c r="Z40" s="74">
        <f>$L$14*Y40</f>
        <v>256716.8602</v>
      </c>
      <c r="AA40" s="267">
        <f t="shared" si="46"/>
        <v>2438810.1719</v>
      </c>
      <c r="AB40" s="165"/>
    </row>
    <row r="41" spans="1:28" ht="15.75" customHeight="1" x14ac:dyDescent="0.3">
      <c r="A41" s="1"/>
      <c r="B41" s="33" t="str">
        <f>'Anexo capacidad operativa'!B36</f>
        <v>Empleado administrativo de ventas</v>
      </c>
      <c r="C41" s="262">
        <f>'Anexo capacidad operativa'!C36</f>
        <v>2</v>
      </c>
      <c r="D41" s="74">
        <f>C41*$L$18</f>
        <v>198783.03999999998</v>
      </c>
      <c r="E41" s="261">
        <f>'Anexo capacidad operativa'!E36</f>
        <v>2</v>
      </c>
      <c r="F41" s="74">
        <f>E41*$L$18</f>
        <v>198783.03999999998</v>
      </c>
      <c r="G41" s="261">
        <f>'Anexo capacidad operativa'!G36</f>
        <v>2</v>
      </c>
      <c r="H41" s="74">
        <f t="shared" ref="H41" si="57">G41*$L$18</f>
        <v>198783.03999999998</v>
      </c>
      <c r="I41" s="261">
        <f>'Anexo capacidad operativa'!I36</f>
        <v>2</v>
      </c>
      <c r="J41" s="74">
        <f t="shared" ref="J41" si="58">I41*$L$18</f>
        <v>198783.03999999998</v>
      </c>
      <c r="K41" s="261">
        <f>'Anexo capacidad operativa'!K36</f>
        <v>2</v>
      </c>
      <c r="L41" s="74">
        <f t="shared" ref="L41" si="59">K41*$L$18</f>
        <v>198783.03999999998</v>
      </c>
      <c r="M41" s="261">
        <f>'Anexo capacidad operativa'!M36</f>
        <v>3</v>
      </c>
      <c r="N41" s="74">
        <f t="shared" ref="N41" si="60">M41*$L$18</f>
        <v>298174.55999999994</v>
      </c>
      <c r="O41" s="261">
        <f>'Anexo capacidad operativa'!O36</f>
        <v>3</v>
      </c>
      <c r="P41" s="74">
        <f t="shared" ref="P41" si="61">O41*$L$18</f>
        <v>298174.55999999994</v>
      </c>
      <c r="Q41" s="261">
        <f>'Anexo capacidad operativa'!Q36</f>
        <v>3</v>
      </c>
      <c r="R41" s="74">
        <f t="shared" ref="R41" si="62">Q41*$L$18</f>
        <v>298174.55999999994</v>
      </c>
      <c r="S41" s="261">
        <f>'Anexo capacidad operativa'!S36</f>
        <v>3</v>
      </c>
      <c r="T41" s="74">
        <f t="shared" ref="T41" si="63">S41*$L$18</f>
        <v>298174.55999999994</v>
      </c>
      <c r="U41" s="261">
        <f>'Anexo capacidad operativa'!U36</f>
        <v>3</v>
      </c>
      <c r="V41" s="74">
        <f t="shared" ref="V41" si="64">U41*$L$18</f>
        <v>298174.55999999994</v>
      </c>
      <c r="W41" s="261">
        <f>'Anexo capacidad operativa'!W36</f>
        <v>3</v>
      </c>
      <c r="X41" s="74">
        <f t="shared" ref="X41" si="65">W41*$L$18</f>
        <v>298174.55999999994</v>
      </c>
      <c r="Y41" s="261">
        <f>'Anexo capacidad operativa'!Y36</f>
        <v>3</v>
      </c>
      <c r="Z41" s="74">
        <f t="shared" ref="Z41" si="66">Y41*$L$18</f>
        <v>298174.55999999994</v>
      </c>
      <c r="AA41" s="267">
        <f t="shared" si="46"/>
        <v>3081137.12</v>
      </c>
      <c r="AB41" s="165"/>
    </row>
    <row r="42" spans="1:28" ht="15.75" customHeight="1" thickBot="1" x14ac:dyDescent="0.35">
      <c r="A42" s="109"/>
      <c r="B42" s="271" t="s">
        <v>117</v>
      </c>
      <c r="C42" s="272">
        <f t="shared" ref="C42:Z42" si="67">SUM(C37:C41)</f>
        <v>7</v>
      </c>
      <c r="D42" s="270">
        <f t="shared" si="67"/>
        <v>1240742.1347000001</v>
      </c>
      <c r="E42" s="269">
        <f t="shared" si="67"/>
        <v>7</v>
      </c>
      <c r="F42" s="270">
        <f t="shared" si="67"/>
        <v>1240742.1347000001</v>
      </c>
      <c r="G42" s="269">
        <f t="shared" si="67"/>
        <v>7</v>
      </c>
      <c r="H42" s="270">
        <f t="shared" si="67"/>
        <v>1240742.1347000001</v>
      </c>
      <c r="I42" s="269">
        <f t="shared" si="67"/>
        <v>7</v>
      </c>
      <c r="J42" s="270">
        <f t="shared" si="67"/>
        <v>1240742.1347000001</v>
      </c>
      <c r="K42" s="269">
        <f t="shared" si="67"/>
        <v>7</v>
      </c>
      <c r="L42" s="270">
        <f t="shared" si="67"/>
        <v>1240742.1347000001</v>
      </c>
      <c r="M42" s="269">
        <f t="shared" si="67"/>
        <v>10</v>
      </c>
      <c r="N42" s="270">
        <f t="shared" si="67"/>
        <v>1715462.7996</v>
      </c>
      <c r="O42" s="269">
        <f t="shared" si="67"/>
        <v>10</v>
      </c>
      <c r="P42" s="270">
        <f t="shared" si="67"/>
        <v>1715462.7996</v>
      </c>
      <c r="Q42" s="269">
        <f t="shared" si="67"/>
        <v>10</v>
      </c>
      <c r="R42" s="270">
        <f t="shared" si="67"/>
        <v>1715462.7996</v>
      </c>
      <c r="S42" s="269">
        <f t="shared" si="67"/>
        <v>10</v>
      </c>
      <c r="T42" s="270">
        <f t="shared" si="67"/>
        <v>1715462.7996</v>
      </c>
      <c r="U42" s="269">
        <f t="shared" si="67"/>
        <v>10</v>
      </c>
      <c r="V42" s="270">
        <f t="shared" si="67"/>
        <v>1715462.7996</v>
      </c>
      <c r="W42" s="269">
        <f t="shared" si="67"/>
        <v>10</v>
      </c>
      <c r="X42" s="270">
        <f t="shared" si="67"/>
        <v>1715462.7996</v>
      </c>
      <c r="Y42" s="269">
        <f t="shared" si="67"/>
        <v>10</v>
      </c>
      <c r="Z42" s="270">
        <f t="shared" si="67"/>
        <v>1715462.7996</v>
      </c>
      <c r="AA42" s="75">
        <f>Z42+X42+V42+T42+R42+P42+N42+L42+J42+H42+F42+D42</f>
        <v>18211950.2707</v>
      </c>
      <c r="AB42" s="165"/>
    </row>
    <row r="43" spans="1:28" ht="15.75" customHeight="1" x14ac:dyDescent="0.3">
      <c r="A43" s="109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  <c r="AA43" s="165"/>
      <c r="AB43" s="165"/>
    </row>
    <row r="44" spans="1:28" ht="15.75" customHeight="1" x14ac:dyDescent="0.3">
      <c r="A44" s="109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  <c r="AA44" s="165"/>
      <c r="AB44" s="165"/>
    </row>
    <row r="45" spans="1:28" ht="15.75" customHeight="1" thickBot="1" x14ac:dyDescent="0.35">
      <c r="A45" s="1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</row>
    <row r="46" spans="1:28" ht="24" customHeight="1" thickBot="1" x14ac:dyDescent="0.55000000000000004">
      <c r="A46" s="1"/>
      <c r="B46" s="521" t="s">
        <v>232</v>
      </c>
      <c r="C46" s="522"/>
      <c r="D46" s="522"/>
      <c r="E46" s="522"/>
      <c r="F46" s="522"/>
      <c r="G46" s="522"/>
      <c r="H46" s="522"/>
      <c r="I46" s="522"/>
      <c r="J46" s="522"/>
      <c r="K46" s="522"/>
      <c r="L46" s="522"/>
      <c r="M46" s="522"/>
      <c r="N46" s="522"/>
      <c r="O46" s="522"/>
      <c r="P46" s="522"/>
      <c r="Q46" s="522"/>
      <c r="R46" s="522"/>
      <c r="S46" s="522"/>
      <c r="T46" s="522"/>
      <c r="U46" s="522"/>
      <c r="V46" s="522"/>
      <c r="W46" s="522"/>
      <c r="X46" s="522"/>
      <c r="Y46" s="522"/>
      <c r="Z46" s="522"/>
      <c r="AA46" s="523"/>
      <c r="AB46" s="165"/>
    </row>
    <row r="47" spans="1:28" ht="15.75" customHeight="1" x14ac:dyDescent="0.25">
      <c r="B47" s="534" t="s">
        <v>104</v>
      </c>
      <c r="C47" s="530" t="s">
        <v>39</v>
      </c>
      <c r="D47" s="531"/>
      <c r="E47" s="530" t="s">
        <v>40</v>
      </c>
      <c r="F47" s="531"/>
      <c r="G47" s="530" t="s">
        <v>41</v>
      </c>
      <c r="H47" s="531"/>
      <c r="I47" s="530" t="s">
        <v>42</v>
      </c>
      <c r="J47" s="531"/>
      <c r="K47" s="530" t="s">
        <v>43</v>
      </c>
      <c r="L47" s="531"/>
      <c r="M47" s="530" t="s">
        <v>115</v>
      </c>
      <c r="N47" s="531"/>
      <c r="O47" s="530" t="s">
        <v>45</v>
      </c>
      <c r="P47" s="531"/>
      <c r="Q47" s="530" t="s">
        <v>46</v>
      </c>
      <c r="R47" s="531"/>
      <c r="S47" s="530" t="s">
        <v>47</v>
      </c>
      <c r="T47" s="531"/>
      <c r="U47" s="530" t="s">
        <v>48</v>
      </c>
      <c r="V47" s="531"/>
      <c r="W47" s="530" t="s">
        <v>49</v>
      </c>
      <c r="X47" s="531"/>
      <c r="Y47" s="530" t="s">
        <v>116</v>
      </c>
      <c r="Z47" s="531"/>
      <c r="AA47" s="532" t="s">
        <v>94</v>
      </c>
      <c r="AB47" s="165"/>
    </row>
    <row r="48" spans="1:28" ht="15.75" customHeight="1" thickBot="1" x14ac:dyDescent="0.3">
      <c r="A48" s="165"/>
      <c r="B48" s="535"/>
      <c r="C48" s="266" t="s">
        <v>52</v>
      </c>
      <c r="D48" s="266" t="s">
        <v>100</v>
      </c>
      <c r="E48" s="266" t="s">
        <v>52</v>
      </c>
      <c r="F48" s="266" t="s">
        <v>100</v>
      </c>
      <c r="G48" s="266" t="s">
        <v>52</v>
      </c>
      <c r="H48" s="266" t="s">
        <v>100</v>
      </c>
      <c r="I48" s="266" t="s">
        <v>52</v>
      </c>
      <c r="J48" s="266" t="s">
        <v>100</v>
      </c>
      <c r="K48" s="266" t="s">
        <v>52</v>
      </c>
      <c r="L48" s="266" t="s">
        <v>100</v>
      </c>
      <c r="M48" s="266" t="s">
        <v>52</v>
      </c>
      <c r="N48" s="266" t="s">
        <v>100</v>
      </c>
      <c r="O48" s="266" t="s">
        <v>52</v>
      </c>
      <c r="P48" s="266" t="s">
        <v>100</v>
      </c>
      <c r="Q48" s="266" t="s">
        <v>52</v>
      </c>
      <c r="R48" s="266" t="s">
        <v>100</v>
      </c>
      <c r="S48" s="266" t="s">
        <v>52</v>
      </c>
      <c r="T48" s="266" t="s">
        <v>100</v>
      </c>
      <c r="U48" s="266" t="s">
        <v>52</v>
      </c>
      <c r="V48" s="266" t="s">
        <v>100</v>
      </c>
      <c r="W48" s="266" t="s">
        <v>52</v>
      </c>
      <c r="X48" s="266" t="s">
        <v>100</v>
      </c>
      <c r="Y48" s="266" t="s">
        <v>52</v>
      </c>
      <c r="Z48" s="266" t="s">
        <v>100</v>
      </c>
      <c r="AA48" s="533"/>
      <c r="AB48" s="165"/>
    </row>
    <row r="49" spans="1:31" ht="15.75" customHeight="1" x14ac:dyDescent="0.3">
      <c r="A49" s="165"/>
      <c r="B49" s="31" t="str">
        <f>'Anexo capacidad operativa'!B42</f>
        <v>Desarrollador</v>
      </c>
      <c r="C49" s="262">
        <f>'Anexo capacidad operativa'!C42</f>
        <v>3</v>
      </c>
      <c r="D49" s="74">
        <f>C49*$L$16</f>
        <v>740912.14440000011</v>
      </c>
      <c r="E49" s="261">
        <f>'Anexo capacidad operativa'!E42</f>
        <v>3</v>
      </c>
      <c r="F49" s="74">
        <f t="shared" ref="F49" si="68">E49*$L$16</f>
        <v>740912.14440000011</v>
      </c>
      <c r="G49" s="261">
        <f>'Anexo capacidad operativa'!G42</f>
        <v>3</v>
      </c>
      <c r="H49" s="74">
        <f t="shared" ref="H49" si="69">G49*$L$16</f>
        <v>740912.14440000011</v>
      </c>
      <c r="I49" s="261">
        <f>'Anexo capacidad operativa'!I42</f>
        <v>3</v>
      </c>
      <c r="J49" s="74">
        <f t="shared" ref="J49" si="70">I49*$L$16</f>
        <v>740912.14440000011</v>
      </c>
      <c r="K49" s="261">
        <f>'Anexo capacidad operativa'!K42</f>
        <v>3</v>
      </c>
      <c r="L49" s="74">
        <f t="shared" ref="L49" si="71">K49*$L$16</f>
        <v>740912.14440000011</v>
      </c>
      <c r="M49" s="261">
        <f>'Anexo capacidad operativa'!M42</f>
        <v>3</v>
      </c>
      <c r="N49" s="74">
        <f t="shared" ref="N49" si="72">M49*$L$16</f>
        <v>740912.14440000011</v>
      </c>
      <c r="O49" s="261">
        <f>'Anexo capacidad operativa'!O42</f>
        <v>3</v>
      </c>
      <c r="P49" s="74">
        <f t="shared" ref="P49" si="73">O49*$L$16</f>
        <v>740912.14440000011</v>
      </c>
      <c r="Q49" s="261">
        <f>'Anexo capacidad operativa'!Q42</f>
        <v>3</v>
      </c>
      <c r="R49" s="74">
        <f t="shared" ref="R49" si="74">Q49*$L$16</f>
        <v>740912.14440000011</v>
      </c>
      <c r="S49" s="261">
        <f>'Anexo capacidad operativa'!S42</f>
        <v>3</v>
      </c>
      <c r="T49" s="74">
        <f t="shared" ref="T49" si="75">S49*$L$16</f>
        <v>740912.14440000011</v>
      </c>
      <c r="U49" s="261">
        <f>'Anexo capacidad operativa'!U42</f>
        <v>3</v>
      </c>
      <c r="V49" s="74">
        <f t="shared" ref="V49" si="76">U49*$L$16</f>
        <v>740912.14440000011</v>
      </c>
      <c r="W49" s="261">
        <f>'Anexo capacidad operativa'!W42</f>
        <v>3</v>
      </c>
      <c r="X49" s="74">
        <f t="shared" ref="X49" si="77">W49*$L$16</f>
        <v>740912.14440000011</v>
      </c>
      <c r="Y49" s="261">
        <f>'Anexo capacidad operativa'!Y42</f>
        <v>3</v>
      </c>
      <c r="Z49" s="74">
        <f t="shared" ref="Z49" si="78">Y49*$L$16</f>
        <v>740912.14440000011</v>
      </c>
      <c r="AA49" s="267">
        <f t="shared" ref="AA49:AA53" si="79">D49+F49+H49+J49+L49+N49+P49+R49+T49+V49+X49+Z49</f>
        <v>8890945.7328000031</v>
      </c>
      <c r="AB49" s="165"/>
    </row>
    <row r="50" spans="1:31" ht="15.75" customHeight="1" x14ac:dyDescent="0.3">
      <c r="A50" s="165"/>
      <c r="B50" s="33" t="str">
        <f>'Anexo capacidad operativa'!B43</f>
        <v>Gerente de servicios</v>
      </c>
      <c r="C50" s="262">
        <f>'Anexo capacidad operativa'!C43</f>
        <v>1</v>
      </c>
      <c r="D50" s="74">
        <f>C50*$L$15</f>
        <v>306855.41499999998</v>
      </c>
      <c r="E50" s="261">
        <f>'Anexo capacidad operativa'!E43</f>
        <v>1</v>
      </c>
      <c r="F50" s="74">
        <f>E50*$L$15</f>
        <v>306855.41499999998</v>
      </c>
      <c r="G50" s="261">
        <f>'Anexo capacidad operativa'!G43</f>
        <v>1</v>
      </c>
      <c r="H50" s="74">
        <f>G50*$L$15</f>
        <v>306855.41499999998</v>
      </c>
      <c r="I50" s="261">
        <f>'Anexo capacidad operativa'!I43</f>
        <v>1</v>
      </c>
      <c r="J50" s="74">
        <f>I50*$L$15</f>
        <v>306855.41499999998</v>
      </c>
      <c r="K50" s="261">
        <f>'Anexo capacidad operativa'!K43</f>
        <v>1</v>
      </c>
      <c r="L50" s="74">
        <f>K50*$L$15</f>
        <v>306855.41499999998</v>
      </c>
      <c r="M50" s="261">
        <f>'Anexo capacidad operativa'!M43</f>
        <v>1</v>
      </c>
      <c r="N50" s="74">
        <f>M50*$L$15</f>
        <v>306855.41499999998</v>
      </c>
      <c r="O50" s="261">
        <f>'Anexo capacidad operativa'!O43</f>
        <v>1</v>
      </c>
      <c r="P50" s="74">
        <f>O50*$L$15</f>
        <v>306855.41499999998</v>
      </c>
      <c r="Q50" s="261">
        <f>'Anexo capacidad operativa'!Q43</f>
        <v>1</v>
      </c>
      <c r="R50" s="74">
        <f>Q50*$L$15</f>
        <v>306855.41499999998</v>
      </c>
      <c r="S50" s="261">
        <f>'Anexo capacidad operativa'!S43</f>
        <v>1</v>
      </c>
      <c r="T50" s="74">
        <f>S50*$L$15</f>
        <v>306855.41499999998</v>
      </c>
      <c r="U50" s="261">
        <f>'Anexo capacidad operativa'!U43</f>
        <v>1</v>
      </c>
      <c r="V50" s="74">
        <f>U50*$L$15</f>
        <v>306855.41499999998</v>
      </c>
      <c r="W50" s="261">
        <f>'Anexo capacidad operativa'!W43</f>
        <v>1</v>
      </c>
      <c r="X50" s="74">
        <f>W50*$L$15</f>
        <v>306855.41499999998</v>
      </c>
      <c r="Y50" s="261">
        <f>'Anexo capacidad operativa'!Y43</f>
        <v>1</v>
      </c>
      <c r="Z50" s="74">
        <f>Y50*$L$15</f>
        <v>306855.41499999998</v>
      </c>
      <c r="AA50" s="267">
        <f t="shared" si="79"/>
        <v>3682264.98</v>
      </c>
      <c r="AB50" s="165"/>
    </row>
    <row r="51" spans="1:31" ht="14.4" x14ac:dyDescent="0.3">
      <c r="A51" s="165"/>
      <c r="B51" s="33" t="str">
        <f>'Anexo capacidad operativa'!B44</f>
        <v>Empleado de tecnologia</v>
      </c>
      <c r="C51" s="262">
        <f>'Anexo capacidad operativa'!C44</f>
        <v>1</v>
      </c>
      <c r="D51" s="74">
        <f>C51*$L$17</f>
        <v>112803.82</v>
      </c>
      <c r="E51" s="261">
        <f>'Anexo capacidad operativa'!E44</f>
        <v>1</v>
      </c>
      <c r="F51" s="74">
        <f t="shared" ref="F51" si="80">E51*$L$17</f>
        <v>112803.82</v>
      </c>
      <c r="G51" s="261">
        <f>'Anexo capacidad operativa'!G44</f>
        <v>1</v>
      </c>
      <c r="H51" s="74">
        <f t="shared" ref="H51" si="81">G51*$L$17</f>
        <v>112803.82</v>
      </c>
      <c r="I51" s="261">
        <f>'Anexo capacidad operativa'!I44</f>
        <v>1</v>
      </c>
      <c r="J51" s="74">
        <f t="shared" ref="J51" si="82">I51*$L$17</f>
        <v>112803.82</v>
      </c>
      <c r="K51" s="261">
        <f>'Anexo capacidad operativa'!K44</f>
        <v>1</v>
      </c>
      <c r="L51" s="74">
        <f t="shared" ref="L51" si="83">K51*$L$17</f>
        <v>112803.82</v>
      </c>
      <c r="M51" s="261">
        <f>'Anexo capacidad operativa'!M44</f>
        <v>1</v>
      </c>
      <c r="N51" s="74">
        <f t="shared" ref="N51" si="84">M51*$L$17</f>
        <v>112803.82</v>
      </c>
      <c r="O51" s="261">
        <f>'Anexo capacidad operativa'!O44</f>
        <v>1</v>
      </c>
      <c r="P51" s="74">
        <f t="shared" ref="P51" si="85">O51*$L$17</f>
        <v>112803.82</v>
      </c>
      <c r="Q51" s="261">
        <f>'Anexo capacidad operativa'!Q44</f>
        <v>1</v>
      </c>
      <c r="R51" s="74">
        <f t="shared" ref="R51" si="86">Q51*$L$17</f>
        <v>112803.82</v>
      </c>
      <c r="S51" s="261">
        <f>'Anexo capacidad operativa'!S44</f>
        <v>1</v>
      </c>
      <c r="T51" s="74">
        <f t="shared" ref="T51" si="87">S51*$L$17</f>
        <v>112803.82</v>
      </c>
      <c r="U51" s="261">
        <f>'Anexo capacidad operativa'!U44</f>
        <v>1</v>
      </c>
      <c r="V51" s="74">
        <f t="shared" ref="V51" si="88">U51*$L$17</f>
        <v>112803.82</v>
      </c>
      <c r="W51" s="261">
        <f>'Anexo capacidad operativa'!W44</f>
        <v>1</v>
      </c>
      <c r="X51" s="74">
        <f t="shared" ref="X51" si="89">W51*$L$17</f>
        <v>112803.82</v>
      </c>
      <c r="Y51" s="261">
        <f>'Anexo capacidad operativa'!Y44</f>
        <v>1</v>
      </c>
      <c r="Z51" s="74">
        <f t="shared" ref="Z51" si="90">Y51*$L$17</f>
        <v>112803.82</v>
      </c>
      <c r="AA51" s="267">
        <f t="shared" si="79"/>
        <v>1353645.8400000005</v>
      </c>
      <c r="AB51" s="165"/>
    </row>
    <row r="52" spans="1:31" ht="15.75" customHeight="1" x14ac:dyDescent="0.3">
      <c r="A52" s="165"/>
      <c r="B52" s="33" t="str">
        <f>'Anexo capacidad operativa'!B45</f>
        <v>Tester</v>
      </c>
      <c r="C52" s="262">
        <f>'Anexo capacidad operativa'!C45</f>
        <v>2</v>
      </c>
      <c r="D52" s="74">
        <f>$L$14*C52</f>
        <v>256716.8602</v>
      </c>
      <c r="E52" s="262">
        <f>'Anexo capacidad operativa'!E45</f>
        <v>2</v>
      </c>
      <c r="F52" s="74">
        <f>$L$14*E52</f>
        <v>256716.8602</v>
      </c>
      <c r="G52" s="262">
        <f>'Anexo capacidad operativa'!G45</f>
        <v>2</v>
      </c>
      <c r="H52" s="74">
        <f>$L$14*G52</f>
        <v>256716.8602</v>
      </c>
      <c r="I52" s="262">
        <f>'Anexo capacidad operativa'!I45</f>
        <v>2</v>
      </c>
      <c r="J52" s="74">
        <f>$L$14*I52</f>
        <v>256716.8602</v>
      </c>
      <c r="K52" s="262">
        <f>'Anexo capacidad operativa'!K45</f>
        <v>2</v>
      </c>
      <c r="L52" s="74">
        <f>$L$14*K52</f>
        <v>256716.8602</v>
      </c>
      <c r="M52" s="262">
        <f>'Anexo capacidad operativa'!M45</f>
        <v>3</v>
      </c>
      <c r="N52" s="74">
        <f>$L$14*M52</f>
        <v>385075.29029999999</v>
      </c>
      <c r="O52" s="262">
        <f>'Anexo capacidad operativa'!O45</f>
        <v>3</v>
      </c>
      <c r="P52" s="74">
        <f>$L$14*O52</f>
        <v>385075.29029999999</v>
      </c>
      <c r="Q52" s="262">
        <f>'Anexo capacidad operativa'!Q45</f>
        <v>3</v>
      </c>
      <c r="R52" s="74">
        <f>$L$14*Q52</f>
        <v>385075.29029999999</v>
      </c>
      <c r="S52" s="262">
        <f>'Anexo capacidad operativa'!S45</f>
        <v>3</v>
      </c>
      <c r="T52" s="74">
        <f>$L$14*S52</f>
        <v>385075.29029999999</v>
      </c>
      <c r="U52" s="262">
        <f>'Anexo capacidad operativa'!U45</f>
        <v>3</v>
      </c>
      <c r="V52" s="74">
        <f>$L$14*U52</f>
        <v>385075.29029999999</v>
      </c>
      <c r="W52" s="262">
        <f>'Anexo capacidad operativa'!W45</f>
        <v>3</v>
      </c>
      <c r="X52" s="74">
        <f>$L$14*W52</f>
        <v>385075.29029999999</v>
      </c>
      <c r="Y52" s="262">
        <f>'Anexo capacidad operativa'!Y45</f>
        <v>3</v>
      </c>
      <c r="Z52" s="74">
        <f>$L$14*Y52</f>
        <v>385075.29029999999</v>
      </c>
      <c r="AA52" s="267">
        <f t="shared" si="79"/>
        <v>3979111.3330999999</v>
      </c>
      <c r="AB52" s="165"/>
    </row>
    <row r="53" spans="1:31" ht="15.75" customHeight="1" x14ac:dyDescent="0.3">
      <c r="A53" s="165"/>
      <c r="B53" s="33" t="str">
        <f>'Anexo capacidad operativa'!B46</f>
        <v>Empleado administrativo de ventas</v>
      </c>
      <c r="C53" s="262">
        <f>'Anexo capacidad operativa'!C46</f>
        <v>3</v>
      </c>
      <c r="D53" s="74">
        <f>C53*$L$18</f>
        <v>298174.55999999994</v>
      </c>
      <c r="E53" s="261">
        <f>'Anexo capacidad operativa'!E46</f>
        <v>3</v>
      </c>
      <c r="F53" s="74">
        <f t="shared" ref="F53" si="91">E53*$L$18</f>
        <v>298174.55999999994</v>
      </c>
      <c r="G53" s="261">
        <f>'Anexo capacidad operativa'!G46</f>
        <v>3</v>
      </c>
      <c r="H53" s="74">
        <f t="shared" ref="H53" si="92">G53*$L$18</f>
        <v>298174.55999999994</v>
      </c>
      <c r="I53" s="261">
        <f>'Anexo capacidad operativa'!I46</f>
        <v>3</v>
      </c>
      <c r="J53" s="74">
        <f t="shared" ref="J53" si="93">I53*$L$18</f>
        <v>298174.55999999994</v>
      </c>
      <c r="K53" s="261">
        <f>'Anexo capacidad operativa'!K46</f>
        <v>3</v>
      </c>
      <c r="L53" s="74">
        <f t="shared" ref="L53" si="94">K53*$L$18</f>
        <v>298174.55999999994</v>
      </c>
      <c r="M53" s="261">
        <f>'Anexo capacidad operativa'!M46</f>
        <v>3</v>
      </c>
      <c r="N53" s="74">
        <f t="shared" ref="N53" si="95">M53*$L$18</f>
        <v>298174.55999999994</v>
      </c>
      <c r="O53" s="261">
        <f>'Anexo capacidad operativa'!O46</f>
        <v>3</v>
      </c>
      <c r="P53" s="74">
        <f t="shared" ref="P53" si="96">O53*$L$18</f>
        <v>298174.55999999994</v>
      </c>
      <c r="Q53" s="261">
        <f>'Anexo capacidad operativa'!Q46</f>
        <v>3</v>
      </c>
      <c r="R53" s="74">
        <f t="shared" ref="R53" si="97">Q53*$L$18</f>
        <v>298174.55999999994</v>
      </c>
      <c r="S53" s="261">
        <f>'Anexo capacidad operativa'!S46</f>
        <v>3</v>
      </c>
      <c r="T53" s="74">
        <f t="shared" ref="T53" si="98">S53*$L$18</f>
        <v>298174.55999999994</v>
      </c>
      <c r="U53" s="261">
        <f>'Anexo capacidad operativa'!U46</f>
        <v>3</v>
      </c>
      <c r="V53" s="74">
        <f t="shared" ref="V53" si="99">U53*$L$18</f>
        <v>298174.55999999994</v>
      </c>
      <c r="W53" s="261">
        <f>'Anexo capacidad operativa'!W46</f>
        <v>3</v>
      </c>
      <c r="X53" s="74">
        <f t="shared" ref="X53" si="100">W53*$L$18</f>
        <v>298174.55999999994</v>
      </c>
      <c r="Y53" s="261">
        <f>'Anexo capacidad operativa'!Y46</f>
        <v>3</v>
      </c>
      <c r="Z53" s="74">
        <f t="shared" ref="Z53" si="101">Y53*$L$18</f>
        <v>298174.55999999994</v>
      </c>
      <c r="AA53" s="267">
        <f t="shared" si="79"/>
        <v>3578094.72</v>
      </c>
      <c r="AB53" s="165"/>
    </row>
    <row r="54" spans="1:31" ht="15.75" customHeight="1" x14ac:dyDescent="0.3">
      <c r="A54" s="165"/>
      <c r="B54" s="273" t="s">
        <v>117</v>
      </c>
      <c r="C54" s="274">
        <f t="shared" ref="C54:Z54" si="102">SUM(C49:C53)</f>
        <v>10</v>
      </c>
      <c r="D54" s="275">
        <f t="shared" si="102"/>
        <v>1715462.7996</v>
      </c>
      <c r="E54" s="274">
        <f t="shared" si="102"/>
        <v>10</v>
      </c>
      <c r="F54" s="275">
        <f t="shared" si="102"/>
        <v>1715462.7996</v>
      </c>
      <c r="G54" s="274">
        <f t="shared" si="102"/>
        <v>10</v>
      </c>
      <c r="H54" s="275">
        <f t="shared" si="102"/>
        <v>1715462.7996</v>
      </c>
      <c r="I54" s="274">
        <f t="shared" si="102"/>
        <v>10</v>
      </c>
      <c r="J54" s="275">
        <f t="shared" si="102"/>
        <v>1715462.7996</v>
      </c>
      <c r="K54" s="274">
        <f t="shared" si="102"/>
        <v>10</v>
      </c>
      <c r="L54" s="275">
        <f t="shared" si="102"/>
        <v>1715462.7996</v>
      </c>
      <c r="M54" s="274">
        <f t="shared" si="102"/>
        <v>11</v>
      </c>
      <c r="N54" s="275">
        <f t="shared" si="102"/>
        <v>1843821.2297</v>
      </c>
      <c r="O54" s="274">
        <f t="shared" si="102"/>
        <v>11</v>
      </c>
      <c r="P54" s="275">
        <f t="shared" si="102"/>
        <v>1843821.2297</v>
      </c>
      <c r="Q54" s="274">
        <f t="shared" si="102"/>
        <v>11</v>
      </c>
      <c r="R54" s="275">
        <f t="shared" si="102"/>
        <v>1843821.2297</v>
      </c>
      <c r="S54" s="274">
        <f t="shared" si="102"/>
        <v>11</v>
      </c>
      <c r="T54" s="275">
        <f t="shared" si="102"/>
        <v>1843821.2297</v>
      </c>
      <c r="U54" s="274">
        <f t="shared" si="102"/>
        <v>11</v>
      </c>
      <c r="V54" s="275">
        <f t="shared" si="102"/>
        <v>1843821.2297</v>
      </c>
      <c r="W54" s="274">
        <f t="shared" si="102"/>
        <v>11</v>
      </c>
      <c r="X54" s="275">
        <f t="shared" si="102"/>
        <v>1843821.2297</v>
      </c>
      <c r="Y54" s="274">
        <f t="shared" si="102"/>
        <v>11</v>
      </c>
      <c r="Z54" s="275">
        <f t="shared" si="102"/>
        <v>1843821.2297</v>
      </c>
      <c r="AA54" s="117">
        <f>Z54+X54+V54+T54+R54+P54+N54+L54+J54+H54+F54+D54</f>
        <v>21484062.605900001</v>
      </c>
      <c r="AB54" s="165"/>
    </row>
    <row r="55" spans="1:31" ht="15.75" customHeight="1" x14ac:dyDescent="0.3">
      <c r="A55" s="165"/>
      <c r="B55" s="165"/>
      <c r="C55" s="165"/>
      <c r="D55" s="1"/>
      <c r="E55" s="1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</row>
    <row r="56" spans="1:31" ht="15.75" customHeight="1" x14ac:dyDescent="0.3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D56" s="1"/>
      <c r="AE56" s="1"/>
    </row>
    <row r="57" spans="1:31" ht="15.75" customHeight="1" x14ac:dyDescent="0.3">
      <c r="A57" s="165"/>
      <c r="B57" s="1"/>
      <c r="C57" s="1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</row>
    <row r="58" spans="1:31" ht="15.75" customHeight="1" x14ac:dyDescent="0.3">
      <c r="A58" s="165"/>
      <c r="B58" s="1"/>
      <c r="C58" s="1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</row>
    <row r="59" spans="1:31" ht="15.75" customHeight="1" x14ac:dyDescent="0.3">
      <c r="A59" s="165"/>
      <c r="B59" s="109"/>
      <c r="C59" s="109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</row>
    <row r="60" spans="1:31" ht="15.75" customHeight="1" x14ac:dyDescent="0.3">
      <c r="A60" s="165"/>
      <c r="B60" s="109"/>
      <c r="C60" s="109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</row>
    <row r="61" spans="1:31" ht="15.75" customHeight="1" x14ac:dyDescent="0.3">
      <c r="A61" s="165"/>
      <c r="B61" s="1"/>
      <c r="C61" s="1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</row>
    <row r="62" spans="1:31" ht="15.75" customHeight="1" x14ac:dyDescent="0.3">
      <c r="A62" s="165"/>
      <c r="B62" s="1"/>
      <c r="C62" s="1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</row>
    <row r="63" spans="1:31" ht="15.75" customHeight="1" x14ac:dyDescent="0.3">
      <c r="A63" s="165"/>
      <c r="B63" s="1"/>
      <c r="C63" s="1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</row>
    <row r="64" spans="1:31" ht="15.75" customHeight="1" x14ac:dyDescent="0.3">
      <c r="A64" s="165"/>
      <c r="B64" s="1"/>
      <c r="C64" s="1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</row>
    <row r="65" spans="1:28" ht="15.75" customHeight="1" x14ac:dyDescent="0.3">
      <c r="A65" s="165"/>
      <c r="B65" s="1"/>
      <c r="C65" s="1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</row>
    <row r="66" spans="1:28" ht="15.75" customHeight="1" x14ac:dyDescent="0.3">
      <c r="A66" s="1"/>
      <c r="B66" s="1"/>
      <c r="C66" s="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</row>
    <row r="67" spans="1:28" ht="15.75" customHeight="1" x14ac:dyDescent="0.25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</row>
    <row r="68" spans="1:28" ht="15.75" customHeight="1" x14ac:dyDescent="0.25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  <c r="AA68" s="165"/>
      <c r="AB68" s="165"/>
    </row>
    <row r="69" spans="1:28" ht="15.75" customHeight="1" x14ac:dyDescent="0.25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  <c r="AA69" s="165"/>
      <c r="AB69" s="165"/>
    </row>
    <row r="70" spans="1:28" ht="15.75" customHeight="1" x14ac:dyDescent="0.25"/>
    <row r="71" spans="1:28" ht="15.75" customHeight="1" x14ac:dyDescent="0.25"/>
    <row r="72" spans="1:28" ht="15.75" customHeight="1" x14ac:dyDescent="0.25"/>
    <row r="73" spans="1:28" ht="15.75" customHeight="1" x14ac:dyDescent="0.25"/>
    <row r="74" spans="1:28" ht="15.75" customHeight="1" x14ac:dyDescent="0.25"/>
    <row r="75" spans="1:28" ht="15.75" customHeight="1" x14ac:dyDescent="0.25"/>
    <row r="76" spans="1:28" ht="15.75" customHeight="1" x14ac:dyDescent="0.25"/>
    <row r="77" spans="1:28" ht="15.75" customHeight="1" x14ac:dyDescent="0.25"/>
    <row r="78" spans="1:28" ht="15.75" customHeight="1" x14ac:dyDescent="0.25"/>
    <row r="79" spans="1:28" ht="15.75" customHeight="1" x14ac:dyDescent="0.25"/>
    <row r="80" spans="1:2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3">
      <c r="A82" s="1"/>
      <c r="AC82" s="1"/>
      <c r="AD82" s="1"/>
    </row>
    <row r="83" spans="1:31" ht="15.75" customHeight="1" x14ac:dyDescent="0.3">
      <c r="A83" s="1"/>
      <c r="AC83" s="1"/>
      <c r="AD83" s="1"/>
    </row>
    <row r="84" spans="1:31" ht="15.75" customHeight="1" x14ac:dyDescent="0.3">
      <c r="A84" s="1"/>
      <c r="AC84" s="1"/>
      <c r="AD84" s="1"/>
    </row>
    <row r="85" spans="1:31" ht="15.75" customHeight="1" x14ac:dyDescent="0.3">
      <c r="A85" s="1"/>
      <c r="AC85" s="1"/>
      <c r="AD85" s="1"/>
    </row>
    <row r="86" spans="1:31" ht="15.75" customHeight="1" x14ac:dyDescent="0.3">
      <c r="A86" s="1"/>
      <c r="AC86" s="1"/>
      <c r="AD86" s="1"/>
      <c r="AE86" s="1"/>
    </row>
    <row r="87" spans="1:31" ht="15.75" customHeight="1" x14ac:dyDescent="0.3">
      <c r="A87" s="1"/>
      <c r="AC87" s="1"/>
      <c r="AD87" s="1"/>
      <c r="AE87" s="1"/>
    </row>
    <row r="88" spans="1:31" ht="15.75" customHeight="1" x14ac:dyDescent="0.3">
      <c r="A88" s="1"/>
      <c r="AC88" s="1"/>
      <c r="AD88" s="1"/>
      <c r="AE88" s="1"/>
    </row>
    <row r="89" spans="1:31" ht="15.75" customHeight="1" x14ac:dyDescent="0.3">
      <c r="A89" s="1"/>
      <c r="AC89" s="1"/>
      <c r="AD89" s="1"/>
      <c r="AE89" s="1"/>
    </row>
    <row r="90" spans="1:31" ht="15.75" customHeight="1" x14ac:dyDescent="0.3">
      <c r="A90" s="1"/>
      <c r="AC90" s="1"/>
      <c r="AD90" s="1"/>
      <c r="AE90" s="1"/>
    </row>
    <row r="91" spans="1:31" ht="15.75" customHeight="1" x14ac:dyDescent="0.3">
      <c r="A91" s="1"/>
      <c r="AC91" s="1"/>
      <c r="AD91" s="1"/>
      <c r="AE91" s="1"/>
    </row>
    <row r="92" spans="1:31" ht="15.75" customHeight="1" x14ac:dyDescent="0.3">
      <c r="A92" s="1"/>
      <c r="AC92" s="1"/>
      <c r="AD92" s="1"/>
      <c r="AE92" s="1"/>
    </row>
    <row r="93" spans="1:31" ht="15.75" customHeight="1" x14ac:dyDescent="0.3">
      <c r="A93" s="1"/>
      <c r="AC93" s="1"/>
      <c r="AD93" s="1"/>
      <c r="AE93" s="1"/>
    </row>
    <row r="94" spans="1:31" ht="15.75" customHeight="1" x14ac:dyDescent="0.3">
      <c r="A94" s="1"/>
      <c r="AC94" s="1"/>
      <c r="AD94" s="1"/>
      <c r="AE94" s="1"/>
    </row>
    <row r="95" spans="1:31" ht="15.75" customHeight="1" x14ac:dyDescent="0.3">
      <c r="A95" s="1"/>
      <c r="AC95" s="1"/>
      <c r="AD95" s="1"/>
      <c r="AE95" s="1"/>
    </row>
    <row r="96" spans="1:31" ht="15.75" customHeight="1" x14ac:dyDescent="0.3">
      <c r="A96" s="1"/>
      <c r="AC96" s="1"/>
      <c r="AD96" s="1"/>
      <c r="AE96" s="1"/>
    </row>
    <row r="97" spans="1:31" ht="15.75" customHeight="1" x14ac:dyDescent="0.3">
      <c r="A97" s="1"/>
      <c r="AC97" s="109"/>
      <c r="AD97" s="109"/>
      <c r="AE97" s="1"/>
    </row>
    <row r="98" spans="1:31" ht="15.75" customHeight="1" x14ac:dyDescent="0.3">
      <c r="A98" s="1"/>
      <c r="AC98" s="109"/>
      <c r="AD98" s="109"/>
      <c r="AE98" s="1"/>
    </row>
    <row r="99" spans="1:31" ht="15.75" customHeight="1" x14ac:dyDescent="0.3">
      <c r="A99" s="1"/>
      <c r="AC99" s="109"/>
      <c r="AD99" s="109"/>
      <c r="AE99" s="1"/>
    </row>
    <row r="100" spans="1:31" ht="15.75" customHeight="1" x14ac:dyDescent="0.3">
      <c r="A100" s="1"/>
      <c r="AC100" s="109"/>
      <c r="AD100" s="109"/>
      <c r="AE100" s="1"/>
    </row>
    <row r="101" spans="1:31" ht="15.75" customHeight="1" x14ac:dyDescent="0.3">
      <c r="A101" s="1"/>
      <c r="AC101" s="109"/>
      <c r="AD101" s="109"/>
      <c r="AE101" s="1"/>
    </row>
    <row r="102" spans="1:31" ht="15.75" customHeight="1" x14ac:dyDescent="0.3">
      <c r="A102" s="1"/>
      <c r="AC102" s="1"/>
      <c r="AD102" s="1"/>
    </row>
    <row r="103" spans="1:31" ht="15.75" customHeight="1" x14ac:dyDescent="0.3">
      <c r="A103" s="1"/>
      <c r="AC103" s="1"/>
      <c r="AD103" s="1"/>
    </row>
    <row r="104" spans="1:31" ht="15.75" customHeight="1" x14ac:dyDescent="0.3">
      <c r="A104" s="1"/>
      <c r="Y104" s="1"/>
      <c r="Z104" s="1"/>
      <c r="AA104" s="1"/>
      <c r="AB104" s="1"/>
    </row>
    <row r="105" spans="1:31" ht="15.75" customHeight="1" x14ac:dyDescent="0.3">
      <c r="A105" s="1"/>
      <c r="Y105" s="1"/>
      <c r="Z105" s="1"/>
      <c r="AA105" s="1"/>
      <c r="AB105" s="1"/>
    </row>
    <row r="106" spans="1:31" ht="15.75" customHeight="1" x14ac:dyDescent="0.3">
      <c r="A106" s="1"/>
      <c r="Y106" s="1"/>
      <c r="Z106" s="1"/>
      <c r="AA106" s="1"/>
      <c r="AB106" s="1"/>
    </row>
    <row r="107" spans="1:31" ht="15.75" customHeight="1" x14ac:dyDescent="0.3">
      <c r="A107" s="1"/>
      <c r="Y107" s="1"/>
      <c r="Z107" s="1"/>
      <c r="AA107" s="1"/>
      <c r="AB107" s="1"/>
    </row>
    <row r="108" spans="1:31" ht="15.75" customHeight="1" x14ac:dyDescent="0.3">
      <c r="A108" s="1"/>
    </row>
    <row r="109" spans="1:31" ht="15.75" customHeight="1" x14ac:dyDescent="0.3">
      <c r="A109" s="1"/>
    </row>
    <row r="110" spans="1:31" ht="15.75" customHeight="1" x14ac:dyDescent="0.3">
      <c r="A110" s="1"/>
    </row>
    <row r="111" spans="1:31" ht="15.75" customHeight="1" x14ac:dyDescent="0.3">
      <c r="A111" s="1"/>
    </row>
    <row r="112" spans="1:31" ht="15.75" customHeight="1" x14ac:dyDescent="0.3">
      <c r="A112" s="1"/>
    </row>
    <row r="113" spans="1:30" ht="15.75" customHeight="1" x14ac:dyDescent="0.3">
      <c r="A113" s="1"/>
    </row>
    <row r="114" spans="1:30" ht="15.75" customHeight="1" x14ac:dyDescent="0.3">
      <c r="A114" s="1"/>
    </row>
    <row r="115" spans="1:30" ht="15.75" customHeight="1" x14ac:dyDescent="0.3">
      <c r="A115" s="1"/>
    </row>
    <row r="116" spans="1:30" ht="15.75" customHeight="1" x14ac:dyDescent="0.3">
      <c r="A116" s="1"/>
    </row>
    <row r="117" spans="1:30" ht="15.75" customHeight="1" x14ac:dyDescent="0.3">
      <c r="A117" s="1"/>
    </row>
    <row r="118" spans="1:30" ht="15.75" customHeight="1" x14ac:dyDescent="0.3">
      <c r="A118" s="1"/>
    </row>
    <row r="119" spans="1:30" ht="15.75" customHeight="1" x14ac:dyDescent="0.3">
      <c r="A119" s="1"/>
    </row>
    <row r="120" spans="1:30" ht="15.75" customHeight="1" x14ac:dyDescent="0.3">
      <c r="A120" s="1"/>
    </row>
    <row r="121" spans="1:30" ht="15.75" customHeight="1" x14ac:dyDescent="0.3">
      <c r="A121" s="1"/>
    </row>
    <row r="122" spans="1:30" ht="15.75" customHeight="1" x14ac:dyDescent="0.3">
      <c r="A122" s="1"/>
    </row>
    <row r="123" spans="1:30" ht="15.75" customHeight="1" x14ac:dyDescent="0.3">
      <c r="A123" s="1"/>
      <c r="AC123" s="1"/>
      <c r="AD123" s="1"/>
    </row>
    <row r="124" spans="1:30" ht="15.75" customHeight="1" x14ac:dyDescent="0.3">
      <c r="A124" s="1"/>
      <c r="AC124" s="1"/>
      <c r="AD124" s="1"/>
    </row>
    <row r="125" spans="1:30" ht="15.75" customHeight="1" x14ac:dyDescent="0.3">
      <c r="A125" s="1"/>
      <c r="B125" s="1"/>
      <c r="AC125" s="1"/>
      <c r="AD125" s="1"/>
    </row>
    <row r="126" spans="1:30" ht="15.75" customHeight="1" x14ac:dyDescent="0.3">
      <c r="A126" s="1"/>
      <c r="B126" s="1"/>
      <c r="AC126" s="1"/>
      <c r="AD126" s="1"/>
    </row>
    <row r="127" spans="1:30" ht="15.75" customHeight="1" x14ac:dyDescent="0.3">
      <c r="A127" s="1"/>
      <c r="B127" s="109"/>
      <c r="AC127" s="109"/>
      <c r="AD127" s="109"/>
    </row>
    <row r="128" spans="1:30" ht="15.75" customHeight="1" x14ac:dyDescent="0.3">
      <c r="A128" s="1"/>
      <c r="B128" s="109"/>
      <c r="AC128" s="109"/>
      <c r="AD128" s="109"/>
    </row>
    <row r="129" spans="1:30" ht="15.75" customHeight="1" x14ac:dyDescent="0.3">
      <c r="A129" s="1"/>
      <c r="B129" s="1"/>
      <c r="AC129" s="1"/>
      <c r="AD129" s="1"/>
    </row>
    <row r="130" spans="1:30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3">
      <c r="A134" s="1"/>
    </row>
    <row r="135" spans="1:30" ht="15.75" customHeight="1" x14ac:dyDescent="0.3">
      <c r="A135" s="1"/>
    </row>
    <row r="136" spans="1:30" ht="15.75" customHeight="1" x14ac:dyDescent="0.3">
      <c r="A136" s="1"/>
    </row>
    <row r="137" spans="1:30" ht="15.75" customHeight="1" x14ac:dyDescent="0.3">
      <c r="A137" s="1"/>
    </row>
    <row r="138" spans="1:30" ht="15.75" customHeight="1" x14ac:dyDescent="0.3">
      <c r="A138" s="1"/>
    </row>
    <row r="139" spans="1:30" ht="15.75" customHeight="1" x14ac:dyDescent="0.3">
      <c r="A139" s="1"/>
    </row>
    <row r="140" spans="1:30" ht="15.75" customHeight="1" x14ac:dyDescent="0.3">
      <c r="A140" s="1"/>
    </row>
    <row r="141" spans="1:30" ht="15.75" customHeight="1" x14ac:dyDescent="0.3">
      <c r="A141" s="1"/>
    </row>
    <row r="142" spans="1:30" ht="15.75" customHeight="1" x14ac:dyDescent="0.3">
      <c r="A142" s="1"/>
    </row>
    <row r="143" spans="1:30" ht="15.75" customHeight="1" x14ac:dyDescent="0.3">
      <c r="A143" s="1"/>
    </row>
    <row r="144" spans="1:30" ht="15.75" customHeight="1" x14ac:dyDescent="0.3">
      <c r="A144" s="1"/>
    </row>
    <row r="145" spans="1:31" ht="15.75" customHeight="1" x14ac:dyDescent="0.3">
      <c r="A145" s="1"/>
    </row>
    <row r="146" spans="1:31" ht="15.75" customHeight="1" x14ac:dyDescent="0.3">
      <c r="A146" s="1"/>
    </row>
    <row r="147" spans="1:31" ht="15.75" customHeight="1" x14ac:dyDescent="0.3">
      <c r="A147" s="1"/>
    </row>
    <row r="148" spans="1:31" ht="15.75" customHeight="1" x14ac:dyDescent="0.3">
      <c r="A148" s="1"/>
    </row>
    <row r="149" spans="1:31" ht="15.75" customHeight="1" x14ac:dyDescent="0.3">
      <c r="A149" s="1"/>
    </row>
    <row r="150" spans="1:31" ht="15.75" customHeight="1" x14ac:dyDescent="0.3">
      <c r="A150" s="1"/>
    </row>
    <row r="151" spans="1:31" ht="15.75" customHeight="1" x14ac:dyDescent="0.3">
      <c r="A151" s="1"/>
    </row>
    <row r="152" spans="1:31" ht="15.75" customHeight="1" x14ac:dyDescent="0.3">
      <c r="A152" s="1"/>
    </row>
    <row r="153" spans="1:31" ht="15.75" customHeight="1" x14ac:dyDescent="0.3">
      <c r="A153" s="1"/>
    </row>
    <row r="154" spans="1:31" ht="15.75" customHeight="1" x14ac:dyDescent="0.3">
      <c r="A154" s="1"/>
    </row>
    <row r="155" spans="1:31" ht="15.75" customHeight="1" x14ac:dyDescent="0.3">
      <c r="A155" s="1"/>
    </row>
    <row r="156" spans="1:31" ht="15.75" customHeight="1" x14ac:dyDescent="0.3">
      <c r="A156" s="1"/>
    </row>
    <row r="157" spans="1:31" ht="15.75" customHeight="1" x14ac:dyDescent="0.3">
      <c r="A157" s="1"/>
    </row>
    <row r="158" spans="1:31" ht="15.75" customHeight="1" x14ac:dyDescent="0.3">
      <c r="A158" s="1"/>
    </row>
    <row r="159" spans="1:31" ht="15.75" customHeight="1" x14ac:dyDescent="0.3">
      <c r="A159" s="1"/>
    </row>
    <row r="160" spans="1:3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7:B48"/>
    <mergeCell ref="C47:D47"/>
    <mergeCell ref="E47:F47"/>
    <mergeCell ref="G47:H47"/>
    <mergeCell ref="I47:J47"/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N12" sqref="N12"/>
    </sheetView>
  </sheetViews>
  <sheetFormatPr baseColWidth="10" defaultColWidth="12.59765625" defaultRowHeight="15" customHeight="1" x14ac:dyDescent="0.25"/>
  <cols>
    <col min="1" max="1" width="15.5" customWidth="1"/>
    <col min="2" max="3" width="13.3984375" customWidth="1"/>
    <col min="4" max="4" width="16.09765625" customWidth="1"/>
    <col min="5" max="7" width="10" customWidth="1"/>
    <col min="8" max="8" width="13.59765625" customWidth="1"/>
    <col min="9" max="26" width="10" customWidth="1"/>
  </cols>
  <sheetData>
    <row r="1" spans="1:26" ht="84" customHeight="1" x14ac:dyDescent="0.3">
      <c r="A1" s="543" t="s">
        <v>15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8" t="s">
        <v>118</v>
      </c>
      <c r="C4" s="458"/>
      <c r="D4" s="436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72">
        <v>2022</v>
      </c>
      <c r="C5" s="172">
        <v>2023</v>
      </c>
      <c r="D5" s="172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276" t="s">
        <v>119</v>
      </c>
      <c r="B6" s="76">
        <f>'Costos fijos'!$D$5</f>
        <v>11450400</v>
      </c>
      <c r="C6" s="76">
        <f>'Costos fijos'!P24</f>
        <v>6890400</v>
      </c>
      <c r="D6" s="76">
        <f>'Costos fijos'!P33</f>
        <v>7130400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276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276" t="s">
        <v>255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276" t="s">
        <v>118</v>
      </c>
      <c r="B9" s="77">
        <f>SUM(B6:B8)</f>
        <v>29432956.496400006</v>
      </c>
      <c r="C9" s="77">
        <f>SUM(C6:C8)</f>
        <v>34042350.2707</v>
      </c>
      <c r="D9" s="77">
        <f>SUM(D6:D8)</f>
        <v>40369462.605900005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276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2"/>
  <sheetViews>
    <sheetView zoomScale="85" zoomScaleNormal="85" workbookViewId="0">
      <pane ySplit="1" topLeftCell="A2" activePane="bottomLeft" state="frozen"/>
      <selection pane="bottomLeft" activeCell="E32" sqref="E32"/>
    </sheetView>
  </sheetViews>
  <sheetFormatPr baseColWidth="10" defaultColWidth="12.59765625" defaultRowHeight="15" customHeight="1" x14ac:dyDescent="0.25"/>
  <cols>
    <col min="1" max="1" width="10" customWidth="1"/>
    <col min="2" max="2" width="39.8984375" bestFit="1" customWidth="1"/>
    <col min="3" max="3" width="13.3984375" bestFit="1" customWidth="1"/>
    <col min="4" max="4" width="16.69921875" customWidth="1"/>
    <col min="5" max="5" width="12.69921875" customWidth="1"/>
    <col min="6" max="6" width="75.8984375" customWidth="1"/>
    <col min="7" max="7" width="13.09765625" customWidth="1"/>
    <col min="8" max="8" width="13.59765625" customWidth="1"/>
    <col min="9" max="9" width="11.5" bestFit="1" customWidth="1"/>
    <col min="10" max="10" width="14.59765625" customWidth="1"/>
    <col min="11" max="11" width="12.19921875" customWidth="1"/>
    <col min="12" max="26" width="10" customWidth="1"/>
  </cols>
  <sheetData>
    <row r="1" spans="1:26" ht="72.75" customHeight="1" x14ac:dyDescent="0.3">
      <c r="A1" s="169"/>
      <c r="B1" s="169"/>
      <c r="C1" s="169"/>
      <c r="D1" s="169"/>
      <c r="E1" s="169"/>
      <c r="F1" s="170" t="s">
        <v>16</v>
      </c>
      <c r="G1" s="171"/>
      <c r="H1" s="171"/>
      <c r="I1" s="169"/>
      <c r="J1" s="169"/>
      <c r="K1" s="169"/>
      <c r="L1" s="169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</row>
    <row r="2" spans="1:26" ht="14.4" x14ac:dyDescent="0.3">
      <c r="A2" s="1"/>
      <c r="B2" s="1"/>
      <c r="C2" s="1"/>
      <c r="D2" s="1"/>
      <c r="E2" s="1"/>
      <c r="F2" s="1"/>
      <c r="G2" s="278"/>
      <c r="H2" s="278"/>
      <c r="I2" s="278"/>
      <c r="J2" s="27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8" t="s">
        <v>124</v>
      </c>
      <c r="C4" s="458"/>
      <c r="D4" s="458"/>
      <c r="E4" s="458"/>
      <c r="F4" s="436"/>
      <c r="G4" s="1"/>
      <c r="H4" s="544" t="s">
        <v>122</v>
      </c>
      <c r="I4" s="544"/>
      <c r="J4" s="544"/>
      <c r="K4" s="54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2" thickBot="1" x14ac:dyDescent="0.35">
      <c r="A5" s="1"/>
      <c r="B5" s="282" t="s">
        <v>55</v>
      </c>
      <c r="C5" s="283" t="s">
        <v>52</v>
      </c>
      <c r="D5" s="283" t="s">
        <v>125</v>
      </c>
      <c r="E5" s="283" t="s">
        <v>99</v>
      </c>
      <c r="F5" s="284" t="s">
        <v>126</v>
      </c>
      <c r="G5" s="1"/>
      <c r="H5" s="196" t="s">
        <v>123</v>
      </c>
      <c r="I5" s="196">
        <v>2022</v>
      </c>
      <c r="J5" s="196">
        <v>2023</v>
      </c>
      <c r="K5" s="196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12" t="str">
        <f>'Costos fijos'!B11</f>
        <v>Servicios VPN</v>
      </c>
      <c r="C6" s="114">
        <v>1</v>
      </c>
      <c r="D6" s="119">
        <f>'Costos fijos'!C37</f>
        <v>4200</v>
      </c>
      <c r="E6" s="119">
        <f t="shared" ref="E6" si="0">C6*D6</f>
        <v>4200</v>
      </c>
      <c r="F6" s="285" t="s">
        <v>205</v>
      </c>
      <c r="G6" s="1"/>
      <c r="H6" s="297">
        <f>$E$14</f>
        <v>8317234</v>
      </c>
      <c r="I6" s="297">
        <f>E20</f>
        <v>950000</v>
      </c>
      <c r="J6" s="297">
        <f>E28</f>
        <v>983839</v>
      </c>
      <c r="K6" s="297">
        <f>E35</f>
        <v>1251517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ht="14.4" x14ac:dyDescent="0.3">
      <c r="A7" s="1"/>
      <c r="B7" s="112" t="str">
        <f>'Costos variables'!C11</f>
        <v>Servicio Hosting</v>
      </c>
      <c r="C7" s="114">
        <v>1</v>
      </c>
      <c r="D7" s="119">
        <f>'Costos variables'!D43</f>
        <v>60000</v>
      </c>
      <c r="E7" s="119">
        <f t="shared" ref="E7:E11" si="1">C7*D7</f>
        <v>60000</v>
      </c>
      <c r="F7" s="286" t="s">
        <v>213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ht="14.4" x14ac:dyDescent="0.3">
      <c r="A8" s="1"/>
      <c r="B8" s="112" t="str">
        <f>'Costos variables'!C12</f>
        <v>Servicio Monitoreo</v>
      </c>
      <c r="C8" s="114">
        <v>1</v>
      </c>
      <c r="D8" s="119">
        <f>'Costos variables'!D44</f>
        <v>20000</v>
      </c>
      <c r="E8" s="119">
        <f t="shared" si="1"/>
        <v>20000</v>
      </c>
      <c r="F8" s="287" t="s">
        <v>218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ht="14.4" x14ac:dyDescent="0.3">
      <c r="A9" s="109"/>
      <c r="B9" s="112" t="str">
        <f>'Costos variables'!C13</f>
        <v>Servicio Repositorio</v>
      </c>
      <c r="C9" s="114">
        <v>1</v>
      </c>
      <c r="D9" s="119">
        <f>'Costos variables'!D45</f>
        <v>35000</v>
      </c>
      <c r="E9" s="119">
        <f t="shared" si="1"/>
        <v>35000</v>
      </c>
      <c r="F9" s="520" t="s">
        <v>213</v>
      </c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</row>
    <row r="10" spans="1:26" ht="14.4" x14ac:dyDescent="0.3">
      <c r="A10" s="109"/>
      <c r="B10" s="112" t="str">
        <f>'Costos variables'!C15</f>
        <v>Servicio Cloud serverless</v>
      </c>
      <c r="C10" s="114">
        <v>1</v>
      </c>
      <c r="D10" s="119">
        <f>'Costos variables'!D47</f>
        <v>80000</v>
      </c>
      <c r="E10" s="119">
        <f>'Costos variables'!D47 * C10</f>
        <v>80000</v>
      </c>
      <c r="F10" s="520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</row>
    <row r="11" spans="1:26" ht="14.4" x14ac:dyDescent="0.3">
      <c r="A11" s="109"/>
      <c r="B11" s="112" t="str">
        <f>'Costos variables'!C14</f>
        <v>Servicio CD/CI</v>
      </c>
      <c r="C11" s="114">
        <v>1</v>
      </c>
      <c r="D11" s="119">
        <f>'Costos variables'!D46</f>
        <v>15000</v>
      </c>
      <c r="E11" s="119">
        <f t="shared" si="1"/>
        <v>15000</v>
      </c>
      <c r="F11" s="520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</row>
    <row r="12" spans="1:26" ht="15" customHeight="1" x14ac:dyDescent="0.3">
      <c r="A12" s="1"/>
      <c r="B12" s="123" t="s">
        <v>167</v>
      </c>
      <c r="C12" s="124">
        <f>'Costos RRHH'!C30</f>
        <v>6</v>
      </c>
      <c r="D12" s="126">
        <v>183839</v>
      </c>
      <c r="E12" s="126">
        <f>C12*D12</f>
        <v>1103034</v>
      </c>
      <c r="F12" s="121" t="s">
        <v>168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09"/>
      <c r="B13" s="118" t="s">
        <v>165</v>
      </c>
      <c r="C13" s="115">
        <v>1</v>
      </c>
      <c r="D13" s="119">
        <v>7000000</v>
      </c>
      <c r="E13" s="119">
        <f>C13*D13</f>
        <v>7000000</v>
      </c>
      <c r="F13" s="120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6" thickBot="1" x14ac:dyDescent="0.35">
      <c r="A14" s="1"/>
      <c r="B14" s="545" t="s">
        <v>30</v>
      </c>
      <c r="C14" s="546"/>
      <c r="D14" s="547"/>
      <c r="E14" s="82">
        <f>SUM(E6:E13)</f>
        <v>8317234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55000000000000004">
      <c r="A16" s="1"/>
      <c r="B16" s="521" t="s">
        <v>219</v>
      </c>
      <c r="C16" s="522"/>
      <c r="D16" s="522"/>
      <c r="E16" s="522"/>
      <c r="F16" s="52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3">
      <c r="A17" s="1"/>
      <c r="B17" s="282" t="s">
        <v>55</v>
      </c>
      <c r="C17" s="283" t="s">
        <v>52</v>
      </c>
      <c r="D17" s="283" t="s">
        <v>125</v>
      </c>
      <c r="E17" s="283" t="s">
        <v>99</v>
      </c>
      <c r="F17" s="284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3">
      <c r="A18" s="1"/>
      <c r="B18" s="112" t="s">
        <v>264</v>
      </c>
      <c r="C18" s="114">
        <v>1</v>
      </c>
      <c r="D18" s="119">
        <f>800000</f>
        <v>800000</v>
      </c>
      <c r="E18" s="119">
        <f>C18*D18</f>
        <v>800000</v>
      </c>
      <c r="F18" s="28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3">
      <c r="A19" s="1"/>
      <c r="B19" s="112" t="s">
        <v>265</v>
      </c>
      <c r="C19" s="114">
        <v>1</v>
      </c>
      <c r="D19" s="119">
        <f>150000</f>
        <v>150000</v>
      </c>
      <c r="E19" s="119">
        <f t="shared" ref="E19" si="2">C19*D19</f>
        <v>150000</v>
      </c>
      <c r="F19" s="28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09"/>
      <c r="B20" s="545" t="s">
        <v>30</v>
      </c>
      <c r="C20" s="546"/>
      <c r="D20" s="547"/>
      <c r="E20" s="82">
        <f>SUM(E18:E19)</f>
        <v>950000</v>
      </c>
      <c r="F20" s="1"/>
      <c r="G20" s="125"/>
      <c r="H20" s="125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</row>
    <row r="21" spans="1:26" ht="14.4" x14ac:dyDescent="0.3">
      <c r="A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</row>
    <row r="22" spans="1:26" ht="5.25" customHeight="1" thickBot="1" x14ac:dyDescent="0.35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55000000000000004">
      <c r="A23" s="1"/>
      <c r="B23" s="521" t="s">
        <v>220</v>
      </c>
      <c r="C23" s="522"/>
      <c r="D23" s="522"/>
      <c r="E23" s="522"/>
      <c r="F23" s="52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3">
      <c r="A24" s="1"/>
      <c r="B24" s="282" t="s">
        <v>55</v>
      </c>
      <c r="C24" s="283" t="s">
        <v>52</v>
      </c>
      <c r="D24" s="283" t="s">
        <v>125</v>
      </c>
      <c r="E24" s="283" t="s">
        <v>99</v>
      </c>
      <c r="F24" s="284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3">
      <c r="A25" s="1"/>
      <c r="B25" s="112" t="s">
        <v>264</v>
      </c>
      <c r="C25" s="114">
        <v>1</v>
      </c>
      <c r="D25" s="119">
        <f>500000</f>
        <v>500000</v>
      </c>
      <c r="E25" s="119">
        <f t="shared" ref="E25:E26" si="3">C25*D25</f>
        <v>500000</v>
      </c>
      <c r="F25" s="285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3">
      <c r="A26" s="1"/>
      <c r="B26" s="112" t="s">
        <v>265</v>
      </c>
      <c r="C26" s="114">
        <v>2</v>
      </c>
      <c r="D26" s="119">
        <f>150000</f>
        <v>150000</v>
      </c>
      <c r="E26" s="119">
        <f t="shared" si="3"/>
        <v>300000</v>
      </c>
      <c r="F26" s="285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3">
      <c r="A27" s="109"/>
      <c r="B27" s="123" t="str">
        <f>B12</f>
        <v>Notebooks</v>
      </c>
      <c r="C27" s="336">
        <f>'Costos RRHH'!C42-C12</f>
        <v>1</v>
      </c>
      <c r="D27" s="126">
        <v>183839</v>
      </c>
      <c r="E27" s="126">
        <f>C27*D27</f>
        <v>183839</v>
      </c>
      <c r="F27" s="121" t="s">
        <v>168</v>
      </c>
      <c r="G27" s="109"/>
      <c r="H27" s="109"/>
      <c r="I27" s="109"/>
      <c r="J27" s="109"/>
      <c r="K27" s="109"/>
      <c r="L27" s="109"/>
      <c r="M27" s="109"/>
      <c r="N27" s="109"/>
      <c r="O27" s="109"/>
      <c r="P27" s="109"/>
    </row>
    <row r="28" spans="1:26" ht="15.75" customHeight="1" thickBot="1" x14ac:dyDescent="0.35">
      <c r="A28" s="1"/>
      <c r="B28" s="545" t="s">
        <v>30</v>
      </c>
      <c r="C28" s="546"/>
      <c r="D28" s="547"/>
      <c r="E28" s="82">
        <f>SUM(E25:E27)</f>
        <v>983839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55000000000000004">
      <c r="A30" s="1"/>
      <c r="B30" s="263" t="s">
        <v>221</v>
      </c>
      <c r="C30" s="264"/>
      <c r="D30" s="264"/>
      <c r="E30" s="264"/>
      <c r="F30" s="26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6" x14ac:dyDescent="0.3">
      <c r="A31" s="1"/>
      <c r="B31" s="282" t="s">
        <v>55</v>
      </c>
      <c r="C31" s="283" t="s">
        <v>52</v>
      </c>
      <c r="D31" s="283" t="s">
        <v>125</v>
      </c>
      <c r="E31" s="283" t="s">
        <v>99</v>
      </c>
      <c r="F31" s="284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3">
      <c r="A32" s="1"/>
      <c r="B32" s="112" t="s">
        <v>266</v>
      </c>
      <c r="C32" s="345">
        <v>1</v>
      </c>
      <c r="D32" s="119">
        <f>400000</f>
        <v>400000</v>
      </c>
      <c r="E32" s="119">
        <f t="shared" ref="E32:E33" si="4">C32*D32</f>
        <v>400000</v>
      </c>
      <c r="F32" s="28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3">
      <c r="A33" s="1"/>
      <c r="B33" s="112" t="s">
        <v>265</v>
      </c>
      <c r="C33" s="114">
        <v>2</v>
      </c>
      <c r="D33" s="119">
        <f>150000</f>
        <v>150000</v>
      </c>
      <c r="E33" s="119">
        <f t="shared" si="4"/>
        <v>300000</v>
      </c>
      <c r="F33" s="28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3">
      <c r="A34" s="1"/>
      <c r="B34" s="123" t="str">
        <f>B27</f>
        <v>Notebooks</v>
      </c>
      <c r="C34" s="336">
        <f>'Costos RRHH'!C54 - C12 - C27</f>
        <v>3</v>
      </c>
      <c r="D34" s="126">
        <f>D27</f>
        <v>183839</v>
      </c>
      <c r="E34" s="119">
        <f t="shared" ref="E34" si="5">D34*C34</f>
        <v>551517</v>
      </c>
      <c r="F34" s="121" t="s">
        <v>168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5">
      <c r="A35" s="109"/>
      <c r="B35" s="173" t="s">
        <v>30</v>
      </c>
      <c r="C35" s="288"/>
      <c r="D35" s="289"/>
      <c r="E35" s="82">
        <f>SUM(E32:E34)</f>
        <v>1251517</v>
      </c>
      <c r="F35" s="1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ht="14.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5"/>
  <sheetViews>
    <sheetView workbookViewId="0">
      <pane ySplit="1" topLeftCell="A2" activePane="bottomLeft" state="frozen"/>
      <selection pane="bottomLeft" activeCell="D19" sqref="D19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8.19921875" customWidth="1"/>
    <col min="4" max="4" width="13.3984375" customWidth="1"/>
    <col min="5" max="5" width="19.3984375" customWidth="1"/>
    <col min="6" max="6" width="15.3984375" customWidth="1"/>
    <col min="7" max="7" width="12.59765625" customWidth="1"/>
    <col min="8" max="8" width="11.5" bestFit="1" customWidth="1"/>
    <col min="9" max="9" width="13.3984375" customWidth="1"/>
    <col min="10" max="10" width="12.3984375" customWidth="1"/>
    <col min="11" max="11" width="13.3984375" customWidth="1"/>
    <col min="12" max="13" width="14.19921875" customWidth="1"/>
    <col min="14" max="26" width="10" customWidth="1"/>
  </cols>
  <sheetData>
    <row r="1" spans="1:26" ht="69" customHeight="1" x14ac:dyDescent="0.3">
      <c r="A1" s="169"/>
      <c r="B1" s="169"/>
      <c r="C1" s="169"/>
      <c r="D1" s="169"/>
      <c r="E1" s="169"/>
      <c r="F1" s="169"/>
      <c r="G1" s="170" t="s">
        <v>17</v>
      </c>
      <c r="H1" s="171"/>
      <c r="I1" s="169"/>
      <c r="J1" s="169"/>
      <c r="K1" s="169"/>
      <c r="L1" s="169"/>
      <c r="M1" s="169"/>
      <c r="N1" s="169"/>
      <c r="O1" s="169"/>
      <c r="P1" s="277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21"/>
      <c r="C3" s="1"/>
      <c r="D3" s="1"/>
      <c r="E3" s="1"/>
      <c r="F3" s="518" t="s">
        <v>17</v>
      </c>
      <c r="G3" s="458"/>
      <c r="H3" s="43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61"/>
      <c r="C4" s="1"/>
      <c r="D4" s="1"/>
      <c r="E4" s="1"/>
      <c r="F4" s="279">
        <v>2022</v>
      </c>
      <c r="G4" s="280">
        <v>2023</v>
      </c>
      <c r="H4" s="28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thickBo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4" thickBot="1" x14ac:dyDescent="0.55000000000000004">
      <c r="A8" s="1"/>
      <c r="B8" s="549" t="s">
        <v>17</v>
      </c>
      <c r="C8" s="550"/>
      <c r="D8" s="550"/>
      <c r="E8" s="550"/>
      <c r="F8" s="550"/>
      <c r="G8" s="550"/>
      <c r="H8" s="550"/>
      <c r="I8" s="550"/>
      <c r="J8" s="550"/>
      <c r="K8" s="550"/>
      <c r="L8" s="550"/>
      <c r="M8" s="55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thickBot="1" x14ac:dyDescent="0.35">
      <c r="A9" s="1"/>
      <c r="B9" s="552" t="s">
        <v>128</v>
      </c>
      <c r="C9" s="552" t="s">
        <v>55</v>
      </c>
      <c r="D9" s="552" t="s">
        <v>52</v>
      </c>
      <c r="E9" s="552" t="s">
        <v>125</v>
      </c>
      <c r="F9" s="553" t="s">
        <v>129</v>
      </c>
      <c r="G9" s="552" t="s">
        <v>130</v>
      </c>
      <c r="H9" s="464"/>
      <c r="I9" s="464"/>
      <c r="J9" s="464"/>
      <c r="K9" s="552" t="s">
        <v>131</v>
      </c>
      <c r="L9" s="464"/>
      <c r="M9" s="46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thickBot="1" x14ac:dyDescent="0.35">
      <c r="A10" s="1"/>
      <c r="B10" s="464"/>
      <c r="C10" s="464"/>
      <c r="D10" s="464"/>
      <c r="E10" s="464"/>
      <c r="F10" s="464"/>
      <c r="G10" s="290" t="s">
        <v>132</v>
      </c>
      <c r="H10" s="290" t="s">
        <v>223</v>
      </c>
      <c r="I10" s="290" t="s">
        <v>224</v>
      </c>
      <c r="J10" s="290" t="s">
        <v>225</v>
      </c>
      <c r="K10" s="290" t="s">
        <v>223</v>
      </c>
      <c r="L10" s="290" t="s">
        <v>224</v>
      </c>
      <c r="M10" s="290" t="s">
        <v>225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54" t="s">
        <v>222</v>
      </c>
      <c r="C11" s="291" t="s">
        <v>166</v>
      </c>
      <c r="D11" s="292">
        <f>'Costos RRHH'!C30</f>
        <v>6</v>
      </c>
      <c r="E11" s="293">
        <f>'Mod. inversión'!D12</f>
        <v>183839</v>
      </c>
      <c r="F11" s="292">
        <v>3</v>
      </c>
      <c r="G11" s="294">
        <f>E11*D11</f>
        <v>1103034</v>
      </c>
      <c r="H11" s="298">
        <v>0</v>
      </c>
      <c r="I11" s="298">
        <v>0</v>
      </c>
      <c r="J11" s="298">
        <v>0</v>
      </c>
      <c r="K11" s="295">
        <f>$G$11/$F$11</f>
        <v>367678</v>
      </c>
      <c r="L11" s="295">
        <f t="shared" ref="L11:M11" si="0">$G$11/$F$11</f>
        <v>367678</v>
      </c>
      <c r="M11" s="295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109"/>
      <c r="B12" s="555"/>
      <c r="C12" s="291" t="s">
        <v>166</v>
      </c>
      <c r="D12" s="292">
        <f>'Costos RRHH'!C42 - D11</f>
        <v>1</v>
      </c>
      <c r="E12" s="293">
        <f>'Mod. inversión'!D12</f>
        <v>183839</v>
      </c>
      <c r="F12" s="292">
        <v>3</v>
      </c>
      <c r="G12" s="298">
        <f>0</f>
        <v>0</v>
      </c>
      <c r="H12" s="298">
        <f>0</f>
        <v>0</v>
      </c>
      <c r="I12" s="294">
        <f>E12*D12</f>
        <v>183839</v>
      </c>
      <c r="J12" s="298">
        <v>0</v>
      </c>
      <c r="K12" s="299">
        <v>0</v>
      </c>
      <c r="L12" s="295">
        <f>$I$12/$F$12</f>
        <v>61279.666666666664</v>
      </c>
      <c r="M12" s="295">
        <f>$I$12/$F$12</f>
        <v>61279.666666666664</v>
      </c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</row>
    <row r="13" spans="1:26" thickBot="1" x14ac:dyDescent="0.35">
      <c r="A13" s="109"/>
      <c r="B13" s="555"/>
      <c r="C13" s="291" t="s">
        <v>166</v>
      </c>
      <c r="D13" s="292">
        <f>'Costos RRHH'!C54 - SUM(D11:D12)</f>
        <v>3</v>
      </c>
      <c r="E13" s="293">
        <f>'Mod. inversión'!D12</f>
        <v>183839</v>
      </c>
      <c r="F13" s="292">
        <v>3</v>
      </c>
      <c r="G13" s="298">
        <f>0</f>
        <v>0</v>
      </c>
      <c r="H13" s="298">
        <f>0</f>
        <v>0</v>
      </c>
      <c r="I13" s="298">
        <f>0</f>
        <v>0</v>
      </c>
      <c r="J13" s="294">
        <f>E13*D13</f>
        <v>551517</v>
      </c>
      <c r="K13" s="299">
        <v>0</v>
      </c>
      <c r="L13" s="299">
        <v>0</v>
      </c>
      <c r="M13" s="295">
        <f>$I$12/$F$12</f>
        <v>61279.666666666664</v>
      </c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6" ht="15.75" customHeight="1" thickBot="1" x14ac:dyDescent="0.35">
      <c r="A14" s="1"/>
      <c r="B14" s="548" t="s">
        <v>117</v>
      </c>
      <c r="C14" s="464"/>
      <c r="D14" s="464"/>
      <c r="E14" s="464"/>
      <c r="F14" s="464"/>
      <c r="G14" s="464"/>
      <c r="H14" s="464"/>
      <c r="I14" s="464"/>
      <c r="J14" s="464"/>
      <c r="K14" s="296">
        <f>SUM(K11:K13)</f>
        <v>367678</v>
      </c>
      <c r="L14" s="296">
        <f t="shared" ref="L14:M14" si="1">SUM(L11:L13)</f>
        <v>428957.66666666669</v>
      </c>
      <c r="M14" s="296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workbookViewId="0">
      <pane ySplit="1" topLeftCell="A16" activePane="bottomLeft" state="frozen"/>
      <selection pane="bottomLeft" activeCell="G33" sqref="G33"/>
    </sheetView>
  </sheetViews>
  <sheetFormatPr baseColWidth="10" defaultColWidth="12.59765625" defaultRowHeight="15" customHeight="1" x14ac:dyDescent="0.25"/>
  <cols>
    <col min="1" max="1" width="5.19921875" customWidth="1"/>
    <col min="2" max="2" width="13.09765625" customWidth="1"/>
    <col min="3" max="3" width="25.8984375" customWidth="1"/>
    <col min="4" max="4" width="17.19921875" customWidth="1"/>
    <col min="5" max="5" width="16.59765625" customWidth="1"/>
    <col min="6" max="6" width="13.19921875" customWidth="1"/>
    <col min="7" max="7" width="20.19921875" customWidth="1"/>
    <col min="8" max="8" width="12.3984375" customWidth="1"/>
    <col min="9" max="9" width="12.69921875" customWidth="1"/>
    <col min="10" max="10" width="13.19921875" customWidth="1"/>
    <col min="11" max="11" width="14.3984375" customWidth="1"/>
    <col min="12" max="12" width="14.09765625" customWidth="1"/>
    <col min="13" max="13" width="14.8984375" customWidth="1"/>
    <col min="14" max="26" width="10" customWidth="1"/>
  </cols>
  <sheetData>
    <row r="1" spans="1:26" ht="74.25" customHeight="1" x14ac:dyDescent="0.3">
      <c r="A1" s="169"/>
      <c r="B1" s="169"/>
      <c r="C1" s="169"/>
      <c r="D1" s="169"/>
      <c r="E1" s="170" t="s">
        <v>133</v>
      </c>
      <c r="F1" s="171"/>
      <c r="G1" s="171"/>
      <c r="H1" s="169"/>
      <c r="I1" s="169"/>
      <c r="J1" s="169"/>
      <c r="K1" s="169"/>
      <c r="L1" s="169"/>
      <c r="M1" s="169"/>
      <c r="N1" s="169"/>
      <c r="O1" s="169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8" x14ac:dyDescent="0.5">
      <c r="A3" s="1"/>
      <c r="B3" s="1"/>
      <c r="C3" s="1"/>
      <c r="D3" s="1"/>
      <c r="E3" s="1"/>
      <c r="F3" s="1"/>
      <c r="G3" s="1"/>
      <c r="H3" s="44"/>
      <c r="I3" s="1"/>
      <c r="J3" s="1"/>
      <c r="K3" s="518" t="s">
        <v>51</v>
      </c>
      <c r="L3" s="458"/>
      <c r="M3" s="436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61"/>
      <c r="I4" s="1"/>
      <c r="J4" s="1"/>
      <c r="K4" s="172">
        <v>2022</v>
      </c>
      <c r="L4" s="172">
        <v>2023</v>
      </c>
      <c r="M4" s="172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70"/>
      <c r="I5" s="1"/>
      <c r="J5" s="1"/>
      <c r="K5" s="349">
        <f>'Mod. ingresos'!C20</f>
        <v>23910000</v>
      </c>
      <c r="L5" s="349">
        <f>'Mod. ingresos'!D20</f>
        <v>72900000</v>
      </c>
      <c r="M5" s="349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4" thickBot="1" x14ac:dyDescent="0.55000000000000004">
      <c r="A7" s="1"/>
      <c r="B7" s="1"/>
      <c r="C7" s="1"/>
      <c r="D7" s="1"/>
      <c r="E7" s="1"/>
      <c r="F7" s="1"/>
      <c r="G7" s="1"/>
      <c r="H7" s="44"/>
      <c r="I7" s="1"/>
      <c r="J7" s="1"/>
      <c r="K7" s="518" t="s">
        <v>134</v>
      </c>
      <c r="L7" s="458"/>
      <c r="M7" s="436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61"/>
      <c r="I8" s="1"/>
      <c r="J8" s="1"/>
      <c r="K8" s="172">
        <v>2022</v>
      </c>
      <c r="L8" s="172">
        <v>2023</v>
      </c>
      <c r="M8" s="172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6" t="s">
        <v>133</v>
      </c>
      <c r="C9" s="464"/>
      <c r="D9" s="464"/>
      <c r="E9" s="464"/>
      <c r="F9" s="464"/>
      <c r="G9" s="464"/>
      <c r="H9" s="70"/>
      <c r="I9" s="1"/>
      <c r="J9" s="301" t="s">
        <v>135</v>
      </c>
      <c r="K9" s="84">
        <f>'Costos fijos'!$D$5</f>
        <v>11450400</v>
      </c>
      <c r="L9" s="62">
        <f>'Costos fijos'!P24</f>
        <v>6890400</v>
      </c>
      <c r="M9" s="85">
        <f>'Costos fijos'!P33</f>
        <v>7130400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5">
      <c r="A10" s="1"/>
      <c r="B10" s="559" t="s">
        <v>136</v>
      </c>
      <c r="C10" s="464"/>
      <c r="D10" s="196" t="s">
        <v>137</v>
      </c>
      <c r="E10" s="196">
        <v>2022</v>
      </c>
      <c r="F10" s="196">
        <v>2023</v>
      </c>
      <c r="G10" s="196">
        <v>2024</v>
      </c>
      <c r="H10" s="1"/>
      <c r="I10" s="1"/>
      <c r="J10" s="172" t="s">
        <v>255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60" t="s">
        <v>51</v>
      </c>
      <c r="C11" s="392"/>
      <c r="D11" s="292" t="s">
        <v>127</v>
      </c>
      <c r="E11" s="297">
        <f>+'Mod. ingresos'!C20</f>
        <v>23910000</v>
      </c>
      <c r="F11" s="297">
        <f>+'Mod. ingresos'!D20</f>
        <v>72900000</v>
      </c>
      <c r="G11" s="297">
        <f>+'Mod. ingresos'!E20</f>
        <v>123780000</v>
      </c>
      <c r="H11" s="1"/>
      <c r="I11" s="1"/>
      <c r="J11" s="562" t="s">
        <v>120</v>
      </c>
      <c r="K11" s="564">
        <f>'Costos RRHH'!$E$6</f>
        <v>14292556.496400004</v>
      </c>
      <c r="L11" s="566">
        <f>'Costos RRHH'!$F$6</f>
        <v>18211950.2707</v>
      </c>
      <c r="M11" s="568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5">
      <c r="A12" s="1"/>
      <c r="B12" s="561" t="s">
        <v>138</v>
      </c>
      <c r="C12" s="570" t="s">
        <v>135</v>
      </c>
      <c r="D12" s="570" t="s">
        <v>127</v>
      </c>
      <c r="E12" s="571">
        <f>K9</f>
        <v>11450400</v>
      </c>
      <c r="F12" s="571">
        <f>L9</f>
        <v>6890400</v>
      </c>
      <c r="G12" s="571">
        <f>M9</f>
        <v>7130400</v>
      </c>
      <c r="H12" s="1"/>
      <c r="I12" s="1"/>
      <c r="J12" s="563"/>
      <c r="K12" s="565"/>
      <c r="L12" s="567"/>
      <c r="M12" s="569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thickBot="1" x14ac:dyDescent="0.35">
      <c r="A13" s="1"/>
      <c r="B13" s="392"/>
      <c r="C13" s="570"/>
      <c r="D13" s="570"/>
      <c r="E13" s="571"/>
      <c r="F13" s="571"/>
      <c r="G13" s="57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6.4" thickBot="1" x14ac:dyDescent="0.55000000000000004">
      <c r="A14" s="109"/>
      <c r="B14" s="392"/>
      <c r="C14" s="292" t="s">
        <v>255</v>
      </c>
      <c r="D14" s="292" t="s">
        <v>127</v>
      </c>
      <c r="E14" s="337">
        <f>'Costos variables'!Q16</f>
        <v>3690000</v>
      </c>
      <c r="F14" s="337">
        <f>'Costos variables'!Q26</f>
        <v>8940000</v>
      </c>
      <c r="G14" s="337">
        <f>'Costos variables'!Q36</f>
        <v>11755000</v>
      </c>
      <c r="H14" s="109"/>
      <c r="I14" s="109"/>
      <c r="J14" s="1"/>
      <c r="K14" s="518" t="s">
        <v>17</v>
      </c>
      <c r="L14" s="458"/>
      <c r="M14" s="436"/>
      <c r="N14" s="109"/>
      <c r="O14" s="109"/>
      <c r="P14" s="109"/>
      <c r="Q14" s="109"/>
      <c r="R14" s="109"/>
      <c r="S14" s="109"/>
      <c r="T14" s="109"/>
      <c r="U14" s="109"/>
      <c r="V14" s="109"/>
      <c r="W14" s="109"/>
    </row>
    <row r="15" spans="1:26" thickBot="1" x14ac:dyDescent="0.35">
      <c r="A15" s="1"/>
      <c r="B15" s="392"/>
      <c r="C15" s="292" t="s">
        <v>120</v>
      </c>
      <c r="D15" s="292" t="s">
        <v>127</v>
      </c>
      <c r="E15" s="297">
        <f>K11</f>
        <v>14292556.496400004</v>
      </c>
      <c r="F15" s="297">
        <f>L11</f>
        <v>18211950.2707</v>
      </c>
      <c r="G15" s="297">
        <f>M11</f>
        <v>21484062.605900001</v>
      </c>
      <c r="H15" s="1"/>
      <c r="I15" s="1"/>
      <c r="J15" s="109"/>
      <c r="K15" s="172">
        <v>2022</v>
      </c>
      <c r="L15" s="172">
        <v>2023</v>
      </c>
      <c r="M15" s="172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thickBot="1" x14ac:dyDescent="0.35">
      <c r="A16" s="109"/>
      <c r="B16" s="556" t="s">
        <v>262</v>
      </c>
      <c r="C16" s="556"/>
      <c r="D16" s="339"/>
      <c r="E16" s="340">
        <f t="shared" ref="E16:F16" si="0">SUM(E12:E15)</f>
        <v>29432956.496400006</v>
      </c>
      <c r="F16" s="340">
        <f t="shared" si="0"/>
        <v>34042350.2707</v>
      </c>
      <c r="G16" s="340">
        <f>SUM(G12:G15)</f>
        <v>40369462.605900005</v>
      </c>
      <c r="H16" s="109"/>
      <c r="I16" s="109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9"/>
      <c r="O16" s="109"/>
      <c r="P16" s="109"/>
      <c r="Q16" s="109"/>
      <c r="R16" s="109"/>
      <c r="S16" s="109"/>
      <c r="T16" s="109"/>
      <c r="U16" s="109"/>
      <c r="V16" s="109"/>
      <c r="W16" s="109"/>
    </row>
    <row r="17" spans="1:26" thickBot="1" x14ac:dyDescent="0.35">
      <c r="A17" s="1"/>
      <c r="B17" s="557" t="s">
        <v>139</v>
      </c>
      <c r="C17" s="392"/>
      <c r="D17" s="338" t="s">
        <v>127</v>
      </c>
      <c r="E17" s="294">
        <f t="shared" ref="E17:F17" si="1">E11-E16</f>
        <v>-5522956.4964000061</v>
      </c>
      <c r="F17" s="294">
        <f t="shared" si="1"/>
        <v>38857649.7293</v>
      </c>
      <c r="G17" s="294">
        <f>G11-G16</f>
        <v>83410537.394099995</v>
      </c>
      <c r="H17" s="1"/>
      <c r="I17" s="1"/>
      <c r="J17" s="109"/>
      <c r="K17" s="165"/>
      <c r="L17" s="165"/>
      <c r="M17" s="165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A18" s="1"/>
      <c r="B18" s="558" t="s">
        <v>140</v>
      </c>
      <c r="C18" s="392"/>
      <c r="D18" s="292" t="s">
        <v>127</v>
      </c>
      <c r="E18" s="297">
        <f>E11*0.03</f>
        <v>717300</v>
      </c>
      <c r="F18" s="297">
        <f>F11*0.03</f>
        <v>2187000</v>
      </c>
      <c r="G18" s="297">
        <f>G11*0.03</f>
        <v>3713400</v>
      </c>
      <c r="H18" s="1"/>
      <c r="I18" s="1"/>
      <c r="J18" s="263" t="s">
        <v>122</v>
      </c>
      <c r="K18" s="264"/>
      <c r="L18" s="264"/>
      <c r="M18" s="265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thickBot="1" x14ac:dyDescent="0.35">
      <c r="A19" s="1"/>
      <c r="B19" s="558" t="s">
        <v>141</v>
      </c>
      <c r="C19" s="392"/>
      <c r="D19" s="292"/>
      <c r="E19" s="297">
        <f>E17-E18-K16</f>
        <v>-6607934.4964000061</v>
      </c>
      <c r="F19" s="297">
        <f>F17-F18-L16</f>
        <v>36241692.062633336</v>
      </c>
      <c r="G19" s="297">
        <f>G17-G18-M16</f>
        <v>79206900.060766667</v>
      </c>
      <c r="H19" s="1"/>
      <c r="I19" s="1"/>
      <c r="J19" s="279" t="s">
        <v>123</v>
      </c>
      <c r="K19" s="280">
        <v>2022</v>
      </c>
      <c r="L19" s="280">
        <v>2023</v>
      </c>
      <c r="M19" s="281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"/>
      <c r="B20" s="558" t="s">
        <v>142</v>
      </c>
      <c r="C20" s="392"/>
      <c r="D20" s="292" t="s">
        <v>127</v>
      </c>
      <c r="E20" s="297">
        <v>0</v>
      </c>
      <c r="F20" s="297">
        <f>(E17-E18)*0.35</f>
        <v>-2184089.773740002</v>
      </c>
      <c r="G20" s="297">
        <f>(F17-F18)*0.35</f>
        <v>12834727.405254999</v>
      </c>
      <c r="H20" s="1"/>
      <c r="I20" s="1"/>
      <c r="J20" s="78">
        <f>'Mod. inversión'!$H$6</f>
        <v>8317234</v>
      </c>
      <c r="K20" s="79">
        <f>'Mod. inversión'!$I$6</f>
        <v>950000</v>
      </c>
      <c r="L20" s="79">
        <f>'Mod. inversión'!$J$6</f>
        <v>983839</v>
      </c>
      <c r="M20" s="80">
        <f>'Mod. inversión'!K6</f>
        <v>1251517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thickBot="1" x14ac:dyDescent="0.35">
      <c r="A21" s="1"/>
      <c r="B21" s="557" t="s">
        <v>143</v>
      </c>
      <c r="C21" s="392"/>
      <c r="D21" s="338" t="s">
        <v>127</v>
      </c>
      <c r="E21" s="294">
        <f>E17-E18-E20</f>
        <v>-6240256.4964000061</v>
      </c>
      <c r="F21" s="294">
        <f>F17-F18-F20</f>
        <v>38854739.503040001</v>
      </c>
      <c r="G21" s="294">
        <f>G17-G18-G20</f>
        <v>66862409.988844998</v>
      </c>
      <c r="H21" s="1"/>
      <c r="I21" s="1"/>
      <c r="J21" s="358"/>
      <c r="K21" s="358"/>
      <c r="L21" s="358"/>
      <c r="M21" s="358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558" t="s">
        <v>144</v>
      </c>
      <c r="C22" s="392"/>
      <c r="D22" s="297">
        <f>-J20</f>
        <v>-8317234</v>
      </c>
      <c r="E22" s="297">
        <f>-K20</f>
        <v>-950000</v>
      </c>
      <c r="F22" s="297">
        <f>-L20</f>
        <v>-983839</v>
      </c>
      <c r="G22" s="297">
        <f>-M20</f>
        <v>-1251517</v>
      </c>
      <c r="H22" s="1"/>
      <c r="I22" s="1"/>
      <c r="J22" s="359"/>
      <c r="K22" s="359"/>
      <c r="L22" s="359"/>
      <c r="M22" s="35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thickBot="1" x14ac:dyDescent="0.35">
      <c r="A23" s="1"/>
      <c r="B23" s="557" t="s">
        <v>145</v>
      </c>
      <c r="C23" s="392"/>
      <c r="D23" s="294">
        <f>D22</f>
        <v>-8317234</v>
      </c>
      <c r="E23" s="294">
        <f t="shared" ref="E23:F23" si="2">E21+E22</f>
        <v>-7190256.4964000061</v>
      </c>
      <c r="F23" s="294">
        <f t="shared" si="2"/>
        <v>37870900.503040001</v>
      </c>
      <c r="G23" s="294">
        <f>G21+G22</f>
        <v>65610892.988844998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22"/>
      <c r="K25" s="122"/>
      <c r="L25" s="1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thickBot="1" x14ac:dyDescent="0.35">
      <c r="A26" s="1"/>
      <c r="B26" s="1"/>
      <c r="C26" s="1"/>
      <c r="D26" s="1"/>
      <c r="E26" s="1"/>
      <c r="F26" s="1"/>
      <c r="G26" s="1"/>
      <c r="H26" s="1"/>
      <c r="I26" s="1"/>
      <c r="J26" s="122"/>
      <c r="K26" s="122"/>
      <c r="L26" s="1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1"/>
      <c r="I27" s="1"/>
      <c r="J27" s="122"/>
      <c r="K27" s="122"/>
      <c r="L27" s="12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1871897.4512731296</v>
      </c>
      <c r="H28" s="1"/>
      <c r="I28" s="1"/>
      <c r="J28" s="122"/>
      <c r="K28" s="122"/>
      <c r="L28" s="12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1.4007672506430784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3">
      <c r="A32" s="1"/>
      <c r="B32" s="1"/>
      <c r="C32" s="1"/>
      <c r="D32" s="122"/>
      <c r="E32" s="122"/>
      <c r="F32" s="122"/>
      <c r="G32" s="122"/>
      <c r="H32" s="1"/>
      <c r="I32" s="106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22"/>
      <c r="E33" s="1"/>
      <c r="F33" s="10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3">
      <c r="A34" s="1"/>
      <c r="B34" s="1"/>
      <c r="C34" s="1"/>
      <c r="D34" s="122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28"/>
      <c r="E37" s="28"/>
      <c r="F37" s="28"/>
      <c r="G37" s="28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07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3">
      <c r="J1002" s="1"/>
      <c r="K1002" s="1"/>
      <c r="L1002" s="1"/>
      <c r="M1002" s="1"/>
    </row>
  </sheetData>
  <mergeCells count="24">
    <mergeCell ref="K11:K12"/>
    <mergeCell ref="L11:L12"/>
    <mergeCell ref="M11:M12"/>
    <mergeCell ref="C12:C13"/>
    <mergeCell ref="D12:D13"/>
    <mergeCell ref="E12:E13"/>
    <mergeCell ref="F12:F13"/>
    <mergeCell ref="G12:G13"/>
    <mergeCell ref="B16:C16"/>
    <mergeCell ref="B21:C21"/>
    <mergeCell ref="B22:C22"/>
    <mergeCell ref="B23:C23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B20:C20"/>
    <mergeCell ref="J11:J12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7" sqref="G7"/>
    </sheetView>
  </sheetViews>
  <sheetFormatPr baseColWidth="10" defaultColWidth="12.59765625" defaultRowHeight="15" customHeight="1" x14ac:dyDescent="0.25"/>
  <cols>
    <col min="1" max="1" width="10" customWidth="1"/>
    <col min="2" max="2" width="11.8984375" customWidth="1"/>
    <col min="3" max="3" width="49.59765625" customWidth="1"/>
    <col min="4" max="4" width="62.19921875" customWidth="1"/>
    <col min="5" max="5" width="49.3984375" customWidth="1"/>
    <col min="6" max="6" width="13.5" customWidth="1"/>
    <col min="7" max="7" width="11.8984375" customWidth="1"/>
    <col min="8" max="8" width="13.59765625" customWidth="1"/>
    <col min="9" max="26" width="10" customWidth="1"/>
  </cols>
  <sheetData>
    <row r="1" spans="1:26" ht="69" customHeight="1" x14ac:dyDescent="0.3">
      <c r="A1" s="169"/>
      <c r="B1" s="169"/>
      <c r="C1" s="169"/>
      <c r="D1" s="170" t="s">
        <v>19</v>
      </c>
      <c r="E1" s="169"/>
      <c r="F1" s="169"/>
      <c r="G1" s="171"/>
      <c r="H1" s="171"/>
      <c r="I1" s="169"/>
      <c r="J1" s="169"/>
      <c r="K1" s="169"/>
      <c r="L1" s="169"/>
      <c r="M1" s="169"/>
      <c r="N1" s="169"/>
      <c r="O1" s="277"/>
      <c r="P1" s="277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8" x14ac:dyDescent="0.5">
      <c r="A4" s="1"/>
      <c r="B4" s="572" t="s">
        <v>19</v>
      </c>
      <c r="C4" s="458"/>
      <c r="D4" s="458"/>
      <c r="E4" s="458"/>
      <c r="F4" s="458"/>
      <c r="G4" s="43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306" t="s">
        <v>149</v>
      </c>
      <c r="C5" s="307" t="s">
        <v>150</v>
      </c>
      <c r="D5" s="307" t="s">
        <v>151</v>
      </c>
      <c r="E5" s="307" t="s">
        <v>152</v>
      </c>
      <c r="F5" s="269" t="s">
        <v>153</v>
      </c>
      <c r="G5" s="308" t="s">
        <v>154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309">
        <v>1</v>
      </c>
      <c r="C6" s="311" t="s">
        <v>244</v>
      </c>
      <c r="D6" s="312" t="s">
        <v>238</v>
      </c>
      <c r="E6" s="312" t="str">
        <f>'Escenario 1'!$I$11</f>
        <v>Las ventas disminuyen un 15% en 2023 y un 20% en 2024.</v>
      </c>
      <c r="F6" s="313" t="s">
        <v>171</v>
      </c>
      <c r="G6" s="313" t="s">
        <v>280</v>
      </c>
      <c r="H6" s="108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9.4" thickBot="1" x14ac:dyDescent="0.35">
      <c r="A7" s="1"/>
      <c r="B7" s="310">
        <v>2</v>
      </c>
      <c r="C7" s="314" t="s">
        <v>239</v>
      </c>
      <c r="D7" s="315" t="s">
        <v>276</v>
      </c>
      <c r="E7" s="315" t="s">
        <v>241</v>
      </c>
      <c r="F7" s="316" t="s">
        <v>170</v>
      </c>
      <c r="G7" s="316" t="s">
        <v>242</v>
      </c>
      <c r="H7" s="10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9.4" thickBot="1" x14ac:dyDescent="0.35">
      <c r="A8" s="1"/>
      <c r="B8" s="290">
        <v>3</v>
      </c>
      <c r="C8" s="317" t="s">
        <v>240</v>
      </c>
      <c r="D8" s="318" t="s">
        <v>237</v>
      </c>
      <c r="E8" s="318" t="s">
        <v>277</v>
      </c>
      <c r="F8" s="319" t="s">
        <v>170</v>
      </c>
      <c r="G8" s="320" t="s">
        <v>281</v>
      </c>
      <c r="H8" s="108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G13" sqref="G13:G14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thickBot="1" x14ac:dyDescent="0.35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581" t="s">
        <v>244</v>
      </c>
      <c r="J3" s="165"/>
      <c r="K3" s="165"/>
      <c r="L3" s="165"/>
      <c r="M3" s="165"/>
    </row>
    <row r="4" spans="1:13" ht="14.4" x14ac:dyDescent="0.3">
      <c r="A4" s="1"/>
      <c r="B4" s="1"/>
      <c r="C4" s="1"/>
      <c r="D4" s="1"/>
      <c r="E4" s="1"/>
      <c r="F4" s="1"/>
      <c r="G4" s="1"/>
      <c r="H4" s="165"/>
      <c r="I4" s="582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583"/>
      <c r="J5" s="165"/>
      <c r="K5" s="165"/>
      <c r="L5" s="165"/>
      <c r="M5" s="165"/>
    </row>
    <row r="6" spans="1:13" ht="15" thickBot="1" x14ac:dyDescent="0.35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584" t="s">
        <v>169</v>
      </c>
      <c r="J7" s="165"/>
      <c r="K7" s="165"/>
      <c r="L7" s="165"/>
      <c r="M7" s="165"/>
    </row>
    <row r="8" spans="1:13" ht="14.4" x14ac:dyDescent="0.3">
      <c r="A8" s="1"/>
      <c r="B8" s="1"/>
      <c r="C8" s="1"/>
      <c r="D8" s="1"/>
      <c r="E8" s="1"/>
      <c r="F8" s="1"/>
      <c r="G8" s="1"/>
      <c r="H8" s="165"/>
      <c r="I8" s="582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583"/>
      <c r="J9" s="165"/>
      <c r="K9" s="165"/>
      <c r="L9" s="165"/>
      <c r="M9" s="165"/>
    </row>
    <row r="10" spans="1:13" ht="26.4" thickBot="1" x14ac:dyDescent="0.55000000000000004">
      <c r="A10" s="1"/>
      <c r="B10" s="521" t="s">
        <v>133</v>
      </c>
      <c r="C10" s="522"/>
      <c r="D10" s="522"/>
      <c r="E10" s="522"/>
      <c r="F10" s="522"/>
      <c r="G10" s="523"/>
      <c r="H10" s="165"/>
      <c r="I10" s="196" t="s">
        <v>152</v>
      </c>
      <c r="J10" s="165"/>
      <c r="K10" s="165"/>
      <c r="L10" s="165"/>
      <c r="M10" s="165"/>
    </row>
    <row r="11" spans="1:13" ht="15" thickBot="1" x14ac:dyDescent="0.35">
      <c r="A11" s="1"/>
      <c r="B11" s="590" t="s">
        <v>136</v>
      </c>
      <c r="C11" s="59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81" t="s">
        <v>279</v>
      </c>
      <c r="J11" s="165"/>
      <c r="K11" s="165"/>
      <c r="L11" s="165"/>
      <c r="M11" s="165"/>
    </row>
    <row r="12" spans="1:13" ht="15" thickBot="1" x14ac:dyDescent="0.35">
      <c r="A12" s="1"/>
      <c r="B12" s="592" t="s">
        <v>51</v>
      </c>
      <c r="C12" s="593"/>
      <c r="D12" s="86" t="s">
        <v>127</v>
      </c>
      <c r="E12" s="127">
        <f>+'Mod. ingresos'!C20</f>
        <v>23910000</v>
      </c>
      <c r="F12" s="127">
        <f>+'Mod. ingresos'!D20*0.85</f>
        <v>61965000</v>
      </c>
      <c r="G12" s="127">
        <f>+'Mod. ingresos'!E20*0.8</f>
        <v>99024000</v>
      </c>
      <c r="H12" s="165"/>
      <c r="I12" s="585"/>
      <c r="J12" s="165"/>
      <c r="K12" s="165"/>
      <c r="L12" s="165"/>
      <c r="M12" s="165"/>
    </row>
    <row r="13" spans="1:13" ht="14.4" x14ac:dyDescent="0.3">
      <c r="A13" s="1"/>
      <c r="B13" s="594" t="s">
        <v>138</v>
      </c>
      <c r="C13" s="597" t="s">
        <v>135</v>
      </c>
      <c r="D13" s="599" t="s">
        <v>127</v>
      </c>
      <c r="E13" s="573">
        <f>'Costos fijos'!P15</f>
        <v>11450400</v>
      </c>
      <c r="F13" s="573">
        <f>'Costos fijos'!P24</f>
        <v>6890400</v>
      </c>
      <c r="G13" s="573">
        <f>'Costos fijos'!P33</f>
        <v>7130400</v>
      </c>
      <c r="H13" s="165"/>
      <c r="I13" s="165"/>
      <c r="J13" s="165"/>
      <c r="K13" s="165"/>
      <c r="L13" s="165"/>
      <c r="M13" s="165"/>
    </row>
    <row r="14" spans="1:13" ht="14.4" x14ac:dyDescent="0.3">
      <c r="A14" s="1"/>
      <c r="B14" s="595"/>
      <c r="C14" s="598"/>
      <c r="D14" s="600"/>
      <c r="E14" s="574"/>
      <c r="F14" s="574"/>
      <c r="G14" s="574"/>
      <c r="H14" s="165"/>
      <c r="I14" s="165"/>
      <c r="J14" s="165"/>
      <c r="K14" s="165"/>
      <c r="L14" s="165"/>
      <c r="M14" s="165"/>
    </row>
    <row r="15" spans="1:13" ht="14.4" x14ac:dyDescent="0.3">
      <c r="A15" s="109"/>
      <c r="B15" s="595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165"/>
      <c r="J15" s="165"/>
      <c r="K15" s="165"/>
      <c r="L15" s="165"/>
      <c r="M15" s="165"/>
    </row>
    <row r="16" spans="1:13" ht="15" thickBot="1" x14ac:dyDescent="0.35">
      <c r="A16" s="1"/>
      <c r="B16" s="596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RRHH'!AA42</f>
        <v>18211950.2707</v>
      </c>
      <c r="G16" s="91">
        <f>'Costos RRHH'!AA54</f>
        <v>21484062.605900001</v>
      </c>
      <c r="H16" s="165"/>
      <c r="I16" s="165"/>
      <c r="J16" s="165"/>
      <c r="K16" s="165"/>
      <c r="L16" s="165"/>
      <c r="M16" s="165"/>
    </row>
    <row r="17" spans="1:15" ht="15" thickBot="1" x14ac:dyDescent="0.35">
      <c r="A17" s="1"/>
      <c r="B17" s="575" t="s">
        <v>139</v>
      </c>
      <c r="C17" s="576"/>
      <c r="D17" s="92" t="s">
        <v>127</v>
      </c>
      <c r="E17" s="93">
        <f>E12-E13-E15-E14-E16</f>
        <v>-5522956.4964000043</v>
      </c>
      <c r="F17" s="93">
        <f t="shared" ref="F17:G17" si="0">F12-F13-F15-F14-F16</f>
        <v>27922649.7293</v>
      </c>
      <c r="G17" s="93">
        <f t="shared" si="0"/>
        <v>58654537.394099995</v>
      </c>
      <c r="H17" s="165"/>
      <c r="I17" s="165"/>
      <c r="J17" s="165"/>
      <c r="K17" s="165"/>
      <c r="L17" s="165"/>
      <c r="M17" s="165"/>
    </row>
    <row r="18" spans="1:15" ht="14.4" x14ac:dyDescent="0.3">
      <c r="A18" s="1"/>
      <c r="B18" s="586" t="s">
        <v>140</v>
      </c>
      <c r="C18" s="587"/>
      <c r="D18" s="86" t="s">
        <v>127</v>
      </c>
      <c r="E18" s="87">
        <f>E12*0.03</f>
        <v>717300</v>
      </c>
      <c r="F18" s="87">
        <f>F12*0.03</f>
        <v>1858950</v>
      </c>
      <c r="G18" s="95">
        <f t="shared" ref="G18" si="1">G12*0.03</f>
        <v>2970720</v>
      </c>
      <c r="H18" s="353"/>
      <c r="I18" s="353"/>
      <c r="J18" s="165"/>
      <c r="K18" s="165"/>
      <c r="L18" s="165"/>
      <c r="M18" s="165"/>
    </row>
    <row r="19" spans="1:15" ht="14.4" x14ac:dyDescent="0.3">
      <c r="A19" s="1"/>
      <c r="B19" s="588" t="s">
        <v>141</v>
      </c>
      <c r="C19" s="589"/>
      <c r="D19" s="88"/>
      <c r="E19" s="81">
        <f>E17-E18-Amortizaciones!F5</f>
        <v>-6607934.4964000043</v>
      </c>
      <c r="F19" s="81">
        <f>F17-F18-Amortizaciones!G5</f>
        <v>25634742.062633332</v>
      </c>
      <c r="G19" s="81">
        <f>G17-G18-Amortizaciones!H5</f>
        <v>55193580.06076666</v>
      </c>
      <c r="H19" s="353"/>
      <c r="I19" s="353"/>
      <c r="J19" s="165"/>
      <c r="K19" s="165"/>
      <c r="L19" s="165"/>
      <c r="M19" s="165"/>
    </row>
    <row r="20" spans="1:15" ht="15" thickBot="1" x14ac:dyDescent="0.35">
      <c r="A20" s="1"/>
      <c r="B20" s="579" t="s">
        <v>142</v>
      </c>
      <c r="C20" s="580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9122294.9052549992</v>
      </c>
      <c r="H20" s="353"/>
      <c r="I20" s="353"/>
      <c r="J20" s="165"/>
      <c r="K20" s="165"/>
      <c r="L20" s="165"/>
      <c r="M20" s="165"/>
    </row>
    <row r="21" spans="1:15" ht="15" thickBot="1" x14ac:dyDescent="0.35">
      <c r="A21" s="1"/>
      <c r="B21" s="575" t="s">
        <v>143</v>
      </c>
      <c r="C21" s="576"/>
      <c r="D21" s="92" t="s">
        <v>127</v>
      </c>
      <c r="E21" s="93">
        <f>E17-E18-E20</f>
        <v>-6240256.4964000043</v>
      </c>
      <c r="F21" s="93">
        <f>F17-F18-F20</f>
        <v>28247789.503040001</v>
      </c>
      <c r="G21" s="94">
        <f>G17-G18-G20</f>
        <v>46561522.488844998</v>
      </c>
      <c r="H21" s="353"/>
      <c r="I21" s="353"/>
      <c r="J21" s="165"/>
      <c r="K21" s="165"/>
      <c r="L21" s="165"/>
      <c r="M21" s="165"/>
    </row>
    <row r="22" spans="1:15" ht="15" thickBot="1" x14ac:dyDescent="0.35">
      <c r="A22" s="1"/>
      <c r="B22" s="577" t="s">
        <v>144</v>
      </c>
      <c r="C22" s="57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" thickBot="1" x14ac:dyDescent="0.35">
      <c r="A23" s="1"/>
      <c r="B23" s="575" t="s">
        <v>145</v>
      </c>
      <c r="C23" s="576"/>
      <c r="D23" s="99">
        <f>D22</f>
        <v>-8317234</v>
      </c>
      <c r="E23" s="93">
        <f t="shared" ref="E23:F23" si="2">E21+E22</f>
        <v>-7190256.4964000043</v>
      </c>
      <c r="F23" s="93">
        <f t="shared" si="2"/>
        <v>27263950.503040001</v>
      </c>
      <c r="G23" s="94">
        <f>G21+G22</f>
        <v>45310005.488844998</v>
      </c>
      <c r="H23" s="353"/>
      <c r="I23" s="353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-317287.22486489807</v>
      </c>
      <c r="H28" s="353"/>
      <c r="I28" s="35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1.0437216611483371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  <mergeCell ref="B23:C23"/>
    <mergeCell ref="B22:C22"/>
    <mergeCell ref="B21:C21"/>
    <mergeCell ref="B20:C20"/>
    <mergeCell ref="B19:C1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H34" sqref="H34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thickBot="1" x14ac:dyDescent="0.35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581" t="s">
        <v>239</v>
      </c>
      <c r="J3" s="165"/>
      <c r="K3" s="165"/>
      <c r="L3" s="165"/>
      <c r="M3" s="165"/>
    </row>
    <row r="4" spans="1:13" ht="14.4" x14ac:dyDescent="0.3">
      <c r="A4" s="1"/>
      <c r="B4" s="1"/>
      <c r="C4" s="1"/>
      <c r="D4" s="1"/>
      <c r="E4" s="1"/>
      <c r="F4" s="1"/>
      <c r="G4" s="1"/>
      <c r="H4" s="165"/>
      <c r="I4" s="582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583"/>
      <c r="J5" s="165"/>
      <c r="K5" s="165"/>
      <c r="L5" s="165"/>
      <c r="M5" s="165"/>
    </row>
    <row r="6" spans="1:13" ht="15" thickBot="1" x14ac:dyDescent="0.35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584" t="s">
        <v>276</v>
      </c>
      <c r="J7" s="165"/>
      <c r="K7" s="165"/>
      <c r="L7" s="165"/>
      <c r="M7" s="165"/>
    </row>
    <row r="8" spans="1:13" ht="14.4" x14ac:dyDescent="0.3">
      <c r="A8" s="1"/>
      <c r="B8" s="1"/>
      <c r="C8" s="1"/>
      <c r="D8" s="1"/>
      <c r="E8" s="1"/>
      <c r="F8" s="1"/>
      <c r="G8" s="1"/>
      <c r="H8" s="165"/>
      <c r="I8" s="582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583"/>
      <c r="J9" s="165"/>
      <c r="K9" s="165"/>
      <c r="L9" s="165"/>
      <c r="M9" s="165"/>
    </row>
    <row r="10" spans="1:13" ht="26.4" thickBot="1" x14ac:dyDescent="0.55000000000000004">
      <c r="A10" s="1"/>
      <c r="B10" s="521" t="s">
        <v>133</v>
      </c>
      <c r="C10" s="522"/>
      <c r="D10" s="522"/>
      <c r="E10" s="522"/>
      <c r="F10" s="522"/>
      <c r="G10" s="523"/>
      <c r="H10" s="165"/>
      <c r="I10" s="196" t="s">
        <v>152</v>
      </c>
      <c r="J10" s="165"/>
      <c r="K10" s="165"/>
      <c r="L10" s="165"/>
      <c r="M10" s="165"/>
    </row>
    <row r="11" spans="1:13" ht="15" thickBot="1" x14ac:dyDescent="0.35">
      <c r="A11" s="1"/>
      <c r="B11" s="590" t="s">
        <v>136</v>
      </c>
      <c r="C11" s="59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81" t="s">
        <v>241</v>
      </c>
      <c r="J11" s="165"/>
      <c r="K11" s="165"/>
      <c r="L11" s="165"/>
      <c r="M11" s="165"/>
    </row>
    <row r="12" spans="1:13" ht="15" thickBot="1" x14ac:dyDescent="0.35">
      <c r="A12" s="1"/>
      <c r="B12" s="592" t="s">
        <v>51</v>
      </c>
      <c r="C12" s="593"/>
      <c r="D12" s="86" t="s">
        <v>127</v>
      </c>
      <c r="E12" s="127">
        <f>+'Mod. ingresos'!C20</f>
        <v>23910000</v>
      </c>
      <c r="F12" s="127">
        <f>+'Mod. ingresos'!D20*0.9</f>
        <v>65610000</v>
      </c>
      <c r="G12" s="127">
        <f>+'Mod. ingresos'!E20*0.8</f>
        <v>99024000</v>
      </c>
      <c r="H12" s="165"/>
      <c r="I12" s="585"/>
      <c r="J12" s="165"/>
      <c r="K12" s="165"/>
      <c r="L12" s="165"/>
      <c r="M12" s="165"/>
    </row>
    <row r="13" spans="1:13" ht="14.4" x14ac:dyDescent="0.3">
      <c r="A13" s="1"/>
      <c r="B13" s="594" t="s">
        <v>138</v>
      </c>
      <c r="C13" s="597" t="s">
        <v>135</v>
      </c>
      <c r="D13" s="599" t="s">
        <v>127</v>
      </c>
      <c r="E13" s="573">
        <f>'Costos fijos'!P15</f>
        <v>11450400</v>
      </c>
      <c r="F13" s="573">
        <f>'Costos fijos'!P24</f>
        <v>6890400</v>
      </c>
      <c r="G13" s="573">
        <f>'Costos fijos'!P33</f>
        <v>7130400</v>
      </c>
      <c r="H13" s="165"/>
      <c r="I13" s="165"/>
      <c r="J13" s="165"/>
      <c r="K13" s="165"/>
      <c r="L13" s="165"/>
      <c r="M13" s="165"/>
    </row>
    <row r="14" spans="1:13" ht="14.4" x14ac:dyDescent="0.3">
      <c r="A14" s="1"/>
      <c r="B14" s="595"/>
      <c r="C14" s="598"/>
      <c r="D14" s="600"/>
      <c r="E14" s="574"/>
      <c r="F14" s="574"/>
      <c r="G14" s="574"/>
      <c r="H14" s="165"/>
      <c r="I14" s="165"/>
      <c r="J14" s="165"/>
      <c r="K14" s="165"/>
      <c r="L14" s="165"/>
      <c r="M14" s="165"/>
    </row>
    <row r="15" spans="1:13" ht="14.4" x14ac:dyDescent="0.3">
      <c r="A15" s="109"/>
      <c r="B15" s="595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165"/>
      <c r="J15" s="165"/>
      <c r="K15" s="165"/>
      <c r="L15" s="165"/>
      <c r="M15" s="165"/>
    </row>
    <row r="16" spans="1:13" ht="15" thickBot="1" x14ac:dyDescent="0.35">
      <c r="A16" s="1"/>
      <c r="B16" s="596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RRHH'!AA42</f>
        <v>18211950.2707</v>
      </c>
      <c r="G16" s="91">
        <f>'Costos RRHH'!AA54</f>
        <v>21484062.605900001</v>
      </c>
      <c r="H16" s="165"/>
      <c r="I16" s="165"/>
      <c r="J16" s="165"/>
      <c r="K16" s="165"/>
      <c r="L16" s="165"/>
      <c r="M16" s="165"/>
    </row>
    <row r="17" spans="1:15" ht="15" thickBot="1" x14ac:dyDescent="0.35">
      <c r="A17" s="1"/>
      <c r="B17" s="575" t="s">
        <v>139</v>
      </c>
      <c r="C17" s="576"/>
      <c r="D17" s="92" t="s">
        <v>127</v>
      </c>
      <c r="E17" s="93">
        <f>E12-E13-E15-E14-E16</f>
        <v>-5522956.4964000043</v>
      </c>
      <c r="F17" s="93">
        <f t="shared" ref="F17:G17" si="0">F12-F13-F15-F14-F16</f>
        <v>31567649.7293</v>
      </c>
      <c r="G17" s="93">
        <f t="shared" si="0"/>
        <v>58654537.394099995</v>
      </c>
      <c r="H17" s="165"/>
      <c r="I17" s="165"/>
      <c r="J17" s="165"/>
      <c r="K17" s="165"/>
      <c r="L17" s="165"/>
      <c r="M17" s="165"/>
    </row>
    <row r="18" spans="1:15" ht="14.4" x14ac:dyDescent="0.3">
      <c r="A18" s="1"/>
      <c r="B18" s="586" t="s">
        <v>140</v>
      </c>
      <c r="C18" s="587"/>
      <c r="D18" s="86" t="s">
        <v>127</v>
      </c>
      <c r="E18" s="87">
        <f>E12*0.03</f>
        <v>717300</v>
      </c>
      <c r="F18" s="87">
        <f>F12*0.03</f>
        <v>1968300</v>
      </c>
      <c r="G18" s="95">
        <f t="shared" ref="G18" si="1">G12*0.03</f>
        <v>2970720</v>
      </c>
      <c r="H18" s="353"/>
      <c r="I18" s="353"/>
      <c r="J18" s="165"/>
      <c r="K18" s="165"/>
      <c r="L18" s="165"/>
      <c r="M18" s="165"/>
    </row>
    <row r="19" spans="1:15" ht="14.4" x14ac:dyDescent="0.3">
      <c r="A19" s="1"/>
      <c r="B19" s="588" t="s">
        <v>141</v>
      </c>
      <c r="C19" s="589"/>
      <c r="D19" s="88"/>
      <c r="E19" s="81">
        <f>E17-E18-Amortizaciones!F5</f>
        <v>-6607934.4964000043</v>
      </c>
      <c r="F19" s="81">
        <f>F17-F18-Amortizaciones!G5</f>
        <v>29170392.062633332</v>
      </c>
      <c r="G19" s="81">
        <f>G17-G18-Amortizaciones!H5</f>
        <v>55193580.06076666</v>
      </c>
      <c r="H19" s="353"/>
      <c r="I19" s="353"/>
      <c r="J19" s="165"/>
      <c r="K19" s="165"/>
      <c r="L19" s="165"/>
      <c r="M19" s="165"/>
    </row>
    <row r="20" spans="1:15" ht="15" thickBot="1" x14ac:dyDescent="0.35">
      <c r="A20" s="1"/>
      <c r="B20" s="579" t="s">
        <v>142</v>
      </c>
      <c r="C20" s="580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10359772.405254999</v>
      </c>
      <c r="H20" s="353"/>
      <c r="I20" s="353"/>
      <c r="J20" s="165"/>
      <c r="K20" s="165"/>
      <c r="L20" s="165"/>
      <c r="M20" s="165"/>
    </row>
    <row r="21" spans="1:15" ht="15" thickBot="1" x14ac:dyDescent="0.35">
      <c r="A21" s="1"/>
      <c r="B21" s="575" t="s">
        <v>143</v>
      </c>
      <c r="C21" s="576"/>
      <c r="D21" s="92" t="s">
        <v>127</v>
      </c>
      <c r="E21" s="93">
        <f>E17-E18-E20</f>
        <v>-6240256.4964000043</v>
      </c>
      <c r="F21" s="93">
        <f>F17-F18-F20</f>
        <v>31783439.503040001</v>
      </c>
      <c r="G21" s="94">
        <f>G17-G18-G20</f>
        <v>45324044.988844998</v>
      </c>
      <c r="H21" s="353"/>
      <c r="I21" s="353"/>
      <c r="J21" s="165"/>
      <c r="K21" s="165"/>
      <c r="L21" s="165"/>
      <c r="M21" s="165"/>
    </row>
    <row r="22" spans="1:15" ht="15" thickBot="1" x14ac:dyDescent="0.35">
      <c r="A22" s="1"/>
      <c r="B22" s="577" t="s">
        <v>144</v>
      </c>
      <c r="C22" s="57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" thickBot="1" x14ac:dyDescent="0.35">
      <c r="A23" s="1"/>
      <c r="B23" s="575" t="s">
        <v>145</v>
      </c>
      <c r="C23" s="576"/>
      <c r="D23" s="99">
        <f>D22</f>
        <v>-8317234</v>
      </c>
      <c r="E23" s="93">
        <f t="shared" ref="E23:F23" si="2">E21+E22</f>
        <v>-7190256.4964000043</v>
      </c>
      <c r="F23" s="93">
        <f t="shared" si="2"/>
        <v>30799600.503040001</v>
      </c>
      <c r="G23" s="94">
        <f>G21+G22</f>
        <v>44072527.988844998</v>
      </c>
      <c r="H23" s="353"/>
      <c r="I23" s="353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861.46318174898624</v>
      </c>
      <c r="H28" s="353"/>
      <c r="I28" s="35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1.1001530789853744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3:C23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I21" sqref="I21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thickBot="1" x14ac:dyDescent="0.35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581" t="s">
        <v>240</v>
      </c>
      <c r="J3" s="165"/>
      <c r="K3" s="165"/>
      <c r="L3" s="165"/>
      <c r="M3" s="165"/>
    </row>
    <row r="4" spans="1:13" ht="14.4" x14ac:dyDescent="0.3">
      <c r="A4" s="1"/>
      <c r="B4" s="1"/>
      <c r="C4" s="1"/>
      <c r="D4" s="1"/>
      <c r="E4" s="1"/>
      <c r="F4" s="1"/>
      <c r="G4" s="1"/>
      <c r="H4" s="165"/>
      <c r="I4" s="582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583"/>
      <c r="J5" s="165"/>
      <c r="K5" s="165"/>
      <c r="L5" s="165"/>
      <c r="M5" s="165"/>
    </row>
    <row r="6" spans="1:13" ht="15" thickBot="1" x14ac:dyDescent="0.35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584" t="s">
        <v>237</v>
      </c>
      <c r="J7" s="165"/>
      <c r="K7" s="165"/>
      <c r="L7" s="165"/>
      <c r="M7" s="165"/>
    </row>
    <row r="8" spans="1:13" ht="14.4" x14ac:dyDescent="0.3">
      <c r="A8" s="1"/>
      <c r="B8" s="1"/>
      <c r="C8" s="1"/>
      <c r="D8" s="1"/>
      <c r="E8" s="1"/>
      <c r="F8" s="1"/>
      <c r="G8" s="1"/>
      <c r="H8" s="165"/>
      <c r="I8" s="582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583"/>
      <c r="J9" s="165"/>
      <c r="K9" s="165"/>
      <c r="L9" s="165"/>
      <c r="M9" s="165"/>
    </row>
    <row r="10" spans="1:13" ht="26.4" thickBot="1" x14ac:dyDescent="0.55000000000000004">
      <c r="A10" s="1"/>
      <c r="B10" s="521" t="s">
        <v>133</v>
      </c>
      <c r="C10" s="522"/>
      <c r="D10" s="522"/>
      <c r="E10" s="522"/>
      <c r="F10" s="522"/>
      <c r="G10" s="523"/>
      <c r="H10" s="165"/>
      <c r="I10" s="196" t="s">
        <v>152</v>
      </c>
      <c r="J10" s="165"/>
      <c r="K10" s="165"/>
      <c r="L10" s="165"/>
      <c r="M10" s="165"/>
    </row>
    <row r="11" spans="1:13" ht="15" thickBot="1" x14ac:dyDescent="0.35">
      <c r="A11" s="1"/>
      <c r="B11" s="590" t="s">
        <v>136</v>
      </c>
      <c r="C11" s="59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81" t="s">
        <v>277</v>
      </c>
      <c r="J11" s="165"/>
      <c r="K11" s="165"/>
      <c r="L11" s="165"/>
      <c r="M11" s="165"/>
    </row>
    <row r="12" spans="1:13" ht="15" thickBot="1" x14ac:dyDescent="0.35">
      <c r="A12" s="1"/>
      <c r="B12" s="592" t="s">
        <v>51</v>
      </c>
      <c r="C12" s="593"/>
      <c r="D12" s="86" t="s">
        <v>127</v>
      </c>
      <c r="E12" s="127">
        <f>+'Mod. ingresos'!C20</f>
        <v>23910000</v>
      </c>
      <c r="F12" s="127">
        <f>+'Mod. ingresos'!D20</f>
        <v>72900000</v>
      </c>
      <c r="G12" s="127">
        <f>+'Mod. ingresos'!E20</f>
        <v>123780000</v>
      </c>
      <c r="H12" s="165"/>
      <c r="I12" s="585"/>
      <c r="J12" s="165"/>
      <c r="K12" s="165"/>
      <c r="L12" s="165"/>
      <c r="M12" s="165"/>
    </row>
    <row r="13" spans="1:13" ht="14.4" x14ac:dyDescent="0.3">
      <c r="A13" s="1"/>
      <c r="B13" s="594" t="s">
        <v>138</v>
      </c>
      <c r="C13" s="597" t="s">
        <v>135</v>
      </c>
      <c r="D13" s="599" t="s">
        <v>127</v>
      </c>
      <c r="E13" s="573">
        <f>'Costos fijos'!P15</f>
        <v>11450400</v>
      </c>
      <c r="F13" s="573">
        <f>'Costos fijos'!P24</f>
        <v>6890400</v>
      </c>
      <c r="G13" s="573">
        <f>'Costos fijos'!P33</f>
        <v>7130400</v>
      </c>
      <c r="H13" s="165"/>
      <c r="I13" s="165"/>
      <c r="J13" s="165"/>
      <c r="K13" s="165"/>
      <c r="L13" s="165"/>
      <c r="M13" s="165"/>
    </row>
    <row r="14" spans="1:13" ht="14.4" x14ac:dyDescent="0.3">
      <c r="A14" s="1"/>
      <c r="B14" s="595"/>
      <c r="C14" s="598"/>
      <c r="D14" s="600"/>
      <c r="E14" s="574"/>
      <c r="F14" s="574"/>
      <c r="G14" s="574"/>
      <c r="H14" s="165"/>
      <c r="I14" s="165"/>
      <c r="J14" s="165"/>
      <c r="K14" s="165"/>
      <c r="L14" s="165"/>
      <c r="M14" s="165"/>
    </row>
    <row r="15" spans="1:13" ht="14.4" x14ac:dyDescent="0.3">
      <c r="A15" s="109"/>
      <c r="B15" s="595"/>
      <c r="C15" s="350" t="s">
        <v>267</v>
      </c>
      <c r="D15" s="351"/>
      <c r="E15" s="352">
        <f>'Costos variables'!Q16</f>
        <v>3690000</v>
      </c>
      <c r="F15" s="352">
        <f>'Costos variables'!Q26 * 1.3</f>
        <v>11622000</v>
      </c>
      <c r="G15" s="352">
        <f>'Costos variables'!Q36 * 1.5</f>
        <v>17632500</v>
      </c>
      <c r="H15" s="165"/>
      <c r="I15" s="165"/>
      <c r="J15" s="165"/>
      <c r="K15" s="165"/>
      <c r="L15" s="165"/>
      <c r="M15" s="165"/>
    </row>
    <row r="16" spans="1:13" ht="15" thickBot="1" x14ac:dyDescent="0.35">
      <c r="A16" s="1"/>
      <c r="B16" s="596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RRHH'!AA42</f>
        <v>18211950.2707</v>
      </c>
      <c r="G16" s="91">
        <f>'Costos RRHH'!AA54</f>
        <v>21484062.605900001</v>
      </c>
      <c r="H16" s="165"/>
      <c r="I16" s="165"/>
      <c r="J16" s="165"/>
      <c r="K16" s="165"/>
      <c r="L16" s="165"/>
      <c r="M16" s="165"/>
    </row>
    <row r="17" spans="1:15" ht="15" thickBot="1" x14ac:dyDescent="0.35">
      <c r="A17" s="1"/>
      <c r="B17" s="575" t="s">
        <v>139</v>
      </c>
      <c r="C17" s="576"/>
      <c r="D17" s="92" t="s">
        <v>127</v>
      </c>
      <c r="E17" s="93">
        <f>E12-E13-E15-E14-E16</f>
        <v>-5522956.4964000043</v>
      </c>
      <c r="F17" s="93">
        <f t="shared" ref="F17:G17" si="0">F12-F13-F15-F14-F16</f>
        <v>36175649.7293</v>
      </c>
      <c r="G17" s="93">
        <f t="shared" si="0"/>
        <v>77533037.394099995</v>
      </c>
      <c r="H17" s="165"/>
      <c r="I17" s="165"/>
      <c r="J17" s="165"/>
      <c r="K17" s="165"/>
      <c r="L17" s="165"/>
      <c r="M17" s="165"/>
    </row>
    <row r="18" spans="1:15" ht="14.4" x14ac:dyDescent="0.3">
      <c r="A18" s="1"/>
      <c r="B18" s="586" t="s">
        <v>140</v>
      </c>
      <c r="C18" s="587"/>
      <c r="D18" s="86" t="s">
        <v>127</v>
      </c>
      <c r="E18" s="87">
        <f>E12*0.03</f>
        <v>717300</v>
      </c>
      <c r="F18" s="87">
        <f>F12*0.03</f>
        <v>2187000</v>
      </c>
      <c r="G18" s="95">
        <f t="shared" ref="G18" si="1">G12*0.03</f>
        <v>3713400</v>
      </c>
      <c r="H18" s="353"/>
      <c r="I18" s="353"/>
      <c r="J18" s="165"/>
      <c r="K18" s="165"/>
      <c r="L18" s="165"/>
      <c r="M18" s="165"/>
    </row>
    <row r="19" spans="1:15" ht="14.4" x14ac:dyDescent="0.3">
      <c r="A19" s="1"/>
      <c r="B19" s="588" t="s">
        <v>141</v>
      </c>
      <c r="C19" s="589"/>
      <c r="D19" s="88"/>
      <c r="E19" s="81">
        <f>E17-E18-Amortizaciones!F5</f>
        <v>-6607934.4964000043</v>
      </c>
      <c r="F19" s="81">
        <f>F17-F18-Amortizaciones!G5</f>
        <v>33559692.062633336</v>
      </c>
      <c r="G19" s="81">
        <f>G17-G18-Amortizaciones!H5</f>
        <v>73329400.060766667</v>
      </c>
      <c r="H19" s="353"/>
      <c r="I19" s="353"/>
      <c r="J19" s="165"/>
      <c r="K19" s="165"/>
      <c r="L19" s="165"/>
      <c r="M19" s="165"/>
    </row>
    <row r="20" spans="1:15" ht="15" thickBot="1" x14ac:dyDescent="0.35">
      <c r="A20" s="1"/>
      <c r="B20" s="579" t="s">
        <v>142</v>
      </c>
      <c r="C20" s="580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11896027.405254999</v>
      </c>
      <c r="H20" s="353"/>
      <c r="I20" s="353"/>
      <c r="J20" s="165"/>
      <c r="K20" s="165"/>
      <c r="L20" s="165"/>
      <c r="M20" s="165"/>
    </row>
    <row r="21" spans="1:15" ht="15" thickBot="1" x14ac:dyDescent="0.35">
      <c r="A21" s="1"/>
      <c r="B21" s="575" t="s">
        <v>143</v>
      </c>
      <c r="C21" s="576"/>
      <c r="D21" s="92" t="s">
        <v>127</v>
      </c>
      <c r="E21" s="93">
        <f>E17-E18-E20</f>
        <v>-6240256.4964000043</v>
      </c>
      <c r="F21" s="93">
        <f>F17-F18-F20</f>
        <v>36172739.503040001</v>
      </c>
      <c r="G21" s="94">
        <f>G17-G18-G20</f>
        <v>61923609.988844998</v>
      </c>
      <c r="H21" s="353"/>
      <c r="I21" s="353"/>
      <c r="J21" s="165"/>
      <c r="K21" s="165"/>
      <c r="L21" s="165"/>
      <c r="M21" s="165"/>
    </row>
    <row r="22" spans="1:15" ht="15" thickBot="1" x14ac:dyDescent="0.35">
      <c r="A22" s="1"/>
      <c r="B22" s="577" t="s">
        <v>144</v>
      </c>
      <c r="C22" s="57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" thickBot="1" x14ac:dyDescent="0.35">
      <c r="A23" s="1"/>
      <c r="B23" s="575" t="s">
        <v>145</v>
      </c>
      <c r="C23" s="576"/>
      <c r="D23" s="99">
        <f>D22</f>
        <v>-8317234</v>
      </c>
      <c r="E23" s="93">
        <f t="shared" ref="E23:F23" si="2">E21+E22</f>
        <v>-7190256.4964000043</v>
      </c>
      <c r="F23" s="93">
        <f t="shared" si="2"/>
        <v>35188900.503040001</v>
      </c>
      <c r="G23" s="94">
        <f>G21+G22</f>
        <v>60672092.988844998</v>
      </c>
      <c r="H23" s="353"/>
      <c r="I23" s="353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1328348.2099590695</v>
      </c>
      <c r="H28" s="353"/>
      <c r="I28" s="35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1.3181171894889174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3:C23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G12" sqref="G12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4.4" x14ac:dyDescent="0.3">
      <c r="A2" s="1"/>
      <c r="B2" s="1"/>
      <c r="C2" s="1"/>
      <c r="D2" s="1"/>
      <c r="E2" s="1"/>
      <c r="F2" s="1"/>
      <c r="G2" s="1"/>
      <c r="H2" s="165"/>
      <c r="I2" s="581" t="s">
        <v>244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607"/>
      <c r="J3" s="165"/>
      <c r="K3" s="165"/>
      <c r="L3" s="165"/>
      <c r="M3" s="165"/>
    </row>
    <row r="4" spans="1:13" ht="15" thickBot="1" x14ac:dyDescent="0.35">
      <c r="A4" s="1"/>
      <c r="B4" s="1"/>
      <c r="C4" s="1"/>
      <c r="D4" s="1"/>
      <c r="E4" s="1"/>
      <c r="F4" s="1"/>
      <c r="G4" s="1"/>
      <c r="H4" s="165"/>
      <c r="I4" s="608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196" t="s">
        <v>151</v>
      </c>
      <c r="J5" s="165"/>
      <c r="K5" s="165"/>
      <c r="L5" s="165"/>
      <c r="M5" s="165"/>
    </row>
    <row r="6" spans="1:13" ht="14.4" x14ac:dyDescent="0.3">
      <c r="A6" s="1"/>
      <c r="B6" s="1"/>
      <c r="C6" s="1"/>
      <c r="D6" s="1"/>
      <c r="E6" s="1"/>
      <c r="F6" s="1"/>
      <c r="G6" s="1"/>
      <c r="H6" s="165"/>
      <c r="I6" s="584" t="s">
        <v>169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607"/>
      <c r="J7" s="165"/>
      <c r="K7" s="165"/>
      <c r="L7" s="165"/>
      <c r="M7" s="165"/>
    </row>
    <row r="8" spans="1:13" ht="15" thickBot="1" x14ac:dyDescent="0.35">
      <c r="A8" s="1"/>
      <c r="B8" s="1"/>
      <c r="C8" s="1"/>
      <c r="D8" s="1"/>
      <c r="E8" s="1"/>
      <c r="F8" s="1"/>
      <c r="G8" s="1"/>
      <c r="H8" s="165"/>
      <c r="I8" s="608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196" t="s">
        <v>152</v>
      </c>
      <c r="J9" s="165"/>
      <c r="K9" s="165"/>
      <c r="L9" s="165"/>
      <c r="M9" s="165"/>
    </row>
    <row r="10" spans="1:13" ht="26.4" thickBot="1" x14ac:dyDescent="0.55000000000000004">
      <c r="A10" s="1"/>
      <c r="B10" s="521" t="s">
        <v>133</v>
      </c>
      <c r="C10" s="522"/>
      <c r="D10" s="522"/>
      <c r="E10" s="522"/>
      <c r="F10" s="522"/>
      <c r="G10" s="523"/>
      <c r="H10" s="165"/>
      <c r="I10" s="581" t="s">
        <v>279</v>
      </c>
      <c r="J10" s="165"/>
      <c r="K10" s="165"/>
      <c r="L10" s="165"/>
      <c r="M10" s="165"/>
    </row>
    <row r="11" spans="1:13" ht="15" thickBot="1" x14ac:dyDescent="0.35">
      <c r="A11" s="1"/>
      <c r="B11" s="590" t="s">
        <v>136</v>
      </c>
      <c r="C11" s="591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609"/>
      <c r="J11" s="165"/>
      <c r="K11" s="165"/>
      <c r="L11" s="165"/>
      <c r="M11" s="165"/>
    </row>
    <row r="12" spans="1:13" ht="14.4" x14ac:dyDescent="0.3">
      <c r="A12" s="1"/>
      <c r="B12" s="592" t="s">
        <v>51</v>
      </c>
      <c r="C12" s="593"/>
      <c r="D12" s="86" t="s">
        <v>127</v>
      </c>
      <c r="E12" s="127">
        <f>'Escenario 1'!E12</f>
        <v>23910000</v>
      </c>
      <c r="F12" s="127">
        <f>'Escenario 1'!F12</f>
        <v>61965000</v>
      </c>
      <c r="G12" s="127">
        <f>'Escenario 1'!G12</f>
        <v>99024000</v>
      </c>
      <c r="H12" s="165"/>
      <c r="J12" s="165"/>
      <c r="K12" s="165"/>
      <c r="L12" s="165"/>
      <c r="M12" s="165"/>
    </row>
    <row r="13" spans="1:13" ht="14.4" x14ac:dyDescent="0.3">
      <c r="A13" s="1"/>
      <c r="B13" s="594" t="s">
        <v>138</v>
      </c>
      <c r="C13" s="597" t="s">
        <v>135</v>
      </c>
      <c r="D13" s="599" t="s">
        <v>127</v>
      </c>
      <c r="E13" s="573">
        <f>'Costos fijos'!P15</f>
        <v>11450400</v>
      </c>
      <c r="F13" s="573">
        <f>'Costos fijos'!P24</f>
        <v>6890400</v>
      </c>
      <c r="G13" s="573">
        <f>'Costos fijos'!P33</f>
        <v>7130400</v>
      </c>
      <c r="H13" s="165"/>
      <c r="I13" s="321" t="s">
        <v>155</v>
      </c>
      <c r="J13" s="165"/>
      <c r="K13" s="165"/>
      <c r="L13" s="165"/>
      <c r="M13" s="165"/>
    </row>
    <row r="14" spans="1:13" ht="14.4" x14ac:dyDescent="0.3">
      <c r="A14" s="1"/>
      <c r="B14" s="595"/>
      <c r="C14" s="598"/>
      <c r="D14" s="600"/>
      <c r="E14" s="574"/>
      <c r="F14" s="574"/>
      <c r="G14" s="574"/>
      <c r="H14" s="165"/>
      <c r="I14" s="604" t="s">
        <v>278</v>
      </c>
      <c r="J14" s="165"/>
      <c r="K14" s="165"/>
      <c r="L14" s="165"/>
      <c r="M14" s="165"/>
    </row>
    <row r="15" spans="1:13" ht="14.4" x14ac:dyDescent="0.3">
      <c r="A15" s="109"/>
      <c r="B15" s="595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605"/>
      <c r="J15" s="165"/>
      <c r="K15" s="165"/>
      <c r="L15" s="165"/>
      <c r="M15" s="165"/>
    </row>
    <row r="16" spans="1:13" ht="15" thickBot="1" x14ac:dyDescent="0.35">
      <c r="A16" s="1"/>
      <c r="B16" s="596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RRHH'!AA30 * 1.1</f>
        <v>15721812.146040006</v>
      </c>
      <c r="G16" s="91">
        <f>'Costos RRHH'!AA30 * 1.2</f>
        <v>17151067.795680005</v>
      </c>
      <c r="H16" s="165"/>
      <c r="I16" s="605"/>
      <c r="J16" s="165"/>
      <c r="K16" s="165"/>
      <c r="L16" s="165"/>
      <c r="M16" s="165"/>
    </row>
    <row r="17" spans="1:15" ht="15" thickBot="1" x14ac:dyDescent="0.35">
      <c r="A17" s="1"/>
      <c r="B17" s="575" t="s">
        <v>139</v>
      </c>
      <c r="C17" s="576"/>
      <c r="D17" s="92" t="s">
        <v>127</v>
      </c>
      <c r="E17" s="93">
        <f>E12-E13-E15-E14-E16</f>
        <v>-5522956.4964000043</v>
      </c>
      <c r="F17" s="93">
        <f t="shared" ref="F17:G17" si="0">F12-F13-F15-F14-F16</f>
        <v>30412787.853959993</v>
      </c>
      <c r="G17" s="93">
        <f t="shared" si="0"/>
        <v>62987532.204319999</v>
      </c>
      <c r="H17" s="165"/>
      <c r="I17" s="605"/>
      <c r="J17" s="165"/>
      <c r="K17" s="165"/>
      <c r="L17" s="165"/>
      <c r="M17" s="165"/>
    </row>
    <row r="18" spans="1:15" ht="14.4" x14ac:dyDescent="0.3">
      <c r="A18" s="1"/>
      <c r="B18" s="586" t="s">
        <v>140</v>
      </c>
      <c r="C18" s="587"/>
      <c r="D18" s="86" t="s">
        <v>127</v>
      </c>
      <c r="E18" s="87">
        <f>E12*0.03</f>
        <v>717300</v>
      </c>
      <c r="F18" s="87">
        <f>F12*0.03</f>
        <v>1858950</v>
      </c>
      <c r="G18" s="95">
        <f t="shared" ref="G18" si="1">G12*0.03</f>
        <v>2970720</v>
      </c>
      <c r="H18" s="353"/>
      <c r="I18" s="605"/>
      <c r="J18" s="165"/>
      <c r="K18" s="165"/>
      <c r="L18" s="165"/>
      <c r="M18" s="165"/>
    </row>
    <row r="19" spans="1:15" ht="14.4" x14ac:dyDescent="0.3">
      <c r="A19" s="1"/>
      <c r="B19" s="588" t="s">
        <v>141</v>
      </c>
      <c r="C19" s="589"/>
      <c r="D19" s="88"/>
      <c r="E19" s="81">
        <f>E17-E18-Amortizaciones!F5</f>
        <v>-6607934.4964000043</v>
      </c>
      <c r="F19" s="81">
        <f>F17-F18-Amortizaciones!G5</f>
        <v>28124880.187293325</v>
      </c>
      <c r="G19" s="81">
        <f>G17-G18-Amortizaciones!H5</f>
        <v>59526574.870986663</v>
      </c>
      <c r="H19" s="353"/>
      <c r="I19" s="605"/>
      <c r="J19" s="165"/>
      <c r="K19" s="165"/>
      <c r="L19" s="165"/>
      <c r="M19" s="165"/>
    </row>
    <row r="20" spans="1:15" ht="15" thickBot="1" x14ac:dyDescent="0.35">
      <c r="A20" s="1"/>
      <c r="B20" s="579" t="s">
        <v>142</v>
      </c>
      <c r="C20" s="580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9993843.2488859966</v>
      </c>
      <c r="H20" s="353"/>
      <c r="I20" s="605"/>
      <c r="J20" s="165"/>
      <c r="K20" s="165"/>
      <c r="L20" s="165"/>
      <c r="M20" s="165"/>
    </row>
    <row r="21" spans="1:15" ht="15" thickBot="1" x14ac:dyDescent="0.35">
      <c r="A21" s="1"/>
      <c r="B21" s="575" t="s">
        <v>143</v>
      </c>
      <c r="C21" s="576"/>
      <c r="D21" s="92" t="s">
        <v>127</v>
      </c>
      <c r="E21" s="93">
        <f>E17-E18-E20</f>
        <v>-6240256.4964000043</v>
      </c>
      <c r="F21" s="93">
        <f>F17-F18-F20</f>
        <v>30737927.627699994</v>
      </c>
      <c r="G21" s="94">
        <f>G17-G18-G20</f>
        <v>50022968.955434002</v>
      </c>
      <c r="H21" s="353"/>
      <c r="I21" s="605"/>
      <c r="J21" s="165"/>
      <c r="K21" s="165"/>
      <c r="L21" s="165"/>
      <c r="M21" s="165"/>
    </row>
    <row r="22" spans="1:15" ht="15" thickBot="1" x14ac:dyDescent="0.35">
      <c r="A22" s="1"/>
      <c r="B22" s="577" t="s">
        <v>144</v>
      </c>
      <c r="C22" s="578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605"/>
      <c r="J22" s="165"/>
      <c r="K22" s="165"/>
      <c r="L22" s="165"/>
      <c r="M22" s="165"/>
    </row>
    <row r="23" spans="1:15" ht="15" thickBot="1" x14ac:dyDescent="0.35">
      <c r="A23" s="1"/>
      <c r="B23" s="575" t="s">
        <v>145</v>
      </c>
      <c r="C23" s="576"/>
      <c r="D23" s="99">
        <f>D22</f>
        <v>-8317234</v>
      </c>
      <c r="E23" s="93">
        <f t="shared" ref="E23:F23" si="2">E21+E22</f>
        <v>-7190256.4964000043</v>
      </c>
      <c r="F23" s="93">
        <f t="shared" si="2"/>
        <v>29754088.627699994</v>
      </c>
      <c r="G23" s="94">
        <f>G21+G22</f>
        <v>48771451.955434002</v>
      </c>
      <c r="H23" s="353"/>
      <c r="I23" s="606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128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22" t="s">
        <v>89</v>
      </c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601" t="s">
        <v>243</v>
      </c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602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129580.92823874693</v>
      </c>
      <c r="H28" s="353"/>
      <c r="I28" s="60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1.1225353105901021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21">
    <mergeCell ref="F13:F14"/>
    <mergeCell ref="G13:G14"/>
    <mergeCell ref="B10:G10"/>
    <mergeCell ref="B11:C11"/>
    <mergeCell ref="B12:C12"/>
    <mergeCell ref="B23:C23"/>
    <mergeCell ref="I26:I28"/>
    <mergeCell ref="I14:I23"/>
    <mergeCell ref="I2:I4"/>
    <mergeCell ref="I6:I8"/>
    <mergeCell ref="I10:I11"/>
    <mergeCell ref="B17:C17"/>
    <mergeCell ref="B18:C18"/>
    <mergeCell ref="B19:C19"/>
    <mergeCell ref="B20:C20"/>
    <mergeCell ref="B21:C21"/>
    <mergeCell ref="B22:C22"/>
    <mergeCell ref="B13:B16"/>
    <mergeCell ref="C13:C14"/>
    <mergeCell ref="D13:D14"/>
    <mergeCell ref="E13:E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USUARIO</cp:lastModifiedBy>
  <cp:lastPrinted>2022-10-17T18:54:03Z</cp:lastPrinted>
  <dcterms:created xsi:type="dcterms:W3CDTF">2022-09-25T03:41:55Z</dcterms:created>
  <dcterms:modified xsi:type="dcterms:W3CDTF">2022-10-19T13:18:27Z</dcterms:modified>
</cp:coreProperties>
</file>