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66759E44-657B-4C9F-9FBE-ECA2BECCE76A}" xr6:coauthVersionLast="47" xr6:coauthVersionMax="47" xr10:uidLastSave="{00000000-0000-0000-0000-000000000000}"/>
  <bookViews>
    <workbookView xWindow="28680" yWindow="-120" windowWidth="29040" windowHeight="15840" tabRatio="787" activeTab="10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6" r:id="rId15"/>
    <sheet name="Escenario 2" sheetId="25" r:id="rId16"/>
    <sheet name="Escenario 3" sheetId="20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5" l="1"/>
  <c r="G15" i="26"/>
  <c r="G13" i="26"/>
  <c r="F13" i="26"/>
  <c r="F15" i="26"/>
  <c r="E15" i="26"/>
  <c r="E13" i="26"/>
  <c r="E21" i="26"/>
  <c r="F21" i="26"/>
  <c r="F16" i="26"/>
  <c r="I11" i="26"/>
  <c r="I7" i="26"/>
  <c r="I3" i="26"/>
  <c r="I11" i="25"/>
  <c r="I7" i="25"/>
  <c r="I7" i="20"/>
  <c r="I3" i="20"/>
  <c r="D32" i="11" l="1"/>
  <c r="D25" i="11"/>
  <c r="D33" i="11"/>
  <c r="D26" i="11"/>
  <c r="D19" i="11"/>
  <c r="D18" i="11"/>
  <c r="E18" i="11" l="1"/>
  <c r="C40" i="7"/>
  <c r="D12" i="3"/>
  <c r="E12" i="3" s="1"/>
  <c r="E32" i="11"/>
  <c r="E33" i="11"/>
  <c r="E25" i="11"/>
  <c r="E26" i="11"/>
  <c r="E19" i="1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J23" i="7" l="1"/>
  <c r="G32" i="7"/>
  <c r="H32" i="7"/>
  <c r="F32" i="7"/>
  <c r="H23" i="7"/>
  <c r="L23" i="7"/>
  <c r="I32" i="7"/>
  <c r="G23" i="7"/>
  <c r="K23" i="7"/>
  <c r="I23" i="7"/>
  <c r="E32" i="7"/>
  <c r="E33" i="24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21" i="27" s="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1" i="25" l="1"/>
  <c r="E21" i="20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5" i="27" l="1"/>
  <c r="F15" i="27"/>
  <c r="E15" i="27"/>
  <c r="G13" i="25"/>
  <c r="G13" i="20"/>
  <c r="G13" i="27"/>
  <c r="F5" i="7"/>
  <c r="E15" i="25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F13" i="20" l="1"/>
  <c r="F13" i="25"/>
  <c r="F13" i="27"/>
  <c r="E5" i="7"/>
  <c r="L9" i="13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Z46" i="5" l="1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C27" i="11"/>
  <c r="E27" i="11" s="1"/>
  <c r="E28" i="11" s="1"/>
  <c r="E12" i="11"/>
  <c r="E14" i="11" s="1"/>
  <c r="D21" i="27" s="1"/>
  <c r="D22" i="27" s="1"/>
  <c r="M11" i="12"/>
  <c r="K11" i="12"/>
  <c r="K14" i="12" s="1"/>
  <c r="L11" i="12"/>
  <c r="D12" i="12"/>
  <c r="I12" i="12" s="1"/>
  <c r="C34" i="11"/>
  <c r="E34" i="11" s="1"/>
  <c r="E35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K6" i="11" l="1"/>
  <c r="G21" i="20"/>
  <c r="G21" i="27"/>
  <c r="G21" i="26"/>
  <c r="G21" i="25"/>
  <c r="J6" i="11"/>
  <c r="L20" i="13" s="1"/>
  <c r="F21" i="13" s="1"/>
  <c r="F21" i="20"/>
  <c r="F21" i="25"/>
  <c r="F21" i="27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M20" i="13"/>
  <c r="G21" i="13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K20" i="13"/>
  <c r="E21" i="13" s="1"/>
  <c r="F5" i="12"/>
  <c r="K16" i="13"/>
  <c r="F12" i="13"/>
  <c r="K9" i="13"/>
  <c r="E12" i="13" s="1"/>
  <c r="B6" i="10"/>
  <c r="L16" i="13" l="1"/>
  <c r="X55" i="4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16" i="27" l="1"/>
  <c r="G16" i="27"/>
  <c r="F16" i="27"/>
  <c r="E6" i="9"/>
  <c r="K11" i="13" s="1"/>
  <c r="E15" i="13" s="1"/>
  <c r="E16" i="13" s="1"/>
  <c r="E16" i="20"/>
  <c r="E16" i="26"/>
  <c r="E16" i="25"/>
  <c r="F6" i="9"/>
  <c r="C7" i="10" s="1"/>
  <c r="C9" i="10" s="1"/>
  <c r="F16" i="20"/>
  <c r="F16" i="25"/>
  <c r="G6" i="9"/>
  <c r="M11" i="13" s="1"/>
  <c r="G16" i="26"/>
  <c r="G16" i="20"/>
  <c r="G16" i="25"/>
  <c r="D21" i="13"/>
  <c r="D22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D7" i="10" l="1"/>
  <c r="D9" i="10" s="1"/>
  <c r="B7" i="10"/>
  <c r="B9" i="10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D87" i="4" l="1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L5" i="13"/>
  <c r="C10" i="10"/>
  <c r="D57" i="4"/>
  <c r="F11" i="13"/>
  <c r="F17" i="13" s="1"/>
  <c r="O85" i="4"/>
  <c r="N85" i="4"/>
  <c r="J88" i="4"/>
  <c r="K86" i="4"/>
  <c r="F18" i="27" l="1"/>
  <c r="F17" i="27"/>
  <c r="F18" i="26"/>
  <c r="F17" i="26"/>
  <c r="F18" i="25"/>
  <c r="F17" i="25"/>
  <c r="K88" i="4"/>
  <c r="L86" i="4"/>
  <c r="F18" i="20"/>
  <c r="F17" i="20"/>
  <c r="L88" i="4"/>
  <c r="M86" i="4"/>
  <c r="F18" i="13"/>
  <c r="P85" i="4"/>
  <c r="Q85" i="4"/>
  <c r="G19" i="27" l="1"/>
  <c r="G19" i="26"/>
  <c r="G19" i="25"/>
  <c r="M88" i="4"/>
  <c r="N86" i="4"/>
  <c r="G19" i="20"/>
  <c r="R85" i="4"/>
  <c r="S85" i="4"/>
  <c r="G19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K5" i="13"/>
  <c r="B10" i="10"/>
  <c r="E11" i="13"/>
  <c r="U86" i="4"/>
  <c r="Y85" i="4"/>
  <c r="E18" i="27" l="1"/>
  <c r="E17" i="27"/>
  <c r="E18" i="26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E20" i="27" l="1"/>
  <c r="E22" i="27" s="1"/>
  <c r="F19" i="27"/>
  <c r="F20" i="27" s="1"/>
  <c r="F22" i="27" s="1"/>
  <c r="F19" i="13"/>
  <c r="E20" i="13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E22" i="13"/>
  <c r="F20" i="13"/>
  <c r="F22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M5" i="13"/>
  <c r="D10" i="10"/>
  <c r="G11" i="13"/>
  <c r="G17" i="13" s="1"/>
  <c r="G18" i="27" l="1"/>
  <c r="G17" i="27"/>
  <c r="G20" i="27" s="1"/>
  <c r="G22" i="27" s="1"/>
  <c r="G18" i="25"/>
  <c r="G17" i="25"/>
  <c r="G18" i="26"/>
  <c r="G17" i="26"/>
  <c r="G18" i="20"/>
  <c r="G17" i="20"/>
  <c r="G18" i="13"/>
  <c r="G28" i="27" l="1"/>
  <c r="G27" i="27"/>
  <c r="G20" i="25"/>
  <c r="G22" i="25" s="1"/>
  <c r="G20" i="26"/>
  <c r="G22" i="26" s="1"/>
  <c r="G20" i="20"/>
  <c r="G22" i="20" s="1"/>
  <c r="G20" i="13"/>
  <c r="G22" i="13" s="1"/>
  <c r="G27" i="26" l="1"/>
  <c r="G28" i="26"/>
  <c r="G27" i="25"/>
  <c r="G28" i="25"/>
  <c r="G27" i="20"/>
  <c r="G28" i="20"/>
  <c r="G27" i="13"/>
  <c r="G28" i="13"/>
  <c r="E11" i="14" l="1"/>
</calcChain>
</file>

<file path=xl/sharedStrings.xml><?xml version="1.0" encoding="utf-8"?>
<sst xmlns="http://schemas.openxmlformats.org/spreadsheetml/2006/main" count="1532" uniqueCount="319">
  <si>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</si>
  <si>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</si>
  <si>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</si>
  <si>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</si>
  <si>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</si>
  <si>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</si>
  <si>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</si>
  <si>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</si>
  <si>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</si>
  <si>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</si>
  <si>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</si>
  <si>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</si>
  <si>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</si>
  <si>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</si>
  <si>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</si>
  <si>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</si>
  <si>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</si>
  <si>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</si>
  <si>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</si>
  <si>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</si>
  <si>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</si>
  <si>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</si>
  <si>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</si>
  <si>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</si>
  <si>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</si>
  <si>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</si>
  <si>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</si>
  <si>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</si>
  <si>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</si>
  <si>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</si>
  <si>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</si>
  <si>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</si>
  <si>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</si>
  <si>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</si>
  <si>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</si>
  <si>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</si>
  <si>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</si>
  <si>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</si>
  <si>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</si>
  <si>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</si>
  <si>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</si>
  <si>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</si>
  <si>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</si>
  <si>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</si>
  <si>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</si>
  <si>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</si>
  <si>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</si>
  <si>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</si>
  <si>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</si>
  <si>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</si>
  <si>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</si>
  <si>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</si>
  <si>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</si>
  <si>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</si>
  <si>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</si>
  <si>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</si>
  <si>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</si>
  <si>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</si>
  <si>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</si>
  <si>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</si>
  <si>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</si>
  <si>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</si>
  <si>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</si>
  <si>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</si>
  <si>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</si>
  <si>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</si>
  <si>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</si>
  <si>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</si>
  <si>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</si>
  <si>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</si>
  <si>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</si>
  <si>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</si>
  <si>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</si>
  <si>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</si>
  <si>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</si>
  <si>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</si>
  <si>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</si>
  <si>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</si>
  <si>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</si>
  <si>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</si>
  <si>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</si>
  <si>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</si>
  <si>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</si>
  <si>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</si>
  <si>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</si>
  <si>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</si>
  <si>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</si>
  <si>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</si>
  <si>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</si>
  <si>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</si>
  <si>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</si>
  <si>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</si>
  <si>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</si>
  <si>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</si>
  <si>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</si>
  <si>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</si>
  <si>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</si>
  <si>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</si>
  <si>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</si>
  <si>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</si>
  <si>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</si>
  <si>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</si>
  <si>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</si>
  <si>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</si>
  <si>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</si>
  <si>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</si>
  <si>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</si>
  <si>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</si>
  <si>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</si>
  <si>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</si>
  <si>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</si>
  <si>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</si>
  <si>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</si>
  <si>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</si>
  <si>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</si>
  <si>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</si>
  <si>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</si>
  <si>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</si>
  <si>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</si>
  <si>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</si>
  <si>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</si>
  <si>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</si>
  <si>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</si>
  <si>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</si>
  <si>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</si>
  <si>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</si>
  <si>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</si>
  <si>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</si>
  <si>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</si>
  <si>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</si>
  <si>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</si>
  <si>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</si>
  <si>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</si>
  <si>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</si>
  <si>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</si>
  <si>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</si>
  <si>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</si>
  <si>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</si>
  <si>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</si>
  <si>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</si>
  <si>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</si>
  <si>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</si>
  <si>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</si>
  <si>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</si>
  <si>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</si>
  <si>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</si>
  <si>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</si>
  <si>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</si>
  <si>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</si>
  <si>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</si>
  <si>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</si>
  <si>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</si>
  <si>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</si>
  <si>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</si>
  <si>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</si>
  <si>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</si>
  <si>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</si>
  <si>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</si>
  <si>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</si>
  <si>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</si>
  <si>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</si>
  <si>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</si>
  <si>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</si>
  <si>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</si>
  <si>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</si>
  <si>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</si>
  <si>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</si>
  <si>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</si>
  <si>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</si>
  <si>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</si>
  <si>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</si>
  <si>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</si>
  <si>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</si>
  <si>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</si>
  <si>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</si>
  <si>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</si>
  <si>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</si>
  <si>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</si>
  <si>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</si>
  <si>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</si>
  <si>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</si>
  <si>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</si>
  <si>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</si>
  <si>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</si>
  <si>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</si>
  <si>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</si>
  <si>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</si>
  <si>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</si>
  <si>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</si>
  <si>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</si>
  <si>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</si>
  <si>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</si>
  <si>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</si>
  <si>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</si>
  <si>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</si>
  <si>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</si>
  <si>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</si>
  <si>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</si>
  <si>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</si>
  <si>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</si>
  <si>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</si>
  <si>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</si>
  <si>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</si>
  <si>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</si>
  <si>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</si>
  <si>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</si>
  <si>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</si>
  <si>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</si>
  <si>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</si>
  <si>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</si>
  <si>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</si>
  <si>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</si>
  <si>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</si>
  <si>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</si>
  <si>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</si>
  <si>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</si>
  <si>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</si>
  <si>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</si>
  <si>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</si>
  <si>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</si>
  <si>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</si>
  <si>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</si>
  <si>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</si>
  <si>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</si>
  <si>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</si>
  <si>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</si>
  <si>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</si>
  <si>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</si>
  <si>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</si>
  <si>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</si>
  <si>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</si>
  <si>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</si>
  <si>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</si>
  <si>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</si>
  <si>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</si>
  <si>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</si>
  <si>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</si>
  <si>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</si>
  <si>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</si>
  <si>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</si>
  <si>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</si>
  <si>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</si>
  <si>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</si>
  <si>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</si>
  <si>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</si>
  <si>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</si>
  <si>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</si>
  <si>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</si>
  <si>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</si>
  <si>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</si>
  <si>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</si>
  <si>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</si>
  <si>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</si>
  <si>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</si>
  <si>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</si>
  <si>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</si>
  <si>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</si>
  <si>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</si>
  <si>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</si>
  <si>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</si>
  <si>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</si>
  <si>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</si>
  <si>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</si>
  <si>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</si>
  <si>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</si>
  <si>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</si>
  <si>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</si>
  <si>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</si>
  <si>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</si>
  <si>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</si>
  <si>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</si>
  <si>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</si>
  <si>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</si>
  <si>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Gasto en servicios aumenta un 30% en 2023 y un 50% en 2024.</t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</si>
  <si>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</si>
  <si>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</si>
  <si>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</si>
  <si>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</si>
  <si>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</si>
  <si>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</si>
  <si>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</si>
  <si>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</si>
  <si>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</si>
  <si>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</si>
  <si>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</si>
  <si>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</si>
  <si>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</si>
  <si>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</si>
  <si>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</si>
  <si>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</si>
  <si>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</si>
  <si>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</si>
  <si>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</si>
  <si>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</si>
  <si>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</si>
  <si>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</si>
  <si>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</si>
  <si>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</si>
  <si>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</si>
  <si>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</si>
  <si>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</si>
  <si>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</si>
  <si>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</si>
  <si>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</si>
  <si>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</si>
  <si>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</si>
  <si>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</si>
  <si>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</si>
  <si>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</si>
  <si>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</si>
  <si>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</si>
  <si>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</si>
  <si>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</si>
  <si>
    <t>Desarrollo de nuevas features y refinamiento de las actuales</t>
  </si>
  <si>
    <t>Gasto en servicios externos aumentan un 20% en 2022, un 40% en 2023 y un 80%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</si>
  <si>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</si>
  <si>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Aumento de carga impositiva para la contratación de servicios.</t>
  </si>
  <si>
    <t>Para frenar el desabastecimiento de reservas, el gobierno impulsa la creación de nuevos impuestos hacia la contratación extranjera de servicios.</t>
  </si>
  <si>
    <t>La aparicion de competidores y el amplio mercado de IT, hace que la rotación de recursos aumente.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</si>
</sst>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5" tint="0.79998168889431442"/>
        <bgColor rgb="FFC5E0B3"/>
      </patternFill>
    </fill>
  </fills>
  <borders count="126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8" fillId="0" borderId="75"/>
    <xf numFmtId="0" fontId="21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3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4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6" fillId="0" borderId="75"/>
    <xf numFmtId="179" fontId="36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7" fillId="0" borderId="0" applyFont="0" applyFill="0" applyBorder="0" applyAlignment="0" applyProtection="0"/>
    <xf numFmtId="43" fontId="48" fillId="0" borderId="0" applyFont="0" applyFill="0" applyBorder="0" applyAlignment="0" applyProtection="0"/>
  </cellStyleXfs>
  <cellXfs count="616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4" fillId="0" borderId="0" xfId="0" applyFont="1"/>
    <xf numFmtId="0" fontId="6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20" fillId="2" borderId="1" xfId="0" applyFont="1" applyFill="1" applyBorder="1" applyAlignment="1">
      <alignment horizontal="left" vertical="top" wrapText="1"/>
    </xf>
    <xf numFmtId="0" fontId="20" fillId="2" borderId="15" xfId="0" applyFont="1" applyFill="1" applyBorder="1" applyAlignment="1">
      <alignment horizontal="center" vertical="top" wrapText="1"/>
    </xf>
    <xf numFmtId="170" fontId="20" fillId="2" borderId="15" xfId="0" applyNumberFormat="1" applyFont="1" applyFill="1" applyBorder="1" applyAlignment="1">
      <alignment horizontal="center" vertical="top" wrapText="1"/>
    </xf>
    <xf numFmtId="169" fontId="20" fillId="2" borderId="15" xfId="0" applyNumberFormat="1" applyFont="1" applyFill="1" applyBorder="1" applyAlignment="1">
      <alignment horizontal="left" vertical="top" wrapText="1"/>
    </xf>
    <xf numFmtId="9" fontId="20" fillId="2" borderId="1" xfId="0" applyNumberFormat="1" applyFont="1" applyFill="1" applyBorder="1" applyAlignment="1">
      <alignment horizontal="left" vertical="top" wrapText="1"/>
    </xf>
    <xf numFmtId="169" fontId="20" fillId="2" borderId="1" xfId="0" applyNumberFormat="1" applyFont="1" applyFill="1" applyBorder="1" applyAlignment="1">
      <alignment horizontal="left" vertical="top" wrapText="1"/>
    </xf>
    <xf numFmtId="171" fontId="20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22" fillId="0" borderId="38" xfId="0" applyFont="1" applyBorder="1" applyAlignment="1">
      <alignment horizontal="center" vertical="center"/>
    </xf>
    <xf numFmtId="0" fontId="6" fillId="0" borderId="55" xfId="0" applyFont="1" applyBorder="1" applyAlignment="1">
      <alignment horizontal="left" wrapText="1"/>
    </xf>
    <xf numFmtId="0" fontId="22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0" fontId="22" fillId="0" borderId="10" xfId="0" applyFont="1" applyBorder="1" applyAlignment="1">
      <alignment horizontal="center" vertical="center"/>
    </xf>
    <xf numFmtId="173" fontId="6" fillId="0" borderId="38" xfId="0" applyNumberFormat="1" applyFont="1" applyBorder="1" applyAlignment="1">
      <alignment horizontal="left" wrapText="1"/>
    </xf>
    <xf numFmtId="0" fontId="22" fillId="0" borderId="63" xfId="0" applyFont="1" applyBorder="1" applyAlignment="1">
      <alignment horizontal="center" vertical="center"/>
    </xf>
    <xf numFmtId="173" fontId="6" fillId="0" borderId="43" xfId="0" applyNumberFormat="1" applyFont="1" applyBorder="1" applyAlignment="1">
      <alignment horizontal="left" wrapText="1"/>
    </xf>
    <xf numFmtId="0" fontId="1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2" fillId="2" borderId="70" xfId="0" applyFont="1" applyFill="1" applyBorder="1" applyAlignment="1">
      <alignment horizontal="center" vertical="center" wrapText="1"/>
    </xf>
    <xf numFmtId="0" fontId="22" fillId="2" borderId="50" xfId="0" applyFont="1" applyFill="1" applyBorder="1" applyAlignment="1">
      <alignment horizontal="center" vertical="center" wrapText="1"/>
    </xf>
    <xf numFmtId="1" fontId="22" fillId="0" borderId="72" xfId="0" applyNumberFormat="1" applyFont="1" applyBorder="1" applyAlignment="1">
      <alignment horizontal="center" vertical="center" wrapText="1"/>
    </xf>
    <xf numFmtId="0" fontId="22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/>
    </xf>
    <xf numFmtId="173" fontId="6" fillId="2" borderId="15" xfId="0" applyNumberFormat="1" applyFont="1" applyFill="1" applyBorder="1" applyAlignment="1">
      <alignment horizontal="center"/>
    </xf>
    <xf numFmtId="171" fontId="18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8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2" fillId="8" borderId="19" xfId="0" applyFont="1" applyFill="1" applyBorder="1" applyAlignment="1">
      <alignment wrapText="1"/>
    </xf>
    <xf numFmtId="169" fontId="22" fillId="8" borderId="20" xfId="0" applyNumberFormat="1" applyFont="1" applyFill="1" applyBorder="1" applyAlignment="1">
      <alignment wrapText="1"/>
    </xf>
    <xf numFmtId="169" fontId="22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2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2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2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22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173" fontId="6" fillId="2" borderId="29" xfId="0" applyNumberFormat="1" applyFont="1" applyFill="1" applyBorder="1" applyAlignment="1">
      <alignment horizontal="center"/>
    </xf>
    <xf numFmtId="173" fontId="6" fillId="2" borderId="30" xfId="0" applyNumberFormat="1" applyFont="1" applyFill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0" fontId="6" fillId="0" borderId="42" xfId="0" applyFont="1" applyBorder="1"/>
    <xf numFmtId="0" fontId="6" fillId="0" borderId="77" xfId="0" applyFont="1" applyBorder="1" applyAlignment="1">
      <alignment horizontal="center"/>
    </xf>
    <xf numFmtId="173" fontId="6" fillId="0" borderId="102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3" xfId="0" applyNumberFormat="1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2" fillId="5" borderId="23" xfId="0" applyNumberFormat="1" applyFont="1" applyFill="1" applyBorder="1"/>
    <xf numFmtId="9" fontId="22" fillId="3" borderId="48" xfId="0" applyNumberFormat="1" applyFont="1" applyFill="1" applyBorder="1" applyAlignment="1">
      <alignment horizontal="center"/>
    </xf>
    <xf numFmtId="173" fontId="22" fillId="5" borderId="29" xfId="0" applyNumberFormat="1" applyFont="1" applyFill="1" applyBorder="1"/>
    <xf numFmtId="164" fontId="22" fillId="3" borderId="30" xfId="0" applyNumberFormat="1" applyFont="1" applyFill="1" applyBorder="1" applyAlignment="1">
      <alignment horizontal="center"/>
    </xf>
    <xf numFmtId="173" fontId="22" fillId="5" borderId="19" xfId="0" applyNumberFormat="1" applyFont="1" applyFill="1" applyBorder="1"/>
    <xf numFmtId="9" fontId="22" fillId="3" borderId="35" xfId="0" applyNumberFormat="1" applyFont="1" applyFill="1" applyBorder="1" applyAlignment="1">
      <alignment horizontal="center"/>
    </xf>
    <xf numFmtId="169" fontId="22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2" fillId="9" borderId="43" xfId="0" applyFont="1" applyFill="1" applyBorder="1" applyAlignment="1">
      <alignment horizontal="center" vertical="center"/>
    </xf>
    <xf numFmtId="1" fontId="6" fillId="2" borderId="109" xfId="0" applyNumberFormat="1" applyFont="1" applyFill="1" applyBorder="1"/>
    <xf numFmtId="173" fontId="6" fillId="0" borderId="109" xfId="0" applyNumberFormat="1" applyFont="1" applyBorder="1" applyAlignment="1">
      <alignment horizontal="left" wrapText="1"/>
    </xf>
    <xf numFmtId="1" fontId="6" fillId="10" borderId="109" xfId="0" applyNumberFormat="1" applyFont="1" applyFill="1" applyBorder="1"/>
    <xf numFmtId="0" fontId="29" fillId="0" borderId="109" xfId="0" applyFont="1" applyBorder="1" applyAlignment="1">
      <alignment horizontal="center" vertical="center"/>
    </xf>
    <xf numFmtId="0" fontId="29" fillId="0" borderId="109" xfId="0" applyFont="1" applyBorder="1" applyAlignment="1">
      <alignment horizontal="center"/>
    </xf>
    <xf numFmtId="0" fontId="6" fillId="11" borderId="1" xfId="0" applyFont="1" applyFill="1" applyBorder="1"/>
    <xf numFmtId="173" fontId="22" fillId="5" borderId="109" xfId="0" applyNumberFormat="1" applyFont="1" applyFill="1" applyBorder="1"/>
    <xf numFmtId="0" fontId="6" fillId="0" borderId="109" xfId="0" applyFont="1" applyBorder="1" applyAlignment="1">
      <alignment vertical="center"/>
    </xf>
    <xf numFmtId="173" fontId="6" fillId="0" borderId="109" xfId="0" applyNumberFormat="1" applyFont="1" applyBorder="1" applyAlignment="1">
      <alignment horizontal="center"/>
    </xf>
    <xf numFmtId="0" fontId="27" fillId="0" borderId="109" xfId="0" applyFont="1" applyBorder="1"/>
    <xf numFmtId="0" fontId="21" fillId="0" borderId="0" xfId="2" applyAlignment="1"/>
    <xf numFmtId="10" fontId="6" fillId="2" borderId="1" xfId="0" applyNumberFormat="1" applyFont="1" applyFill="1" applyBorder="1"/>
    <xf numFmtId="173" fontId="29" fillId="0" borderId="112" xfId="0" applyNumberFormat="1" applyFont="1" applyBorder="1" applyAlignment="1">
      <alignment horizontal="left" wrapText="1"/>
    </xf>
    <xf numFmtId="0" fontId="29" fillId="0" borderId="112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9" fillId="0" borderId="112" xfId="0" applyNumberFormat="1" applyFont="1" applyBorder="1" applyAlignment="1">
      <alignment horizontal="center"/>
    </xf>
    <xf numFmtId="173" fontId="6" fillId="9" borderId="94" xfId="0" applyNumberFormat="1" applyFont="1" applyFill="1" applyBorder="1" applyAlignment="1">
      <alignment horizontal="center"/>
    </xf>
    <xf numFmtId="0" fontId="4" fillId="15" borderId="75" xfId="10" applyFill="1"/>
    <xf numFmtId="0" fontId="38" fillId="2" borderId="1" xfId="2" applyFont="1" applyFill="1" applyBorder="1" applyAlignment="1">
      <alignment horizontal="left"/>
    </xf>
    <xf numFmtId="0" fontId="6" fillId="17" borderId="1" xfId="0" applyFont="1" applyFill="1" applyBorder="1"/>
    <xf numFmtId="0" fontId="41" fillId="17" borderId="15" xfId="0" applyFont="1" applyFill="1" applyBorder="1" applyAlignment="1">
      <alignment horizontal="center" vertical="top" wrapText="1"/>
    </xf>
    <xf numFmtId="0" fontId="41" fillId="17" borderId="15" xfId="0" applyFont="1" applyFill="1" applyBorder="1" applyAlignment="1">
      <alignment horizontal="left" vertical="top" wrapText="1"/>
    </xf>
    <xf numFmtId="0" fontId="17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7" fillId="2" borderId="75" xfId="0" applyNumberFormat="1" applyFont="1" applyFill="1" applyBorder="1" applyAlignment="1">
      <alignment horizontal="left" vertical="top" wrapText="1"/>
    </xf>
    <xf numFmtId="168" fontId="17" fillId="2" borderId="75" xfId="0" applyNumberFormat="1" applyFont="1" applyFill="1" applyBorder="1" applyAlignment="1">
      <alignment horizontal="left" vertical="top" wrapText="1"/>
    </xf>
    <xf numFmtId="169" fontId="19" fillId="19" borderId="75" xfId="0" applyNumberFormat="1" applyFont="1" applyFill="1" applyBorder="1" applyAlignment="1">
      <alignment horizontal="left" vertical="top" wrapText="1"/>
    </xf>
    <xf numFmtId="0" fontId="18" fillId="17" borderId="109" xfId="0" applyFont="1" applyFill="1" applyBorder="1" applyAlignment="1">
      <alignment horizontal="center" vertical="center" wrapText="1"/>
    </xf>
    <xf numFmtId="167" fontId="17" fillId="2" borderId="109" xfId="0" applyNumberFormat="1" applyFont="1" applyFill="1" applyBorder="1" applyAlignment="1">
      <alignment horizontal="left" vertical="top" wrapText="1"/>
    </xf>
    <xf numFmtId="168" fontId="17" fillId="2" borderId="109" xfId="0" applyNumberFormat="1" applyFont="1" applyFill="1" applyBorder="1" applyAlignment="1">
      <alignment horizontal="left" vertical="top" wrapText="1"/>
    </xf>
    <xf numFmtId="169" fontId="19" fillId="3" borderId="109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9" fillId="17" borderId="19" xfId="0" applyFont="1" applyFill="1" applyBorder="1" applyAlignment="1">
      <alignment horizontal="left" vertical="top" wrapText="1"/>
    </xf>
    <xf numFmtId="0" fontId="19" fillId="17" borderId="20" xfId="0" applyFont="1" applyFill="1" applyBorder="1" applyAlignment="1">
      <alignment horizontal="left" vertical="top" wrapText="1"/>
    </xf>
    <xf numFmtId="0" fontId="18" fillId="20" borderId="23" xfId="0" applyFont="1" applyFill="1" applyBorder="1" applyAlignment="1">
      <alignment vertical="center"/>
    </xf>
    <xf numFmtId="172" fontId="18" fillId="20" borderId="24" xfId="0" applyNumberFormat="1" applyFont="1" applyFill="1" applyBorder="1" applyAlignment="1">
      <alignment vertical="center"/>
    </xf>
    <xf numFmtId="0" fontId="18" fillId="21" borderId="23" xfId="0" applyFont="1" applyFill="1" applyBorder="1" applyAlignment="1">
      <alignment vertical="center"/>
    </xf>
    <xf numFmtId="172" fontId="18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2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173" fontId="29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2" fillId="17" borderId="1" xfId="0" applyFont="1" applyFill="1" applyBorder="1" applyAlignment="1">
      <alignment vertical="center"/>
    </xf>
    <xf numFmtId="0" fontId="31" fillId="17" borderId="102" xfId="0" applyFont="1" applyFill="1" applyBorder="1" applyAlignment="1">
      <alignment horizontal="center" vertical="center" wrapText="1"/>
    </xf>
    <xf numFmtId="0" fontId="22" fillId="17" borderId="102" xfId="0" applyFont="1" applyFill="1" applyBorder="1" applyAlignment="1">
      <alignment horizontal="center" vertical="center" wrapText="1"/>
    </xf>
    <xf numFmtId="0" fontId="18" fillId="34" borderId="23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center" vertical="center"/>
    </xf>
    <xf numFmtId="0" fontId="22" fillId="31" borderId="54" xfId="0" applyFont="1" applyFill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2" fillId="15" borderId="107" xfId="0" applyFont="1" applyFill="1" applyBorder="1" applyAlignment="1">
      <alignment horizontal="center" vertical="center"/>
    </xf>
    <xf numFmtId="173" fontId="6" fillId="0" borderId="75" xfId="0" applyNumberFormat="1" applyFont="1" applyBorder="1" applyAlignment="1">
      <alignment horizontal="left" wrapText="1"/>
    </xf>
    <xf numFmtId="0" fontId="28" fillId="0" borderId="0" xfId="0" applyFont="1"/>
    <xf numFmtId="0" fontId="6" fillId="41" borderId="1" xfId="0" applyFont="1" applyFill="1" applyBorder="1"/>
    <xf numFmtId="0" fontId="12" fillId="41" borderId="1" xfId="0" applyFont="1" applyFill="1" applyBorder="1" applyAlignment="1">
      <alignment vertical="center"/>
    </xf>
    <xf numFmtId="0" fontId="24" fillId="41" borderId="1" xfId="0" applyFont="1" applyFill="1" applyBorder="1" applyAlignment="1">
      <alignment vertical="center"/>
    </xf>
    <xf numFmtId="0" fontId="22" fillId="41" borderId="15" xfId="0" applyFont="1" applyFill="1" applyBorder="1" applyAlignment="1">
      <alignment horizontal="center"/>
    </xf>
    <xf numFmtId="0" fontId="22" fillId="7" borderId="100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vertical="center" wrapText="1"/>
    </xf>
    <xf numFmtId="0" fontId="18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8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8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8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8" fillId="41" borderId="51" xfId="0" applyNumberFormat="1" applyFont="1" applyFill="1" applyBorder="1" applyAlignment="1">
      <alignment horizontal="center" wrapText="1"/>
    </xf>
    <xf numFmtId="171" fontId="23" fillId="41" borderId="64" xfId="0" applyNumberFormat="1" applyFont="1" applyFill="1" applyBorder="1" applyAlignment="1">
      <alignment horizontal="center" vertical="center" wrapText="1"/>
    </xf>
    <xf numFmtId="171" fontId="23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2" fillId="29" borderId="1" xfId="0" applyFont="1" applyFill="1" applyBorder="1" applyAlignment="1">
      <alignment vertical="center"/>
    </xf>
    <xf numFmtId="0" fontId="24" fillId="29" borderId="1" xfId="0" applyFont="1" applyFill="1" applyBorder="1" applyAlignment="1">
      <alignment vertical="center"/>
    </xf>
    <xf numFmtId="0" fontId="22" fillId="41" borderId="29" xfId="0" applyFont="1" applyFill="1" applyBorder="1" applyAlignment="1">
      <alignment horizontal="center"/>
    </xf>
    <xf numFmtId="0" fontId="22" fillId="41" borderId="30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/>
    </xf>
    <xf numFmtId="169" fontId="22" fillId="41" borderId="2" xfId="0" applyNumberFormat="1" applyFont="1" applyFill="1" applyBorder="1" applyAlignment="1">
      <alignment horizontal="center"/>
    </xf>
    <xf numFmtId="0" fontId="47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7" fillId="41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left"/>
    </xf>
    <xf numFmtId="0" fontId="22" fillId="41" borderId="2" xfId="0" applyFont="1" applyFill="1" applyBorder="1"/>
    <xf numFmtId="172" fontId="18" fillId="34" borderId="24" xfId="0" applyNumberFormat="1" applyFont="1" applyFill="1" applyBorder="1" applyAlignment="1">
      <alignment vertical="center"/>
    </xf>
    <xf numFmtId="0" fontId="12" fillId="41" borderId="1" xfId="0" applyFont="1" applyFill="1" applyBorder="1" applyAlignment="1">
      <alignment horizontal="center" vertical="center"/>
    </xf>
    <xf numFmtId="0" fontId="13" fillId="41" borderId="1" xfId="0" applyFont="1" applyFill="1" applyBorder="1" applyAlignment="1">
      <alignment horizontal="center" vertical="center"/>
    </xf>
    <xf numFmtId="0" fontId="26" fillId="41" borderId="1" xfId="0" applyFont="1" applyFill="1" applyBorder="1" applyAlignment="1">
      <alignment vertical="center"/>
    </xf>
    <xf numFmtId="0" fontId="11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2" fillId="47" borderId="2" xfId="0" applyNumberFormat="1" applyFont="1" applyFill="1" applyBorder="1" applyAlignment="1">
      <alignment horizontal="center" vertical="center"/>
    </xf>
    <xf numFmtId="167" fontId="22" fillId="33" borderId="2" xfId="0" applyNumberFormat="1" applyFont="1" applyFill="1" applyBorder="1" applyAlignment="1">
      <alignment horizontal="center" vertical="center"/>
    </xf>
    <xf numFmtId="169" fontId="22" fillId="37" borderId="2" xfId="0" applyNumberFormat="1" applyFont="1" applyFill="1" applyBorder="1" applyAlignment="1">
      <alignment horizontal="center" vertical="center"/>
    </xf>
    <xf numFmtId="174" fontId="18" fillId="34" borderId="2" xfId="0" applyNumberFormat="1" applyFont="1" applyFill="1" applyBorder="1" applyAlignment="1">
      <alignment horizontal="center" vertical="center"/>
    </xf>
    <xf numFmtId="44" fontId="20" fillId="42" borderId="2" xfId="19" applyFont="1" applyFill="1" applyBorder="1" applyAlignment="1">
      <alignment horizontal="center" vertical="center"/>
    </xf>
    <xf numFmtId="44" fontId="18" fillId="34" borderId="2" xfId="19" applyFont="1" applyFill="1" applyBorder="1" applyAlignment="1">
      <alignment horizontal="center" vertical="center"/>
    </xf>
    <xf numFmtId="169" fontId="22" fillId="43" borderId="2" xfId="0" applyNumberFormat="1" applyFont="1" applyFill="1" applyBorder="1" applyAlignment="1">
      <alignment horizontal="center" vertical="center"/>
    </xf>
    <xf numFmtId="174" fontId="18" fillId="26" borderId="2" xfId="0" applyNumberFormat="1" applyFont="1" applyFill="1" applyBorder="1" applyAlignment="1">
      <alignment horizontal="center" vertical="center"/>
    </xf>
    <xf numFmtId="44" fontId="20" fillId="44" borderId="2" xfId="19" applyFont="1" applyFill="1" applyBorder="1" applyAlignment="1">
      <alignment horizontal="center" vertical="center"/>
    </xf>
    <xf numFmtId="44" fontId="18" fillId="26" borderId="2" xfId="19" applyFont="1" applyFill="1" applyBorder="1" applyAlignment="1">
      <alignment horizontal="center" vertical="center"/>
    </xf>
    <xf numFmtId="169" fontId="22" fillId="45" borderId="2" xfId="0" applyNumberFormat="1" applyFont="1" applyFill="1" applyBorder="1" applyAlignment="1">
      <alignment horizontal="center" vertical="center"/>
    </xf>
    <xf numFmtId="174" fontId="18" fillId="27" borderId="2" xfId="0" applyNumberFormat="1" applyFont="1" applyFill="1" applyBorder="1" applyAlignment="1">
      <alignment horizontal="center" vertical="center"/>
    </xf>
    <xf numFmtId="44" fontId="20" fillId="46" borderId="2" xfId="19" applyFont="1" applyFill="1" applyBorder="1" applyAlignment="1">
      <alignment horizontal="center" vertical="center"/>
    </xf>
    <xf numFmtId="44" fontId="18" fillId="27" borderId="2" xfId="19" applyFont="1" applyFill="1" applyBorder="1" applyAlignment="1">
      <alignment horizontal="center" vertical="center"/>
    </xf>
    <xf numFmtId="174" fontId="18" fillId="24" borderId="2" xfId="0" applyNumberFormat="1" applyFont="1" applyFill="1" applyBorder="1" applyAlignment="1">
      <alignment horizontal="center" vertical="center"/>
    </xf>
    <xf numFmtId="169" fontId="22" fillId="2" borderId="2" xfId="0" applyNumberFormat="1" applyFont="1" applyFill="1" applyBorder="1" applyAlignment="1">
      <alignment horizontal="center" vertical="center"/>
    </xf>
    <xf numFmtId="174" fontId="18" fillId="13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171" fontId="20" fillId="25" borderId="2" xfId="0" applyNumberFormat="1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8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8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2" fillId="30" borderId="2" xfId="0" applyNumberFormat="1" applyFont="1" applyFill="1" applyBorder="1" applyAlignment="1">
      <alignment horizontal="center" vertical="center"/>
    </xf>
    <xf numFmtId="169" fontId="22" fillId="36" borderId="2" xfId="0" applyNumberFormat="1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9" fillId="0" borderId="2" xfId="0" applyNumberFormat="1" applyFont="1" applyBorder="1" applyAlignment="1">
      <alignment vertical="center"/>
    </xf>
    <xf numFmtId="0" fontId="28" fillId="30" borderId="109" xfId="0" applyFont="1" applyFill="1" applyBorder="1"/>
    <xf numFmtId="44" fontId="0" fillId="0" borderId="109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8" fillId="0" borderId="0" xfId="19" applyFont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10" fontId="18" fillId="41" borderId="2" xfId="0" applyNumberFormat="1" applyFont="1" applyFill="1" applyBorder="1" applyAlignment="1">
      <alignment horizontal="center" vertical="center"/>
    </xf>
    <xf numFmtId="9" fontId="18" fillId="41" borderId="2" xfId="0" applyNumberFormat="1" applyFont="1" applyFill="1" applyBorder="1" applyAlignment="1">
      <alignment horizontal="center" vertical="center"/>
    </xf>
    <xf numFmtId="169" fontId="22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09" xfId="0" applyNumberFormat="1" applyFont="1" applyBorder="1" applyAlignment="1">
      <alignment horizontal="center"/>
    </xf>
    <xf numFmtId="1" fontId="22" fillId="0" borderId="109" xfId="0" applyNumberFormat="1" applyFont="1" applyBorder="1" applyAlignment="1">
      <alignment horizont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8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8" fillId="41" borderId="19" xfId="0" applyFont="1" applyFill="1" applyBorder="1" applyAlignment="1">
      <alignment horizontal="center" vertical="center"/>
    </xf>
    <xf numFmtId="0" fontId="22" fillId="41" borderId="20" xfId="0" applyFont="1" applyFill="1" applyBorder="1" applyAlignment="1">
      <alignment horizontal="center"/>
    </xf>
    <xf numFmtId="175" fontId="22" fillId="41" borderId="20" xfId="0" applyNumberFormat="1" applyFont="1" applyFill="1" applyBorder="1" applyAlignment="1">
      <alignment horizontal="center"/>
    </xf>
    <xf numFmtId="0" fontId="18" fillId="41" borderId="45" xfId="0" applyFont="1" applyFill="1" applyBorder="1" applyAlignment="1">
      <alignment horizontal="center" vertical="center"/>
    </xf>
    <xf numFmtId="0" fontId="22" fillId="41" borderId="95" xfId="0" applyFont="1" applyFill="1" applyBorder="1" applyAlignment="1">
      <alignment horizontal="center"/>
    </xf>
    <xf numFmtId="0" fontId="18" fillId="41" borderId="109" xfId="0" applyFont="1" applyFill="1" applyBorder="1" applyAlignment="1">
      <alignment horizontal="center" vertical="center"/>
    </xf>
    <xf numFmtId="0" fontId="22" fillId="41" borderId="109" xfId="0" applyFont="1" applyFill="1" applyBorder="1" applyAlignment="1">
      <alignment horizontal="center"/>
    </xf>
    <xf numFmtId="175" fontId="22" fillId="41" borderId="109" xfId="0" applyNumberFormat="1" applyFont="1" applyFill="1" applyBorder="1" applyAlignment="1">
      <alignment horizontal="center"/>
    </xf>
    <xf numFmtId="0" fontId="22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2" fillId="41" borderId="86" xfId="0" applyFont="1" applyFill="1" applyBorder="1" applyAlignment="1">
      <alignment horizontal="center"/>
    </xf>
    <xf numFmtId="0" fontId="22" fillId="41" borderId="87" xfId="0" applyFont="1" applyFill="1" applyBorder="1" applyAlignment="1">
      <alignment horizontal="center"/>
    </xf>
    <xf numFmtId="0" fontId="22" fillId="41" borderId="88" xfId="0" applyFont="1" applyFill="1" applyBorder="1" applyAlignment="1">
      <alignment horizontal="center"/>
    </xf>
    <xf numFmtId="0" fontId="18" fillId="41" borderId="98" xfId="0" applyFont="1" applyFill="1" applyBorder="1" applyAlignment="1">
      <alignment horizontal="center"/>
    </xf>
    <xf numFmtId="0" fontId="18" fillId="41" borderId="97" xfId="0" applyFont="1" applyFill="1" applyBorder="1" applyAlignment="1">
      <alignment horizontal="center"/>
    </xf>
    <xf numFmtId="0" fontId="18" fillId="41" borderId="99" xfId="0" applyFont="1" applyFill="1" applyBorder="1" applyAlignment="1">
      <alignment horizontal="center"/>
    </xf>
    <xf numFmtId="0" fontId="28" fillId="0" borderId="109" xfId="0" applyFont="1" applyBorder="1" applyAlignment="1">
      <alignment horizontal="center"/>
    </xf>
    <xf numFmtId="0" fontId="28" fillId="0" borderId="109" xfId="0" applyFont="1" applyBorder="1" applyAlignment="1">
      <alignment horizontal="center" vertical="center"/>
    </xf>
    <xf numFmtId="0" fontId="28" fillId="0" borderId="109" xfId="1" applyBorder="1" applyAlignment="1">
      <alignment horizontal="center" vertical="center"/>
    </xf>
    <xf numFmtId="0" fontId="22" fillId="7" borderId="101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29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9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8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9" fillId="41" borderId="3" xfId="0" applyFont="1" applyFill="1" applyBorder="1" applyAlignment="1">
      <alignment horizontal="center" vertical="center"/>
    </xf>
    <xf numFmtId="0" fontId="22" fillId="41" borderId="74" xfId="0" applyFont="1" applyFill="1" applyBorder="1"/>
    <xf numFmtId="0" fontId="22" fillId="41" borderId="80" xfId="0" applyFont="1" applyFill="1" applyBorder="1" applyAlignment="1">
      <alignment horizontal="center"/>
    </xf>
    <xf numFmtId="0" fontId="22" fillId="41" borderId="81" xfId="0" applyFont="1" applyFill="1" applyBorder="1" applyAlignment="1">
      <alignment horizontal="center"/>
    </xf>
    <xf numFmtId="0" fontId="22" fillId="41" borderId="73" xfId="0" applyFont="1" applyFill="1" applyBorder="1" applyAlignment="1">
      <alignment horizontal="center"/>
    </xf>
    <xf numFmtId="0" fontId="28" fillId="30" borderId="109" xfId="0" applyFont="1" applyFill="1" applyBorder="1" applyAlignment="1">
      <alignment horizontal="center"/>
    </xf>
    <xf numFmtId="0" fontId="22" fillId="41" borderId="19" xfId="0" applyFont="1" applyFill="1" applyBorder="1" applyAlignment="1">
      <alignment horizontal="center"/>
    </xf>
    <xf numFmtId="0" fontId="22" fillId="41" borderId="20" xfId="0" applyFont="1" applyFill="1" applyBorder="1" applyAlignment="1">
      <alignment horizontal="center" vertical="center" wrapText="1"/>
    </xf>
    <xf numFmtId="0" fontId="22" fillId="41" borderId="55" xfId="0" applyFont="1" applyFill="1" applyBorder="1" applyAlignment="1">
      <alignment horizontal="center" vertical="center"/>
    </xf>
    <xf numFmtId="0" fontId="6" fillId="43" borderId="10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35" fillId="30" borderId="109" xfId="10" applyFont="1" applyFill="1" applyBorder="1" applyAlignment="1">
      <alignment horizontal="center" vertical="center" wrapText="1"/>
    </xf>
    <xf numFmtId="0" fontId="35" fillId="30" borderId="109" xfId="10" applyFont="1" applyFill="1" applyBorder="1" applyAlignment="1">
      <alignment horizontal="center"/>
    </xf>
    <xf numFmtId="0" fontId="49" fillId="41" borderId="4" xfId="2" applyFont="1" applyFill="1" applyBorder="1" applyAlignment="1">
      <alignment horizontal="center" vertical="center"/>
    </xf>
    <xf numFmtId="0" fontId="49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2" fillId="41" borderId="71" xfId="0" applyFont="1" applyFill="1" applyBorder="1" applyAlignment="1">
      <alignment horizontal="center"/>
    </xf>
    <xf numFmtId="0" fontId="6" fillId="0" borderId="17" xfId="0" applyFont="1" applyBorder="1"/>
    <xf numFmtId="0" fontId="6" fillId="0" borderId="106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9" fillId="41" borderId="90" xfId="2" quotePrefix="1" applyFont="1" applyFill="1" applyBorder="1" applyAlignment="1">
      <alignment horizontal="center" vertical="center"/>
    </xf>
    <xf numFmtId="0" fontId="22" fillId="9" borderId="38" xfId="0" applyFont="1" applyFill="1" applyBorder="1" applyAlignment="1">
      <alignment horizontal="center" vertical="center"/>
    </xf>
    <xf numFmtId="0" fontId="22" fillId="53" borderId="38" xfId="0" applyFont="1" applyFill="1" applyBorder="1" applyAlignment="1">
      <alignment horizontal="center" vertical="center"/>
    </xf>
    <xf numFmtId="0" fontId="29" fillId="15" borderId="112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4" borderId="2" xfId="0" applyNumberFormat="1" applyFont="1" applyFill="1" applyBorder="1" applyAlignment="1">
      <alignment horizontal="center"/>
    </xf>
    <xf numFmtId="169" fontId="6" fillId="53" borderId="2" xfId="0" applyNumberFormat="1" applyFont="1" applyFill="1" applyBorder="1" applyAlignment="1">
      <alignment horizontal="center"/>
    </xf>
    <xf numFmtId="169" fontId="50" fillId="9" borderId="2" xfId="0" applyNumberFormat="1" applyFont="1" applyFill="1" applyBorder="1" applyAlignment="1">
      <alignment horizontal="center"/>
    </xf>
    <xf numFmtId="169" fontId="50" fillId="15" borderId="2" xfId="0" applyNumberFormat="1" applyFont="1" applyFill="1" applyBorder="1" applyAlignment="1">
      <alignment horizontal="center"/>
    </xf>
    <xf numFmtId="0" fontId="6" fillId="0" borderId="109" xfId="0" applyFont="1" applyBorder="1" applyAlignment="1">
      <alignment horizontal="center" vertical="center"/>
    </xf>
    <xf numFmtId="0" fontId="42" fillId="30" borderId="113" xfId="0" applyFont="1" applyFill="1" applyBorder="1"/>
    <xf numFmtId="0" fontId="42" fillId="30" borderId="114" xfId="0" applyFont="1" applyFill="1" applyBorder="1"/>
    <xf numFmtId="0" fontId="42" fillId="30" borderId="115" xfId="0" applyFont="1" applyFill="1" applyBorder="1"/>
    <xf numFmtId="44" fontId="6" fillId="2" borderId="15" xfId="19" applyFont="1" applyFill="1" applyBorder="1" applyAlignment="1">
      <alignment horizontal="center"/>
    </xf>
    <xf numFmtId="0" fontId="6" fillId="0" borderId="99" xfId="0" applyFont="1" applyBorder="1" applyAlignment="1">
      <alignment horizontal="center"/>
    </xf>
    <xf numFmtId="0" fontId="6" fillId="0" borderId="104" xfId="0" applyFont="1" applyBorder="1" applyAlignment="1">
      <alignment horizontal="center"/>
    </xf>
    <xf numFmtId="173" fontId="6" fillId="0" borderId="97" xfId="0" applyNumberFormat="1" applyFont="1" applyBorder="1" applyAlignment="1">
      <alignment horizontal="center"/>
    </xf>
    <xf numFmtId="0" fontId="0" fillId="53" borderId="0" xfId="0" applyFill="1"/>
    <xf numFmtId="0" fontId="51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8" fillId="0" borderId="109" xfId="19" applyFont="1" applyBorder="1"/>
    <xf numFmtId="180" fontId="28" fillId="0" borderId="109" xfId="20" applyNumberFormat="1" applyFont="1" applyBorder="1"/>
    <xf numFmtId="0" fontId="0" fillId="15" borderId="17" xfId="0" applyFill="1" applyBorder="1"/>
    <xf numFmtId="0" fontId="0" fillId="15" borderId="75" xfId="0" applyFill="1" applyBorder="1"/>
    <xf numFmtId="0" fontId="6" fillId="15" borderId="0" xfId="0" applyFont="1" applyFill="1"/>
    <xf numFmtId="1" fontId="22" fillId="0" borderId="15" xfId="0" applyNumberFormat="1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22" fillId="41" borderId="46" xfId="0" applyFont="1" applyFill="1" applyBorder="1" applyAlignment="1">
      <alignment horizontal="center"/>
    </xf>
    <xf numFmtId="0" fontId="6" fillId="55" borderId="81" xfId="0" applyFont="1" applyFill="1" applyBorder="1" applyAlignment="1">
      <alignment horizontal="left" vertical="center" wrapText="1"/>
    </xf>
    <xf numFmtId="0" fontId="6" fillId="2" borderId="64" xfId="0" applyFont="1" applyFill="1" applyBorder="1" applyAlignment="1">
      <alignment horizontal="left" vertical="center" wrapText="1"/>
    </xf>
    <xf numFmtId="0" fontId="6" fillId="56" borderId="81" xfId="0" applyFont="1" applyFill="1" applyBorder="1" applyAlignment="1">
      <alignment horizontal="left" vertical="center" wrapText="1"/>
    </xf>
    <xf numFmtId="0" fontId="6" fillId="55" borderId="72" xfId="0" applyFont="1" applyFill="1" applyBorder="1" applyAlignment="1">
      <alignment horizontal="left" vertical="center" wrapText="1"/>
    </xf>
    <xf numFmtId="0" fontId="6" fillId="2" borderId="104" xfId="0" applyFont="1" applyFill="1" applyBorder="1" applyAlignment="1">
      <alignment horizontal="left" vertical="center" wrapText="1"/>
    </xf>
    <xf numFmtId="0" fontId="6" fillId="55" borderId="80" xfId="0" applyFont="1" applyFill="1" applyBorder="1" applyAlignment="1">
      <alignment horizontal="left" vertical="center" wrapText="1"/>
    </xf>
    <xf numFmtId="0" fontId="6" fillId="56" borderId="72" xfId="0" applyFont="1" applyFill="1" applyBorder="1" applyAlignment="1">
      <alignment horizontal="left" vertical="center" wrapText="1"/>
    </xf>
    <xf numFmtId="0" fontId="6" fillId="55" borderId="104" xfId="0" applyFont="1" applyFill="1" applyBorder="1" applyAlignment="1">
      <alignment horizontal="left" vertical="center" wrapText="1"/>
    </xf>
    <xf numFmtId="0" fontId="6" fillId="2" borderId="72" xfId="0" applyFont="1" applyFill="1" applyBorder="1" applyAlignment="1">
      <alignment horizontal="left" vertical="center" wrapText="1"/>
    </xf>
    <xf numFmtId="0" fontId="6" fillId="2" borderId="80" xfId="0" applyFont="1" applyFill="1" applyBorder="1" applyAlignment="1">
      <alignment horizontal="left" vertical="center" wrapText="1"/>
    </xf>
    <xf numFmtId="0" fontId="6" fillId="2" borderId="81" xfId="0" applyFont="1" applyFill="1" applyBorder="1" applyAlignment="1">
      <alignment horizontal="left" vertical="center" wrapText="1"/>
    </xf>
    <xf numFmtId="0" fontId="6" fillId="55" borderId="64" xfId="0" applyFont="1" applyFill="1" applyBorder="1" applyAlignment="1">
      <alignment horizontal="left" vertical="center" wrapText="1"/>
    </xf>
    <xf numFmtId="0" fontId="6" fillId="56" borderId="104" xfId="0" applyFont="1" applyFill="1" applyBorder="1" applyAlignment="1">
      <alignment horizontal="left" vertical="center" wrapText="1"/>
    </xf>
    <xf numFmtId="0" fontId="6" fillId="56" borderId="64" xfId="0" applyFont="1" applyFill="1" applyBorder="1" applyAlignment="1">
      <alignment horizontal="left" vertical="center" wrapText="1"/>
    </xf>
    <xf numFmtId="0" fontId="22" fillId="41" borderId="102" xfId="0" applyFont="1" applyFill="1" applyBorder="1" applyAlignment="1">
      <alignment horizontal="center"/>
    </xf>
    <xf numFmtId="0" fontId="6" fillId="55" borderId="15" xfId="0" applyFont="1" applyFill="1" applyBorder="1" applyAlignment="1">
      <alignment horizontal="center" vertical="center"/>
    </xf>
    <xf numFmtId="0" fontId="6" fillId="56" borderId="1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5" fillId="17" borderId="6" xfId="0" applyFont="1" applyFill="1" applyBorder="1" applyAlignment="1">
      <alignment horizontal="left"/>
    </xf>
    <xf numFmtId="0" fontId="16" fillId="18" borderId="7" xfId="0" applyFont="1" applyFill="1" applyBorder="1"/>
    <xf numFmtId="0" fontId="16" fillId="18" borderId="8" xfId="0" applyFont="1" applyFill="1" applyBorder="1"/>
    <xf numFmtId="0" fontId="17" fillId="2" borderId="9" xfId="0" applyFont="1" applyFill="1" applyBorder="1" applyAlignment="1">
      <alignment horizontal="left" vertical="top" wrapText="1"/>
    </xf>
    <xf numFmtId="0" fontId="16" fillId="0" borderId="10" xfId="0" applyFont="1" applyBorder="1"/>
    <xf numFmtId="0" fontId="16" fillId="0" borderId="11" xfId="0" applyFont="1" applyBorder="1"/>
    <xf numFmtId="0" fontId="17" fillId="2" borderId="12" xfId="0" applyFont="1" applyFill="1" applyBorder="1" applyAlignment="1">
      <alignment horizontal="left" vertical="top" wrapText="1"/>
    </xf>
    <xf numFmtId="0" fontId="16" fillId="0" borderId="13" xfId="0" applyFont="1" applyBorder="1"/>
    <xf numFmtId="0" fontId="16" fillId="0" borderId="14" xfId="0" applyFont="1" applyBorder="1"/>
    <xf numFmtId="0" fontId="15" fillId="17" borderId="54" xfId="0" applyFont="1" applyFill="1" applyBorder="1" applyAlignment="1">
      <alignment horizontal="left"/>
    </xf>
    <xf numFmtId="0" fontId="15" fillId="17" borderId="7" xfId="0" applyFont="1" applyFill="1" applyBorder="1" applyAlignment="1">
      <alignment horizontal="left"/>
    </xf>
    <xf numFmtId="0" fontId="15" fillId="17" borderId="53" xfId="0" applyFont="1" applyFill="1" applyBorder="1" applyAlignment="1">
      <alignment horizontal="left"/>
    </xf>
    <xf numFmtId="0" fontId="17" fillId="2" borderId="47" xfId="0" applyFont="1" applyFill="1" applyBorder="1" applyAlignment="1">
      <alignment horizontal="left" vertical="top" wrapText="1"/>
    </xf>
    <xf numFmtId="0" fontId="17" fillId="2" borderId="65" xfId="0" applyFont="1" applyFill="1" applyBorder="1" applyAlignment="1">
      <alignment horizontal="left" vertical="top" wrapText="1"/>
    </xf>
    <xf numFmtId="0" fontId="17" fillId="2" borderId="49" xfId="0" applyFont="1" applyFill="1" applyBorder="1" applyAlignment="1">
      <alignment horizontal="left" vertical="top" wrapText="1"/>
    </xf>
    <xf numFmtId="0" fontId="40" fillId="17" borderId="54" xfId="0" applyFont="1" applyFill="1" applyBorder="1" applyAlignment="1">
      <alignment horizontal="left"/>
    </xf>
    <xf numFmtId="0" fontId="40" fillId="17" borderId="7" xfId="0" applyFont="1" applyFill="1" applyBorder="1" applyAlignment="1">
      <alignment horizontal="left"/>
    </xf>
    <xf numFmtId="0" fontId="40" fillId="17" borderId="53" xfId="0" applyFont="1" applyFill="1" applyBorder="1" applyAlignment="1">
      <alignment horizontal="left"/>
    </xf>
    <xf numFmtId="0" fontId="15" fillId="17" borderId="66" xfId="0" applyFont="1" applyFill="1" applyBorder="1" applyAlignment="1">
      <alignment horizontal="center"/>
    </xf>
    <xf numFmtId="0" fontId="15" fillId="17" borderId="65" xfId="0" applyFont="1" applyFill="1" applyBorder="1" applyAlignment="1">
      <alignment horizontal="center"/>
    </xf>
    <xf numFmtId="0" fontId="15" fillId="17" borderId="82" xfId="0" applyFont="1" applyFill="1" applyBorder="1" applyAlignment="1">
      <alignment horizontal="center"/>
    </xf>
    <xf numFmtId="0" fontId="19" fillId="17" borderId="21" xfId="0" applyFont="1" applyFill="1" applyBorder="1" applyAlignment="1">
      <alignment horizontal="center" vertical="top" wrapText="1"/>
    </xf>
    <xf numFmtId="0" fontId="19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6" fillId="7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15" fillId="29" borderId="91" xfId="0" applyFont="1" applyFill="1" applyBorder="1" applyAlignment="1">
      <alignment horizontal="center" vertical="center"/>
    </xf>
    <xf numFmtId="0" fontId="15" fillId="29" borderId="106" xfId="0" applyFont="1" applyFill="1" applyBorder="1" applyAlignment="1">
      <alignment horizontal="center" vertical="center"/>
    </xf>
    <xf numFmtId="0" fontId="15" fillId="29" borderId="107" xfId="0" applyFont="1" applyFill="1" applyBorder="1" applyAlignment="1">
      <alignment horizontal="center" vertical="center"/>
    </xf>
    <xf numFmtId="0" fontId="15" fillId="29" borderId="108" xfId="0" applyFont="1" applyFill="1" applyBorder="1" applyAlignment="1">
      <alignment horizontal="center" vertical="center"/>
    </xf>
    <xf numFmtId="171" fontId="18" fillId="34" borderId="54" xfId="0" applyNumberFormat="1" applyFont="1" applyFill="1" applyBorder="1" applyAlignment="1">
      <alignment horizontal="left"/>
    </xf>
    <xf numFmtId="171" fontId="18" fillId="34" borderId="7" xfId="0" applyNumberFormat="1" applyFont="1" applyFill="1" applyBorder="1" applyAlignment="1">
      <alignment horizontal="left"/>
    </xf>
    <xf numFmtId="171" fontId="18" fillId="34" borderId="53" xfId="0" applyNumberFormat="1" applyFont="1" applyFill="1" applyBorder="1" applyAlignment="1">
      <alignment horizontal="left"/>
    </xf>
    <xf numFmtId="171" fontId="18" fillId="26" borderId="54" xfId="0" applyNumberFormat="1" applyFont="1" applyFill="1" applyBorder="1" applyAlignment="1">
      <alignment horizontal="left"/>
    </xf>
    <xf numFmtId="171" fontId="18" fillId="26" borderId="7" xfId="0" applyNumberFormat="1" applyFont="1" applyFill="1" applyBorder="1" applyAlignment="1">
      <alignment horizontal="left"/>
    </xf>
    <xf numFmtId="171" fontId="18" fillId="26" borderId="53" xfId="0" applyNumberFormat="1" applyFont="1" applyFill="1" applyBorder="1" applyAlignment="1">
      <alignment horizontal="left"/>
    </xf>
    <xf numFmtId="171" fontId="18" fillId="27" borderId="54" xfId="0" applyNumberFormat="1" applyFont="1" applyFill="1" applyBorder="1" applyAlignment="1">
      <alignment horizontal="left"/>
    </xf>
    <xf numFmtId="171" fontId="18" fillId="27" borderId="7" xfId="0" applyNumberFormat="1" applyFont="1" applyFill="1" applyBorder="1" applyAlignment="1">
      <alignment horizontal="left"/>
    </xf>
    <xf numFmtId="171" fontId="18" fillId="27" borderId="53" xfId="0" applyNumberFormat="1" applyFont="1" applyFill="1" applyBorder="1" applyAlignment="1">
      <alignment horizontal="left"/>
    </xf>
    <xf numFmtId="0" fontId="6" fillId="14" borderId="74" xfId="0" applyFont="1" applyFill="1" applyBorder="1" applyAlignment="1">
      <alignment horizontal="center" vertical="center"/>
    </xf>
    <xf numFmtId="0" fontId="6" fillId="14" borderId="105" xfId="0" applyFont="1" applyFill="1" applyBorder="1" applyAlignment="1">
      <alignment horizontal="center" vertical="center"/>
    </xf>
    <xf numFmtId="0" fontId="22" fillId="29" borderId="6" xfId="0" applyFont="1" applyFill="1" applyBorder="1" applyAlignment="1">
      <alignment horizontal="center" vertical="center"/>
    </xf>
    <xf numFmtId="0" fontId="16" fillId="30" borderId="8" xfId="0" applyFont="1" applyFill="1" applyBorder="1"/>
    <xf numFmtId="9" fontId="22" fillId="31" borderId="2" xfId="0" applyNumberFormat="1" applyFont="1" applyFill="1" applyBorder="1" applyAlignment="1">
      <alignment horizontal="center" vertical="center"/>
    </xf>
    <xf numFmtId="171" fontId="30" fillId="13" borderId="2" xfId="0" applyNumberFormat="1" applyFont="1" applyFill="1" applyBorder="1" applyAlignment="1">
      <alignment horizontal="left"/>
    </xf>
    <xf numFmtId="0" fontId="16" fillId="12" borderId="2" xfId="0" applyFont="1" applyFill="1" applyBorder="1"/>
    <xf numFmtId="171" fontId="22" fillId="29" borderId="2" xfId="0" applyNumberFormat="1" applyFont="1" applyFill="1" applyBorder="1" applyAlignment="1">
      <alignment horizontal="center" vertical="center"/>
    </xf>
    <xf numFmtId="0" fontId="16" fillId="30" borderId="2" xfId="0" applyFont="1" applyFill="1" applyBorder="1"/>
    <xf numFmtId="0" fontId="6" fillId="14" borderId="2" xfId="0" applyFont="1" applyFill="1" applyBorder="1" applyAlignment="1">
      <alignment horizontal="center" vertical="center"/>
    </xf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6" fillId="7" borderId="58" xfId="0" applyFont="1" applyFill="1" applyBorder="1" applyAlignment="1">
      <alignment horizontal="center" vertical="center"/>
    </xf>
    <xf numFmtId="0" fontId="16" fillId="0" borderId="57" xfId="0" applyFont="1" applyBorder="1"/>
    <xf numFmtId="0" fontId="6" fillId="7" borderId="74" xfId="0" applyFont="1" applyFill="1" applyBorder="1" applyAlignment="1">
      <alignment horizontal="center" vertical="center"/>
    </xf>
    <xf numFmtId="0" fontId="6" fillId="7" borderId="105" xfId="0" applyFont="1" applyFill="1" applyBorder="1" applyAlignment="1">
      <alignment horizontal="center" vertical="center"/>
    </xf>
    <xf numFmtId="0" fontId="16" fillId="0" borderId="44" xfId="0" applyFont="1" applyBorder="1"/>
    <xf numFmtId="0" fontId="6" fillId="7" borderId="84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6" fillId="0" borderId="25" xfId="0" applyFont="1" applyBorder="1"/>
    <xf numFmtId="0" fontId="16" fillId="30" borderId="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1" fillId="29" borderId="31" xfId="0" applyFont="1" applyFill="1" applyBorder="1" applyAlignment="1">
      <alignment horizontal="center" vertical="center"/>
    </xf>
    <xf numFmtId="0" fontId="16" fillId="30" borderId="32" xfId="0" applyFont="1" applyFill="1" applyBorder="1"/>
    <xf numFmtId="0" fontId="16" fillId="30" borderId="36" xfId="0" applyFont="1" applyFill="1" applyBorder="1"/>
    <xf numFmtId="0" fontId="16" fillId="30" borderId="37" xfId="0" applyFont="1" applyFill="1" applyBorder="1"/>
    <xf numFmtId="171" fontId="18" fillId="34" borderId="54" xfId="0" applyNumberFormat="1" applyFont="1" applyFill="1" applyBorder="1" applyAlignment="1">
      <alignment horizontal="left" vertical="center"/>
    </xf>
    <xf numFmtId="171" fontId="18" fillId="34" borderId="7" xfId="0" applyNumberFormat="1" applyFont="1" applyFill="1" applyBorder="1" applyAlignment="1">
      <alignment horizontal="left" vertical="center"/>
    </xf>
    <xf numFmtId="171" fontId="18" fillId="34" borderId="53" xfId="0" applyNumberFormat="1" applyFont="1" applyFill="1" applyBorder="1" applyAlignment="1">
      <alignment horizontal="left" vertical="center"/>
    </xf>
    <xf numFmtId="171" fontId="18" fillId="26" borderId="54" xfId="0" applyNumberFormat="1" applyFont="1" applyFill="1" applyBorder="1" applyAlignment="1">
      <alignment horizontal="left" vertical="center"/>
    </xf>
    <xf numFmtId="171" fontId="18" fillId="26" borderId="7" xfId="0" applyNumberFormat="1" applyFont="1" applyFill="1" applyBorder="1" applyAlignment="1">
      <alignment horizontal="left" vertical="center"/>
    </xf>
    <xf numFmtId="171" fontId="18" fillId="26" borderId="53" xfId="0" applyNumberFormat="1" applyFont="1" applyFill="1" applyBorder="1" applyAlignment="1">
      <alignment horizontal="left" vertical="center"/>
    </xf>
    <xf numFmtId="171" fontId="18" fillId="27" borderId="54" xfId="0" applyNumberFormat="1" applyFont="1" applyFill="1" applyBorder="1" applyAlignment="1">
      <alignment horizontal="left" vertical="center"/>
    </xf>
    <xf numFmtId="171" fontId="18" fillId="27" borderId="7" xfId="0" applyNumberFormat="1" applyFont="1" applyFill="1" applyBorder="1" applyAlignment="1">
      <alignment horizontal="left" vertical="center"/>
    </xf>
    <xf numFmtId="171" fontId="18" fillId="27" borderId="53" xfId="0" applyNumberFormat="1" applyFont="1" applyFill="1" applyBorder="1" applyAlignment="1">
      <alignment horizontal="left" vertical="center"/>
    </xf>
    <xf numFmtId="0" fontId="11" fillId="31" borderId="6" xfId="0" applyFont="1" applyFill="1" applyBorder="1" applyAlignment="1">
      <alignment horizontal="center" vertical="center"/>
    </xf>
    <xf numFmtId="0" fontId="15" fillId="29" borderId="31" xfId="0" applyFont="1" applyFill="1" applyBorder="1" applyAlignment="1">
      <alignment horizontal="center" vertical="center"/>
    </xf>
    <xf numFmtId="0" fontId="16" fillId="30" borderId="33" xfId="0" applyFont="1" applyFill="1" applyBorder="1"/>
    <xf numFmtId="0" fontId="16" fillId="30" borderId="34" xfId="0" applyFont="1" applyFill="1" applyBorder="1"/>
    <xf numFmtId="0" fontId="12" fillId="23" borderId="26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vertical="center"/>
    </xf>
    <xf numFmtId="0" fontId="16" fillId="18" borderId="28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left" vertical="center"/>
    </xf>
    <xf numFmtId="0" fontId="16" fillId="30" borderId="2" xfId="0" applyFont="1" applyFill="1" applyBorder="1" applyAlignment="1">
      <alignment horizontal="left" vertical="center"/>
    </xf>
    <xf numFmtId="171" fontId="22" fillId="29" borderId="2" xfId="0" applyNumberFormat="1" applyFont="1" applyFill="1" applyBorder="1" applyAlignment="1">
      <alignment horizontal="left" vertical="center"/>
    </xf>
    <xf numFmtId="0" fontId="22" fillId="29" borderId="2" xfId="0" applyFont="1" applyFill="1" applyBorder="1" applyAlignment="1">
      <alignment horizontal="center" vertical="center"/>
    </xf>
    <xf numFmtId="0" fontId="11" fillId="29" borderId="6" xfId="0" applyFont="1" applyFill="1" applyBorder="1" applyAlignment="1">
      <alignment horizontal="left" vertical="center"/>
    </xf>
    <xf numFmtId="0" fontId="16" fillId="30" borderId="7" xfId="0" applyFont="1" applyFill="1" applyBorder="1" applyAlignment="1">
      <alignment vertical="center"/>
    </xf>
    <xf numFmtId="0" fontId="16" fillId="30" borderId="8" xfId="0" applyFont="1" applyFill="1" applyBorder="1" applyAlignment="1">
      <alignment vertical="center"/>
    </xf>
    <xf numFmtId="0" fontId="6" fillId="7" borderId="67" xfId="0" applyFont="1" applyFill="1" applyBorder="1" applyAlignment="1">
      <alignment horizontal="center" vertical="center"/>
    </xf>
    <xf numFmtId="0" fontId="18" fillId="32" borderId="54" xfId="0" applyFont="1" applyFill="1" applyBorder="1" applyAlignment="1">
      <alignment horizontal="left" vertical="center"/>
    </xf>
    <xf numFmtId="0" fontId="18" fillId="32" borderId="53" xfId="0" applyFont="1" applyFill="1" applyBorder="1" applyAlignment="1">
      <alignment horizontal="left" vertical="center"/>
    </xf>
    <xf numFmtId="171" fontId="30" fillId="13" borderId="2" xfId="0" applyNumberFormat="1" applyFont="1" applyFill="1" applyBorder="1" applyAlignment="1">
      <alignment horizontal="left" vertical="center"/>
    </xf>
    <xf numFmtId="0" fontId="16" fillId="12" borderId="2" xfId="0" applyFont="1" applyFill="1" applyBorder="1" applyAlignment="1">
      <alignment horizontal="left" vertical="center"/>
    </xf>
    <xf numFmtId="0" fontId="15" fillId="29" borderId="6" xfId="0" applyFont="1" applyFill="1" applyBorder="1" applyAlignment="1">
      <alignment horizontal="left"/>
    </xf>
    <xf numFmtId="0" fontId="16" fillId="30" borderId="7" xfId="0" applyFont="1" applyFill="1" applyBorder="1"/>
    <xf numFmtId="0" fontId="19" fillId="2" borderId="6" xfId="0" applyFont="1" applyFill="1" applyBorder="1" applyAlignment="1">
      <alignment horizontal="left" vertical="top" wrapText="1"/>
    </xf>
    <xf numFmtId="0" fontId="16" fillId="0" borderId="7" xfId="0" applyFont="1" applyBorder="1"/>
    <xf numFmtId="0" fontId="16" fillId="0" borderId="8" xfId="0" applyFont="1" applyBorder="1"/>
    <xf numFmtId="0" fontId="6" fillId="7" borderId="38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/>
    </xf>
    <xf numFmtId="0" fontId="11" fillId="31" borderId="2" xfId="0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left"/>
    </xf>
    <xf numFmtId="49" fontId="19" fillId="2" borderId="2" xfId="0" applyNumberFormat="1" applyFont="1" applyFill="1" applyBorder="1" applyAlignment="1">
      <alignment horizontal="left" vertical="top" wrapText="1"/>
    </xf>
    <xf numFmtId="0" fontId="18" fillId="32" borderId="2" xfId="0" applyFont="1" applyFill="1" applyBorder="1" applyAlignment="1">
      <alignment horizontal="left"/>
    </xf>
    <xf numFmtId="0" fontId="16" fillId="33" borderId="2" xfId="0" applyFont="1" applyFill="1" applyBorder="1"/>
    <xf numFmtId="0" fontId="11" fillId="29" borderId="6" xfId="0" applyFont="1" applyFill="1" applyBorder="1" applyAlignment="1">
      <alignment vertical="center"/>
    </xf>
    <xf numFmtId="0" fontId="15" fillId="29" borderId="61" xfId="0" applyFont="1" applyFill="1" applyBorder="1" applyAlignment="1">
      <alignment horizontal="center" vertical="center"/>
    </xf>
    <xf numFmtId="0" fontId="16" fillId="30" borderId="62" xfId="0" applyFont="1" applyFill="1" applyBorder="1"/>
    <xf numFmtId="0" fontId="16" fillId="30" borderId="59" xfId="0" applyFont="1" applyFill="1" applyBorder="1"/>
    <xf numFmtId="0" fontId="16" fillId="30" borderId="60" xfId="0" applyFont="1" applyFill="1" applyBorder="1"/>
    <xf numFmtId="0" fontId="15" fillId="29" borderId="54" xfId="0" applyFont="1" applyFill="1" applyBorder="1" applyAlignment="1">
      <alignment horizontal="center" vertical="center"/>
    </xf>
    <xf numFmtId="0" fontId="15" fillId="29" borderId="53" xfId="0" applyFont="1" applyFill="1" applyBorder="1" applyAlignment="1">
      <alignment horizontal="center" vertical="center"/>
    </xf>
    <xf numFmtId="0" fontId="43" fillId="15" borderId="116" xfId="0" applyFont="1" applyFill="1" applyBorder="1" applyAlignment="1">
      <alignment horizontal="left" vertical="top" wrapText="1"/>
    </xf>
    <xf numFmtId="0" fontId="43" fillId="15" borderId="117" xfId="0" applyFont="1" applyFill="1" applyBorder="1" applyAlignment="1">
      <alignment horizontal="left" vertical="top" wrapText="1"/>
    </xf>
    <xf numFmtId="0" fontId="43" fillId="15" borderId="118" xfId="0" applyFont="1" applyFill="1" applyBorder="1" applyAlignment="1">
      <alignment horizontal="left" vertical="top" wrapText="1"/>
    </xf>
    <xf numFmtId="0" fontId="43" fillId="15" borderId="119" xfId="0" applyFont="1" applyFill="1" applyBorder="1" applyAlignment="1">
      <alignment horizontal="left" vertical="top" wrapText="1"/>
    </xf>
    <xf numFmtId="0" fontId="43" fillId="15" borderId="75" xfId="0" applyFont="1" applyFill="1" applyBorder="1" applyAlignment="1">
      <alignment horizontal="left" vertical="top" wrapText="1"/>
    </xf>
    <xf numFmtId="0" fontId="43" fillId="15" borderId="120" xfId="0" applyFont="1" applyFill="1" applyBorder="1" applyAlignment="1">
      <alignment horizontal="left" vertical="top" wrapText="1"/>
    </xf>
    <xf numFmtId="0" fontId="43" fillId="15" borderId="121" xfId="0" applyFont="1" applyFill="1" applyBorder="1" applyAlignment="1">
      <alignment horizontal="left" vertical="top" wrapText="1"/>
    </xf>
    <xf numFmtId="0" fontId="43" fillId="15" borderId="122" xfId="0" applyFont="1" applyFill="1" applyBorder="1" applyAlignment="1">
      <alignment horizontal="left" vertical="top" wrapText="1"/>
    </xf>
    <xf numFmtId="0" fontId="43" fillId="15" borderId="123" xfId="0" applyFont="1" applyFill="1" applyBorder="1" applyAlignment="1">
      <alignment horizontal="left" vertical="top" wrapText="1"/>
    </xf>
    <xf numFmtId="0" fontId="11" fillId="29" borderId="2" xfId="0" applyFont="1" applyFill="1" applyBorder="1" applyAlignment="1">
      <alignment horizontal="center" vertical="center"/>
    </xf>
    <xf numFmtId="0" fontId="11" fillId="29" borderId="2" xfId="0" applyFont="1" applyFill="1" applyBorder="1" applyAlignment="1">
      <alignment horizontal="left"/>
    </xf>
    <xf numFmtId="0" fontId="15" fillId="29" borderId="2" xfId="0" applyFont="1" applyFill="1" applyBorder="1" applyAlignment="1">
      <alignment horizontal="center" vertical="center"/>
    </xf>
    <xf numFmtId="49" fontId="19" fillId="2" borderId="54" xfId="0" applyNumberFormat="1" applyFont="1" applyFill="1" applyBorder="1" applyAlignment="1">
      <alignment horizontal="left" vertical="top" wrapText="1"/>
    </xf>
    <xf numFmtId="49" fontId="19" fillId="2" borderId="7" xfId="0" applyNumberFormat="1" applyFont="1" applyFill="1" applyBorder="1" applyAlignment="1">
      <alignment horizontal="left" vertical="top" wrapText="1"/>
    </xf>
    <xf numFmtId="49" fontId="19" fillId="2" borderId="53" xfId="0" applyNumberFormat="1" applyFont="1" applyFill="1" applyBorder="1" applyAlignment="1">
      <alignment horizontal="left" vertical="top" wrapText="1"/>
    </xf>
    <xf numFmtId="0" fontId="15" fillId="29" borderId="54" xfId="0" applyFont="1" applyFill="1" applyBorder="1" applyAlignment="1">
      <alignment horizontal="left"/>
    </xf>
    <xf numFmtId="0" fontId="15" fillId="29" borderId="7" xfId="0" applyFont="1" applyFill="1" applyBorder="1" applyAlignment="1">
      <alignment horizontal="left"/>
    </xf>
    <xf numFmtId="0" fontId="15" fillId="29" borderId="53" xfId="0" applyFont="1" applyFill="1" applyBorder="1" applyAlignment="1">
      <alignment horizontal="left"/>
    </xf>
    <xf numFmtId="0" fontId="7" fillId="17" borderId="76" xfId="0" applyFont="1" applyFill="1" applyBorder="1" applyAlignment="1">
      <alignment horizontal="center" vertical="center"/>
    </xf>
    <xf numFmtId="0" fontId="16" fillId="18" borderId="77" xfId="0" applyFont="1" applyFill="1" applyBorder="1"/>
    <xf numFmtId="0" fontId="16" fillId="18" borderId="78" xfId="0" applyFont="1" applyFill="1" applyBorder="1"/>
    <xf numFmtId="0" fontId="16" fillId="18" borderId="79" xfId="0" applyFont="1" applyFill="1" applyBorder="1"/>
    <xf numFmtId="0" fontId="22" fillId="17" borderId="58" xfId="0" applyFont="1" applyFill="1" applyBorder="1" applyAlignment="1">
      <alignment horizontal="center" vertical="center"/>
    </xf>
    <xf numFmtId="0" fontId="16" fillId="18" borderId="57" xfId="0" applyFont="1" applyFill="1" applyBorder="1"/>
    <xf numFmtId="0" fontId="22" fillId="17" borderId="78" xfId="0" applyFont="1" applyFill="1" applyBorder="1" applyAlignment="1">
      <alignment horizontal="center" vertical="center"/>
    </xf>
    <xf numFmtId="0" fontId="22" fillId="17" borderId="96" xfId="0" applyFont="1" applyFill="1" applyBorder="1" applyAlignment="1">
      <alignment horizontal="center" vertical="center"/>
    </xf>
    <xf numFmtId="0" fontId="22" fillId="17" borderId="74" xfId="0" applyFont="1" applyFill="1" applyBorder="1" applyAlignment="1">
      <alignment horizontal="center" vertical="center"/>
    </xf>
    <xf numFmtId="0" fontId="22" fillId="17" borderId="105" xfId="0" applyFont="1" applyFill="1" applyBorder="1" applyAlignment="1">
      <alignment horizontal="center" vertical="center"/>
    </xf>
    <xf numFmtId="0" fontId="32" fillId="17" borderId="6" xfId="0" applyFont="1" applyFill="1" applyBorder="1" applyAlignment="1">
      <alignment horizontal="center"/>
    </xf>
    <xf numFmtId="0" fontId="15" fillId="17" borderId="6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6" fillId="0" borderId="71" xfId="0" applyFont="1" applyBorder="1"/>
    <xf numFmtId="0" fontId="0" fillId="0" borderId="75" xfId="0" applyBorder="1" applyAlignment="1">
      <alignment horizontal="center"/>
    </xf>
    <xf numFmtId="0" fontId="15" fillId="41" borderId="6" xfId="0" applyFont="1" applyFill="1" applyBorder="1" applyAlignment="1">
      <alignment horizontal="center" wrapText="1"/>
    </xf>
    <xf numFmtId="0" fontId="16" fillId="30" borderId="7" xfId="0" applyFont="1" applyFill="1" applyBorder="1" applyAlignment="1">
      <alignment horizontal="center"/>
    </xf>
    <xf numFmtId="0" fontId="16" fillId="30" borderId="8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left"/>
    </xf>
    <xf numFmtId="0" fontId="19" fillId="41" borderId="2" xfId="0" applyFont="1" applyFill="1" applyBorder="1" applyAlignment="1">
      <alignment horizontal="center" vertical="center"/>
    </xf>
    <xf numFmtId="0" fontId="15" fillId="41" borderId="6" xfId="0" applyFont="1" applyFill="1" applyBorder="1" applyAlignment="1">
      <alignment horizontal="left"/>
    </xf>
    <xf numFmtId="0" fontId="28" fillId="0" borderId="109" xfId="1" applyBorder="1" applyAlignment="1">
      <alignment horizontal="center" vertical="center"/>
    </xf>
    <xf numFmtId="0" fontId="28" fillId="0" borderId="109" xfId="0" applyFont="1" applyBorder="1" applyAlignment="1">
      <alignment horizontal="center" vertic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5" fillId="41" borderId="54" xfId="0" applyFont="1" applyFill="1" applyBorder="1"/>
    <xf numFmtId="0" fontId="15" fillId="41" borderId="7" xfId="0" applyFont="1" applyFill="1" applyBorder="1"/>
    <xf numFmtId="0" fontId="15" fillId="41" borderId="53" xfId="0" applyFont="1" applyFill="1" applyBorder="1"/>
    <xf numFmtId="0" fontId="19" fillId="41" borderId="71" xfId="0" applyFont="1" applyFill="1" applyBorder="1" applyAlignment="1">
      <alignment horizontal="center" vertical="center"/>
    </xf>
    <xf numFmtId="0" fontId="16" fillId="30" borderId="71" xfId="0" applyFont="1" applyFill="1" applyBorder="1"/>
    <xf numFmtId="0" fontId="28" fillId="30" borderId="109" xfId="0" applyFont="1" applyFill="1" applyBorder="1" applyAlignment="1">
      <alignment horizontal="center"/>
    </xf>
    <xf numFmtId="0" fontId="18" fillId="41" borderId="12" xfId="0" applyFont="1" applyFill="1" applyBorder="1" applyAlignment="1">
      <alignment horizontal="center" vertical="center"/>
    </xf>
    <xf numFmtId="0" fontId="16" fillId="30" borderId="14" xfId="0" applyFont="1" applyFill="1" applyBorder="1"/>
    <xf numFmtId="0" fontId="18" fillId="41" borderId="99" xfId="0" applyFont="1" applyFill="1" applyBorder="1" applyAlignment="1">
      <alignment horizontal="center" vertical="center"/>
    </xf>
    <xf numFmtId="0" fontId="16" fillId="30" borderId="93" xfId="0" applyFont="1" applyFill="1" applyBorder="1"/>
    <xf numFmtId="0" fontId="18" fillId="41" borderId="98" xfId="0" applyFont="1" applyFill="1" applyBorder="1" applyAlignment="1">
      <alignment horizontal="center" vertical="center"/>
    </xf>
    <xf numFmtId="0" fontId="16" fillId="30" borderId="92" xfId="0" applyFont="1" applyFill="1" applyBorder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0" fontId="18" fillId="41" borderId="69" xfId="0" applyFont="1" applyFill="1" applyBorder="1" applyAlignment="1">
      <alignment horizontal="center" vertical="center"/>
    </xf>
    <xf numFmtId="0" fontId="18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0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2" fillId="41" borderId="75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/>
    </xf>
    <xf numFmtId="0" fontId="22" fillId="7" borderId="100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right"/>
    </xf>
    <xf numFmtId="0" fontId="15" fillId="41" borderId="16" xfId="0" applyFont="1" applyFill="1" applyBorder="1" applyAlignment="1">
      <alignment horizontal="left"/>
    </xf>
    <xf numFmtId="0" fontId="16" fillId="30" borderId="17" xfId="0" applyFont="1" applyFill="1" applyBorder="1"/>
    <xf numFmtId="0" fontId="16" fillId="30" borderId="18" xfId="0" applyFont="1" applyFill="1" applyBorder="1"/>
    <xf numFmtId="0" fontId="22" fillId="41" borderId="2" xfId="0" applyFont="1" applyFill="1" applyBorder="1" applyAlignment="1">
      <alignment horizontal="center" vertical="center"/>
    </xf>
    <xf numFmtId="0" fontId="22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2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22" fillId="41" borderId="46" xfId="0" applyFont="1" applyFill="1" applyBorder="1" applyAlignment="1">
      <alignment horizontal="center"/>
    </xf>
    <xf numFmtId="0" fontId="22" fillId="41" borderId="93" xfId="0" applyFont="1" applyFill="1" applyBorder="1" applyAlignment="1">
      <alignment horizontal="center"/>
    </xf>
    <xf numFmtId="173" fontId="6" fillId="2" borderId="41" xfId="0" applyNumberFormat="1" applyFont="1" applyFill="1" applyBorder="1" applyAlignment="1">
      <alignment horizontal="center"/>
    </xf>
    <xf numFmtId="173" fontId="6" fillId="2" borderId="45" xfId="0" applyNumberFormat="1" applyFont="1" applyFill="1" applyBorder="1" applyAlignment="1">
      <alignment horizontal="center"/>
    </xf>
    <xf numFmtId="173" fontId="6" fillId="2" borderId="102" xfId="0" applyNumberFormat="1" applyFont="1" applyFill="1" applyBorder="1" applyAlignment="1">
      <alignment horizontal="center"/>
    </xf>
    <xf numFmtId="173" fontId="6" fillId="2" borderId="95" xfId="0" applyNumberFormat="1" applyFont="1" applyFill="1" applyBorder="1" applyAlignment="1">
      <alignment horizontal="center"/>
    </xf>
    <xf numFmtId="173" fontId="6" fillId="2" borderId="46" xfId="0" applyNumberFormat="1" applyFont="1" applyFill="1" applyBorder="1" applyAlignment="1">
      <alignment horizontal="center"/>
    </xf>
    <xf numFmtId="173" fontId="6" fillId="2" borderId="124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173" fontId="6" fillId="0" borderId="2" xfId="0" applyNumberFormat="1" applyFont="1" applyBorder="1" applyAlignment="1">
      <alignment horizontal="center" vertical="center"/>
    </xf>
    <xf numFmtId="0" fontId="15" fillId="41" borderId="6" xfId="0" applyFont="1" applyFill="1" applyBorder="1" applyAlignment="1">
      <alignment horizontal="center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6" fillId="0" borderId="125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173" fontId="6" fillId="0" borderId="102" xfId="0" applyNumberFormat="1" applyFont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0" fontId="6" fillId="2" borderId="69" xfId="0" applyFont="1" applyFill="1" applyBorder="1" applyAlignment="1">
      <alignment horizontal="left" vertical="center" wrapText="1"/>
    </xf>
    <xf numFmtId="0" fontId="16" fillId="15" borderId="83" xfId="0" applyFont="1" applyFill="1" applyBorder="1"/>
    <xf numFmtId="0" fontId="16" fillId="15" borderId="90" xfId="0" applyFont="1" applyFill="1" applyBorder="1"/>
    <xf numFmtId="0" fontId="6" fillId="2" borderId="89" xfId="0" applyFont="1" applyFill="1" applyBorder="1" applyAlignment="1">
      <alignment horizontal="left" vertical="center" wrapText="1"/>
    </xf>
    <xf numFmtId="0" fontId="22" fillId="41" borderId="54" xfId="0" applyFont="1" applyFill="1" applyBorder="1" applyAlignment="1">
      <alignment horizontal="left"/>
    </xf>
    <xf numFmtId="0" fontId="22" fillId="41" borderId="53" xfId="0" applyFont="1" applyFill="1" applyBorder="1" applyAlignment="1">
      <alignment horizontal="left"/>
    </xf>
    <xf numFmtId="0" fontId="16" fillId="15" borderId="71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8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2" xfId="0" applyFont="1" applyBorder="1" applyAlignment="1">
      <alignment horizontal="center"/>
    </xf>
    <xf numFmtId="0" fontId="3" fillId="15" borderId="110" xfId="10" applyFont="1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4" fillId="15" borderId="111" xfId="10" applyFill="1" applyBorder="1" applyAlignment="1">
      <alignment horizontal="center" vertical="top" wrapText="1"/>
    </xf>
    <xf numFmtId="0" fontId="2" fillId="15" borderId="110" xfId="10" applyFont="1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4" fillId="15" borderId="111" xfId="10" applyFill="1" applyBorder="1" applyAlignment="1">
      <alignment horizontal="left" vertical="top" wrapText="1"/>
    </xf>
    <xf numFmtId="0" fontId="16" fillId="0" borderId="83" xfId="0" applyFont="1" applyBorder="1"/>
    <xf numFmtId="0" fontId="16" fillId="0" borderId="90" xfId="0" applyFont="1" applyBorder="1"/>
    <xf numFmtId="0" fontId="16" fillId="0" borderId="71" xfId="0" applyFont="1" applyBorder="1" applyAlignment="1">
      <alignment horizontal="left"/>
    </xf>
  </cellXfs>
  <cellStyles count="21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6950400</c:v>
                </c:pt>
                <c:pt idx="2">
                  <c:v>7250400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34102350.2707</c:v>
                </c:pt>
                <c:pt idx="2">
                  <c:v>40489462.605900005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33</xdr:row>
      <xdr:rowOff>132789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84605</xdr:colOff>
      <xdr:row>33</xdr:row>
      <xdr:rowOff>121584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I17" sqref="I1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3.6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45">
      <c r="A21" s="1"/>
      <c r="B21" s="1"/>
      <c r="C21" s="3" t="s">
        <v>1</v>
      </c>
      <c r="D21" s="4" t="s">
        <v>170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45">
      <c r="A22" s="1"/>
      <c r="B22" s="1"/>
      <c r="C22" s="3" t="s">
        <v>2</v>
      </c>
      <c r="D22" s="4" t="s">
        <v>172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45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45">
      <c r="A24" s="1"/>
      <c r="B24" s="1"/>
      <c r="C24" s="3" t="s">
        <v>5</v>
      </c>
      <c r="D24" s="4" t="s">
        <v>171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45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45">
      <c r="A26" s="1"/>
      <c r="B26" s="1"/>
      <c r="C26" s="6" t="s">
        <v>8</v>
      </c>
      <c r="D26" s="127" t="s">
        <v>173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D16" sqref="D16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48"/>
      <c r="B1" s="348"/>
      <c r="C1" s="348"/>
      <c r="D1" s="348"/>
      <c r="E1" s="348"/>
      <c r="F1" s="348"/>
      <c r="G1" s="348"/>
      <c r="H1" s="348"/>
      <c r="I1" s="348"/>
      <c r="J1" s="348"/>
      <c r="K1" s="348"/>
      <c r="L1" s="348"/>
      <c r="M1" s="348"/>
      <c r="N1" s="348"/>
      <c r="O1" s="348"/>
      <c r="P1" s="348"/>
      <c r="Q1" s="34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348"/>
      <c r="B2" s="348"/>
      <c r="C2" s="348"/>
      <c r="D2" s="348"/>
      <c r="E2" s="348"/>
      <c r="F2" s="348"/>
      <c r="G2" s="348"/>
      <c r="H2" s="348"/>
      <c r="I2" s="348"/>
      <c r="J2" s="348"/>
      <c r="K2" s="348"/>
      <c r="L2" s="348"/>
      <c r="M2" s="348"/>
      <c r="N2" s="348"/>
      <c r="O2" s="348"/>
      <c r="P2" s="348"/>
      <c r="Q2" s="34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348"/>
      <c r="B3" s="348"/>
      <c r="C3" s="348"/>
      <c r="D3" s="348"/>
      <c r="E3" s="348"/>
      <c r="F3" s="348"/>
      <c r="G3" s="348"/>
      <c r="H3" s="348"/>
      <c r="I3" s="348"/>
      <c r="J3" s="348"/>
      <c r="K3" s="348"/>
      <c r="L3" s="348"/>
      <c r="M3" s="348"/>
      <c r="N3" s="348"/>
      <c r="O3" s="348"/>
      <c r="P3" s="348"/>
      <c r="Q3" s="34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35">
      <c r="A4" s="348"/>
      <c r="B4" s="348"/>
      <c r="C4" s="348"/>
      <c r="D4" s="206" t="s">
        <v>9</v>
      </c>
      <c r="E4" s="348"/>
      <c r="F4" s="348"/>
      <c r="G4" s="348"/>
      <c r="H4" s="348"/>
      <c r="I4" s="348"/>
      <c r="J4" s="348"/>
      <c r="K4" s="348"/>
      <c r="L4" s="348"/>
      <c r="M4" s="348"/>
      <c r="N4" s="348"/>
      <c r="O4" s="348"/>
      <c r="P4" s="348"/>
      <c r="Q4" s="34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348"/>
      <c r="B5" s="348"/>
      <c r="C5" s="348"/>
      <c r="D5" s="348"/>
      <c r="E5" s="348"/>
      <c r="F5" s="348"/>
      <c r="G5" s="348"/>
      <c r="H5" s="348"/>
      <c r="I5" s="348"/>
      <c r="J5" s="348"/>
      <c r="K5" s="348"/>
      <c r="L5" s="348"/>
      <c r="M5" s="348"/>
      <c r="N5" s="348"/>
      <c r="O5" s="348"/>
      <c r="P5" s="348"/>
      <c r="Q5" s="348"/>
      <c r="R5" s="8"/>
      <c r="S5" s="8"/>
      <c r="T5" s="8"/>
      <c r="U5" s="8"/>
      <c r="V5" s="8"/>
      <c r="W5" s="8"/>
      <c r="X5" s="8"/>
      <c r="Y5" s="8"/>
      <c r="Z5" s="8"/>
    </row>
    <row r="6" spans="1:26" ht="18" x14ac:dyDescent="0.25">
      <c r="A6" s="348"/>
      <c r="B6" s="348"/>
      <c r="C6" s="348"/>
      <c r="D6" s="298" t="s">
        <v>10</v>
      </c>
      <c r="E6" s="348"/>
      <c r="F6" s="348"/>
      <c r="G6" s="348"/>
      <c r="H6" s="348"/>
      <c r="I6" s="348"/>
      <c r="J6" s="348"/>
      <c r="K6" s="348"/>
      <c r="L6" s="348"/>
      <c r="M6" s="348"/>
      <c r="N6" s="348"/>
      <c r="O6" s="348"/>
      <c r="P6" s="348"/>
      <c r="Q6" s="348"/>
      <c r="R6" s="8"/>
      <c r="S6" s="8"/>
      <c r="T6" s="8"/>
      <c r="U6" s="8"/>
      <c r="V6" s="8"/>
      <c r="W6" s="8"/>
      <c r="X6" s="8"/>
      <c r="Y6" s="8"/>
      <c r="Z6" s="8"/>
    </row>
    <row r="7" spans="1:26" ht="18" x14ac:dyDescent="0.25">
      <c r="A7" s="348"/>
      <c r="B7" s="348"/>
      <c r="C7" s="348"/>
      <c r="D7" s="311" t="s">
        <v>11</v>
      </c>
      <c r="E7" s="348"/>
      <c r="F7" s="348"/>
      <c r="G7" s="348"/>
      <c r="H7" s="348"/>
      <c r="I7" s="348"/>
      <c r="J7" s="348"/>
      <c r="K7" s="348"/>
      <c r="L7" s="348"/>
      <c r="M7" s="348"/>
      <c r="N7" s="348"/>
      <c r="O7" s="348"/>
      <c r="P7" s="348"/>
      <c r="Q7" s="348"/>
      <c r="R7" s="8"/>
      <c r="S7" s="8"/>
      <c r="T7" s="8"/>
      <c r="U7" s="8"/>
      <c r="V7" s="8"/>
      <c r="W7" s="8"/>
      <c r="X7" s="8"/>
      <c r="Y7" s="8"/>
      <c r="Z7" s="8"/>
    </row>
    <row r="8" spans="1:26" ht="18" x14ac:dyDescent="0.25">
      <c r="A8" s="348"/>
      <c r="B8" s="348"/>
      <c r="C8" s="348"/>
      <c r="D8" s="311" t="s">
        <v>12</v>
      </c>
      <c r="E8" s="348"/>
      <c r="F8" s="348"/>
      <c r="G8" s="348"/>
      <c r="H8" s="348"/>
      <c r="I8" s="348"/>
      <c r="J8" s="348"/>
      <c r="K8" s="348"/>
      <c r="L8" s="348"/>
      <c r="M8" s="348"/>
      <c r="N8" s="348"/>
      <c r="O8" s="348"/>
      <c r="P8" s="348"/>
      <c r="Q8" s="348"/>
      <c r="R8" s="8"/>
      <c r="S8" s="8"/>
      <c r="T8" s="8"/>
      <c r="U8" s="8"/>
      <c r="V8" s="8"/>
      <c r="W8" s="8"/>
      <c r="X8" s="8"/>
      <c r="Y8" s="8"/>
      <c r="Z8" s="8"/>
    </row>
    <row r="9" spans="1:26" ht="18" x14ac:dyDescent="0.25">
      <c r="A9" s="348"/>
      <c r="B9" s="348"/>
      <c r="C9" s="348"/>
      <c r="D9" s="311" t="s">
        <v>13</v>
      </c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8"/>
      <c r="S9" s="8"/>
      <c r="T9" s="8"/>
      <c r="U9" s="8"/>
      <c r="V9" s="8"/>
      <c r="W9" s="8"/>
      <c r="X9" s="8"/>
      <c r="Y9" s="8"/>
      <c r="Z9" s="8"/>
    </row>
    <row r="10" spans="1:26" ht="18" x14ac:dyDescent="0.25">
      <c r="A10" s="348"/>
      <c r="B10" s="348"/>
      <c r="C10" s="348"/>
      <c r="D10" s="321" t="s">
        <v>254</v>
      </c>
      <c r="E10" s="348"/>
      <c r="F10" s="348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8"/>
      <c r="S10" s="8"/>
      <c r="T10" s="8"/>
      <c r="U10" s="8"/>
      <c r="V10" s="8"/>
      <c r="W10" s="8"/>
      <c r="X10" s="8"/>
      <c r="Y10" s="8"/>
      <c r="Z10" s="8"/>
    </row>
    <row r="11" spans="1:26" ht="18" x14ac:dyDescent="0.25">
      <c r="A11" s="348"/>
      <c r="B11" s="348"/>
      <c r="C11" s="348"/>
      <c r="D11" s="311" t="s">
        <v>14</v>
      </c>
      <c r="E11" s="348"/>
      <c r="F11" s="348"/>
      <c r="G11" s="348"/>
      <c r="H11" s="348"/>
      <c r="I11" s="348"/>
      <c r="J11" s="348"/>
      <c r="K11" s="348"/>
      <c r="L11" s="348"/>
      <c r="M11" s="348"/>
      <c r="N11" s="348"/>
      <c r="O11" s="348"/>
      <c r="P11" s="348"/>
      <c r="Q11" s="348"/>
      <c r="R11" s="8"/>
      <c r="S11" s="8"/>
      <c r="T11" s="8"/>
      <c r="U11" s="8"/>
      <c r="V11" s="8"/>
      <c r="W11" s="8"/>
      <c r="X11" s="8"/>
      <c r="Y11" s="8"/>
      <c r="Z11" s="8"/>
    </row>
    <row r="12" spans="1:26" ht="18" x14ac:dyDescent="0.25">
      <c r="A12" s="348"/>
      <c r="B12" s="348"/>
      <c r="C12" s="348"/>
      <c r="D12" s="311" t="s">
        <v>15</v>
      </c>
      <c r="E12" s="348"/>
      <c r="F12" s="348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8"/>
      <c r="R12" s="8"/>
      <c r="S12" s="8"/>
      <c r="T12" s="8"/>
      <c r="U12" s="8"/>
      <c r="V12" s="8"/>
      <c r="W12" s="8"/>
      <c r="X12" s="8"/>
      <c r="Y12" s="8"/>
      <c r="Z12" s="8"/>
    </row>
    <row r="13" spans="1:26" ht="18" x14ac:dyDescent="0.25">
      <c r="A13" s="348"/>
      <c r="B13" s="348"/>
      <c r="C13" s="348"/>
      <c r="D13" s="311" t="s">
        <v>16</v>
      </c>
      <c r="E13" s="348"/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8"/>
      <c r="R13" s="8"/>
      <c r="S13" s="8"/>
      <c r="T13" s="8"/>
      <c r="U13" s="8"/>
      <c r="V13" s="8"/>
      <c r="W13" s="8"/>
      <c r="X13" s="8"/>
      <c r="Y13" s="8"/>
      <c r="Z13" s="8"/>
    </row>
    <row r="14" spans="1:26" ht="18" x14ac:dyDescent="0.25">
      <c r="A14" s="348"/>
      <c r="B14" s="348"/>
      <c r="C14" s="348"/>
      <c r="D14" s="311" t="s">
        <v>17</v>
      </c>
      <c r="E14" s="348"/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8"/>
      <c r="R14" s="8"/>
      <c r="S14" s="8"/>
      <c r="T14" s="8"/>
      <c r="U14" s="8"/>
      <c r="V14" s="8"/>
      <c r="W14" s="8"/>
      <c r="X14" s="8"/>
      <c r="Y14" s="8"/>
      <c r="Z14" s="8"/>
    </row>
    <row r="15" spans="1:26" ht="18" x14ac:dyDescent="0.25">
      <c r="A15" s="348"/>
      <c r="B15" s="348"/>
      <c r="C15" s="348"/>
      <c r="D15" s="311" t="s">
        <v>18</v>
      </c>
      <c r="E15" s="348"/>
      <c r="F15" s="348"/>
      <c r="G15" s="348"/>
      <c r="H15" s="348"/>
      <c r="I15" s="348"/>
      <c r="J15" s="348"/>
      <c r="K15" s="348"/>
      <c r="L15" s="348"/>
      <c r="M15" s="348"/>
      <c r="N15" s="348"/>
      <c r="O15" s="348"/>
      <c r="P15" s="348"/>
      <c r="Q15" s="348"/>
      <c r="R15" s="8"/>
      <c r="S15" s="8"/>
      <c r="T15" s="8"/>
      <c r="U15" s="8"/>
      <c r="V15" s="8"/>
      <c r="W15" s="8"/>
      <c r="X15" s="8"/>
      <c r="Y15" s="8"/>
      <c r="Z15" s="8"/>
    </row>
    <row r="16" spans="1:26" ht="18" x14ac:dyDescent="0.25">
      <c r="A16" s="348"/>
      <c r="B16" s="348"/>
      <c r="C16" s="348"/>
      <c r="D16" s="311" t="s">
        <v>19</v>
      </c>
      <c r="E16" s="348"/>
      <c r="F16" s="348"/>
      <c r="G16" s="348"/>
      <c r="H16" s="348"/>
      <c r="I16" s="348"/>
      <c r="J16" s="348"/>
      <c r="K16" s="348"/>
      <c r="L16" s="348"/>
      <c r="M16" s="348"/>
      <c r="N16" s="348"/>
      <c r="O16" s="348"/>
      <c r="P16" s="348"/>
      <c r="Q16" s="348"/>
      <c r="R16" s="8"/>
      <c r="S16" s="8"/>
      <c r="T16" s="8"/>
      <c r="U16" s="8"/>
      <c r="V16" s="8"/>
      <c r="W16" s="8"/>
      <c r="X16" s="8"/>
      <c r="Y16" s="8"/>
      <c r="Z16" s="8"/>
    </row>
    <row r="17" spans="1:26" ht="18" x14ac:dyDescent="0.25">
      <c r="A17" s="348"/>
      <c r="B17" s="348"/>
      <c r="C17" s="348"/>
      <c r="D17" s="311" t="s">
        <v>20</v>
      </c>
      <c r="E17" s="348"/>
      <c r="F17" s="348"/>
      <c r="G17" s="348"/>
      <c r="H17" s="348"/>
      <c r="I17" s="348"/>
      <c r="J17" s="348"/>
      <c r="K17" s="348"/>
      <c r="L17" s="348"/>
      <c r="M17" s="348"/>
      <c r="N17" s="348"/>
      <c r="O17" s="348"/>
      <c r="P17" s="348"/>
      <c r="Q17" s="348"/>
      <c r="R17" s="8"/>
      <c r="S17" s="8"/>
      <c r="T17" s="8"/>
      <c r="U17" s="8"/>
      <c r="V17" s="8"/>
      <c r="W17" s="8"/>
      <c r="X17" s="8"/>
      <c r="Y17" s="8"/>
      <c r="Z17" s="8"/>
    </row>
    <row r="18" spans="1:26" ht="18" x14ac:dyDescent="0.25">
      <c r="A18" s="348"/>
      <c r="B18" s="348"/>
      <c r="C18" s="348"/>
      <c r="D18" s="311" t="s">
        <v>21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8"/>
      <c r="S18" s="8"/>
      <c r="T18" s="8"/>
      <c r="U18" s="8"/>
      <c r="V18" s="8"/>
      <c r="W18" s="8"/>
      <c r="X18" s="8"/>
      <c r="Y18" s="8"/>
      <c r="Z18" s="8"/>
    </row>
    <row r="19" spans="1:26" ht="18" x14ac:dyDescent="0.25">
      <c r="A19" s="348"/>
      <c r="B19" s="348"/>
      <c r="C19" s="348"/>
      <c r="D19" s="311" t="s">
        <v>22</v>
      </c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8"/>
      <c r="S19" s="8"/>
      <c r="T19" s="8"/>
      <c r="U19" s="8"/>
      <c r="V19" s="8"/>
      <c r="W19" s="8"/>
      <c r="X19" s="8"/>
      <c r="Y19" s="8"/>
      <c r="Z19" s="8"/>
    </row>
    <row r="20" spans="1:26" ht="18" x14ac:dyDescent="0.25">
      <c r="A20" s="348"/>
      <c r="B20" s="348"/>
      <c r="C20" s="348"/>
      <c r="D20" s="312" t="s">
        <v>23</v>
      </c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25">
      <c r="A21" s="348"/>
      <c r="B21" s="348"/>
      <c r="C21" s="348"/>
      <c r="D21" s="348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5">
      <c r="A22" s="348"/>
      <c r="B22" s="348"/>
      <c r="C22" s="348"/>
      <c r="D22" s="348"/>
      <c r="E22" s="348"/>
      <c r="F22" s="348"/>
      <c r="G22" s="348"/>
      <c r="H22" s="348"/>
      <c r="I22" s="348"/>
      <c r="J22" s="348"/>
      <c r="K22" s="348"/>
      <c r="L22" s="348"/>
      <c r="M22" s="348"/>
      <c r="N22" s="348"/>
      <c r="O22" s="348"/>
      <c r="P22" s="348"/>
      <c r="Q22" s="34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5">
      <c r="A23" s="348"/>
      <c r="B23" s="348"/>
      <c r="C23" s="348"/>
      <c r="D23" s="348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8"/>
      <c r="P23" s="348"/>
      <c r="Q23" s="34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5">
      <c r="A24" s="348"/>
      <c r="B24" s="348"/>
      <c r="C24" s="348"/>
      <c r="D24" s="348"/>
      <c r="E24" s="348"/>
      <c r="F24" s="348"/>
      <c r="G24" s="348"/>
      <c r="H24" s="348"/>
      <c r="I24" s="348"/>
      <c r="J24" s="348"/>
      <c r="K24" s="348"/>
      <c r="L24" s="348"/>
      <c r="M24" s="348"/>
      <c r="N24" s="348"/>
      <c r="O24" s="348"/>
      <c r="P24" s="348"/>
      <c r="Q24" s="34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5">
      <c r="A25" s="348"/>
      <c r="B25" s="348"/>
      <c r="C25" s="348"/>
      <c r="D25" s="348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5">
      <c r="A26" s="348"/>
      <c r="B26" s="348"/>
      <c r="C26" s="348"/>
      <c r="D26" s="348"/>
      <c r="E26" s="348"/>
      <c r="F26" s="348"/>
      <c r="G26" s="348"/>
      <c r="H26" s="348"/>
      <c r="I26" s="348"/>
      <c r="J26" s="348"/>
      <c r="K26" s="348"/>
      <c r="L26" s="348"/>
      <c r="M26" s="348"/>
      <c r="N26" s="348"/>
      <c r="O26" s="348"/>
      <c r="P26" s="348"/>
      <c r="Q26" s="34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5">
      <c r="A27" s="348"/>
      <c r="B27" s="348"/>
      <c r="C27" s="348"/>
      <c r="D27" s="348"/>
      <c r="E27" s="348"/>
      <c r="F27" s="348"/>
      <c r="G27" s="348"/>
      <c r="H27" s="348"/>
      <c r="I27" s="348"/>
      <c r="J27" s="348"/>
      <c r="K27" s="348"/>
      <c r="L27" s="348"/>
      <c r="M27" s="348"/>
      <c r="N27" s="348"/>
      <c r="O27" s="348"/>
      <c r="P27" s="348"/>
      <c r="Q27" s="34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5">
      <c r="A28" s="348"/>
      <c r="B28" s="348"/>
      <c r="C28" s="348"/>
      <c r="D28" s="348"/>
      <c r="E28" s="348"/>
      <c r="F28" s="348"/>
      <c r="G28" s="348"/>
      <c r="H28" s="348"/>
      <c r="I28" s="348"/>
      <c r="J28" s="348"/>
      <c r="K28" s="348"/>
      <c r="L28" s="348"/>
      <c r="M28" s="348"/>
      <c r="N28" s="348"/>
      <c r="O28" s="348"/>
      <c r="P28" s="348"/>
      <c r="Q28" s="34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5">
      <c r="A29" s="348"/>
      <c r="B29" s="348"/>
      <c r="C29" s="348"/>
      <c r="D29" s="348"/>
      <c r="E29" s="348"/>
      <c r="F29" s="348"/>
      <c r="G29" s="348"/>
      <c r="H29" s="348"/>
      <c r="I29" s="348"/>
      <c r="J29" s="348"/>
      <c r="K29" s="348"/>
      <c r="L29" s="348"/>
      <c r="M29" s="348"/>
      <c r="N29" s="348"/>
      <c r="O29" s="348"/>
      <c r="P29" s="348"/>
      <c r="Q29" s="34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5">
      <c r="A30" s="348"/>
      <c r="B30" s="348"/>
      <c r="C30" s="348"/>
      <c r="D30" s="348"/>
      <c r="E30" s="348"/>
      <c r="F30" s="348"/>
      <c r="G30" s="348"/>
      <c r="H30" s="348"/>
      <c r="I30" s="348"/>
      <c r="J30" s="348"/>
      <c r="K30" s="348"/>
      <c r="L30" s="348"/>
      <c r="M30" s="348"/>
      <c r="N30" s="348"/>
      <c r="O30" s="348"/>
      <c r="P30" s="348"/>
      <c r="Q30" s="34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5">
      <c r="A31" s="348"/>
      <c r="B31" s="348"/>
      <c r="C31" s="348"/>
      <c r="D31" s="348"/>
      <c r="E31" s="348"/>
      <c r="F31" s="348"/>
      <c r="G31" s="348"/>
      <c r="H31" s="348"/>
      <c r="I31" s="348"/>
      <c r="J31" s="348"/>
      <c r="K31" s="348"/>
      <c r="L31" s="348"/>
      <c r="M31" s="348"/>
      <c r="N31" s="348"/>
      <c r="O31" s="348"/>
      <c r="P31" s="348"/>
      <c r="Q31" s="34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5">
      <c r="A32" s="348"/>
      <c r="B32" s="348"/>
      <c r="C32" s="348"/>
      <c r="D32" s="348"/>
      <c r="E32" s="348"/>
      <c r="F32" s="348"/>
      <c r="G32" s="348"/>
      <c r="H32" s="348"/>
      <c r="I32" s="348"/>
      <c r="J32" s="348"/>
      <c r="K32" s="348"/>
      <c r="L32" s="348"/>
      <c r="M32" s="348"/>
      <c r="N32" s="348"/>
      <c r="O32" s="348"/>
      <c r="P32" s="348"/>
      <c r="Q32" s="34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5">
      <c r="A33" s="348"/>
      <c r="B33" s="348"/>
      <c r="C33" s="348"/>
      <c r="D33" s="348"/>
      <c r="E33" s="348"/>
      <c r="F33" s="348"/>
      <c r="G33" s="348"/>
      <c r="H33" s="348"/>
      <c r="I33" s="348"/>
      <c r="J33" s="348"/>
      <c r="K33" s="348"/>
      <c r="L33" s="348"/>
      <c r="M33" s="348"/>
      <c r="N33" s="348"/>
      <c r="O33" s="348"/>
      <c r="P33" s="348"/>
      <c r="Q33" s="34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5">
      <c r="A34" s="348"/>
      <c r="B34" s="348"/>
      <c r="C34" s="348"/>
      <c r="D34" s="348"/>
      <c r="E34" s="348"/>
      <c r="F34" s="348"/>
      <c r="G34" s="348"/>
      <c r="H34" s="348"/>
      <c r="I34" s="348"/>
      <c r="J34" s="348"/>
      <c r="K34" s="348"/>
      <c r="L34" s="348"/>
      <c r="M34" s="348"/>
      <c r="N34" s="348"/>
      <c r="O34" s="348"/>
      <c r="P34" s="348"/>
      <c r="Q34" s="34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5">
      <c r="A35" s="348"/>
      <c r="B35" s="348"/>
      <c r="C35" s="348"/>
      <c r="D35" s="348"/>
      <c r="E35" s="348"/>
      <c r="F35" s="348"/>
      <c r="G35" s="348"/>
      <c r="H35" s="348"/>
      <c r="I35" s="348"/>
      <c r="J35" s="348"/>
      <c r="K35" s="348"/>
      <c r="L35" s="348"/>
      <c r="M35" s="348"/>
      <c r="N35" s="348"/>
      <c r="O35" s="348"/>
      <c r="P35" s="348"/>
      <c r="Q35" s="34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5">
      <c r="A36" s="348"/>
      <c r="B36" s="348"/>
      <c r="C36" s="348"/>
      <c r="D36" s="348"/>
      <c r="E36" s="348"/>
      <c r="F36" s="348"/>
      <c r="G36" s="348"/>
      <c r="H36" s="348"/>
      <c r="I36" s="348"/>
      <c r="J36" s="348"/>
      <c r="K36" s="348"/>
      <c r="L36" s="348"/>
      <c r="M36" s="348"/>
      <c r="N36" s="348"/>
      <c r="O36" s="348"/>
      <c r="P36" s="348"/>
      <c r="Q36" s="34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5">
      <c r="A37" s="348"/>
      <c r="B37" s="348"/>
      <c r="C37" s="348"/>
      <c r="D37" s="348"/>
      <c r="E37" s="348"/>
      <c r="F37" s="348"/>
      <c r="G37" s="348"/>
      <c r="H37" s="348"/>
      <c r="I37" s="348"/>
      <c r="J37" s="348"/>
      <c r="K37" s="348"/>
      <c r="L37" s="348"/>
      <c r="M37" s="348"/>
      <c r="N37" s="348"/>
      <c r="O37" s="348"/>
      <c r="P37" s="348"/>
      <c r="Q37" s="34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5">
      <c r="A38" s="348"/>
      <c r="B38" s="348"/>
      <c r="C38" s="348"/>
      <c r="D38" s="348"/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348"/>
      <c r="Q38" s="34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5">
      <c r="A39" s="348"/>
      <c r="B39" s="348"/>
      <c r="C39" s="348"/>
      <c r="D39" s="348"/>
      <c r="E39" s="348"/>
      <c r="F39" s="348"/>
      <c r="G39" s="348"/>
      <c r="H39" s="348"/>
      <c r="I39" s="348"/>
      <c r="J39" s="348"/>
      <c r="K39" s="348"/>
      <c r="L39" s="348"/>
      <c r="M39" s="348"/>
      <c r="N39" s="348"/>
      <c r="O39" s="348"/>
      <c r="P39" s="348"/>
      <c r="Q39" s="34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5">
      <c r="A40" s="348"/>
      <c r="B40" s="348"/>
      <c r="C40" s="348"/>
      <c r="D40" s="348"/>
      <c r="E40" s="348"/>
      <c r="F40" s="348"/>
      <c r="G40" s="348"/>
      <c r="H40" s="348"/>
      <c r="I40" s="348"/>
      <c r="J40" s="348"/>
      <c r="K40" s="348"/>
      <c r="L40" s="348"/>
      <c r="M40" s="348"/>
      <c r="N40" s="348"/>
      <c r="O40" s="348"/>
      <c r="P40" s="348"/>
      <c r="Q40" s="34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5">
      <c r="A41" s="348"/>
      <c r="B41" s="348"/>
      <c r="C41" s="348"/>
      <c r="D41" s="348"/>
      <c r="E41" s="348"/>
      <c r="F41" s="348"/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5">
      <c r="A42" s="348"/>
      <c r="B42" s="348"/>
      <c r="C42" s="348"/>
      <c r="D42" s="348"/>
      <c r="E42" s="348"/>
      <c r="F42" s="348"/>
      <c r="G42" s="348"/>
      <c r="H42" s="348"/>
      <c r="I42" s="348"/>
      <c r="J42" s="348"/>
      <c r="K42" s="348"/>
      <c r="L42" s="348"/>
      <c r="M42" s="348"/>
      <c r="N42" s="348"/>
      <c r="O42" s="348"/>
      <c r="P42" s="348"/>
      <c r="Q42" s="34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8" activePane="bottomLeft" state="frozen"/>
      <selection pane="bottomLeft" activeCell="D20" sqref="D20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67"/>
      <c r="B1" s="167"/>
      <c r="C1" s="167"/>
      <c r="D1" s="167"/>
      <c r="E1" s="203" t="s">
        <v>10</v>
      </c>
      <c r="F1" s="204"/>
      <c r="G1" s="167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9"/>
      <c r="T1" s="9"/>
      <c r="U1" s="9"/>
      <c r="V1" s="9"/>
      <c r="W1" s="9"/>
      <c r="X1" s="9"/>
      <c r="Y1" s="9"/>
      <c r="Z1" s="9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72" t="s">
        <v>24</v>
      </c>
      <c r="C3" s="373"/>
      <c r="D3" s="373"/>
      <c r="E3" s="373"/>
      <c r="F3" s="373"/>
      <c r="G3" s="373"/>
      <c r="H3" s="373"/>
      <c r="I3" s="37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75" t="s">
        <v>266</v>
      </c>
      <c r="C4" s="376"/>
      <c r="D4" s="376"/>
      <c r="E4" s="376"/>
      <c r="F4" s="376"/>
      <c r="G4" s="376"/>
      <c r="H4" s="376"/>
      <c r="I4" s="377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72" t="s">
        <v>25</v>
      </c>
      <c r="C7" s="373"/>
      <c r="D7" s="373"/>
      <c r="E7" s="373"/>
      <c r="F7" s="373"/>
      <c r="G7" s="373"/>
      <c r="H7" s="373"/>
      <c r="I7" s="374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78" t="s">
        <v>272</v>
      </c>
      <c r="C8" s="379"/>
      <c r="D8" s="379"/>
      <c r="E8" s="379"/>
      <c r="F8" s="379"/>
      <c r="G8" s="379"/>
      <c r="H8" s="379"/>
      <c r="I8" s="380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107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107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40"/>
      <c r="B11" s="136" t="s">
        <v>176</v>
      </c>
      <c r="C11" s="136" t="s">
        <v>174</v>
      </c>
      <c r="D11" s="136" t="s">
        <v>175</v>
      </c>
      <c r="E11" s="136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40"/>
      <c r="B12" s="137">
        <v>650</v>
      </c>
      <c r="C12" s="138">
        <v>100000</v>
      </c>
      <c r="D12" s="138">
        <f>C12*12</f>
        <v>1200000</v>
      </c>
      <c r="E12" s="139">
        <f>B12*D12</f>
        <v>780000000</v>
      </c>
      <c r="F12" s="131"/>
      <c r="G12" s="131"/>
      <c r="H12" s="131"/>
      <c r="I12" s="131"/>
      <c r="J12" s="131"/>
      <c r="K12" s="107"/>
      <c r="L12" s="107"/>
      <c r="M12" s="107"/>
      <c r="N12" s="107"/>
      <c r="O12" s="132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21" customHeight="1" x14ac:dyDescent="0.25">
      <c r="A13" s="107"/>
      <c r="B13" s="133"/>
      <c r="C13" s="134"/>
      <c r="D13" s="135"/>
      <c r="E13" s="131"/>
      <c r="F13" s="131"/>
      <c r="G13" s="131"/>
      <c r="H13" s="131"/>
      <c r="I13" s="131"/>
      <c r="J13" s="107"/>
      <c r="K13" s="107"/>
      <c r="L13" s="107"/>
      <c r="M13" s="107"/>
      <c r="N13" s="132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7" ht="12" customHeight="1" x14ac:dyDescent="0.25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81" t="s">
        <v>26</v>
      </c>
      <c r="C16" s="382"/>
      <c r="D16" s="382"/>
      <c r="E16" s="382"/>
      <c r="F16" s="382"/>
      <c r="G16" s="382"/>
      <c r="H16" s="382"/>
      <c r="I16" s="383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84" t="s">
        <v>277</v>
      </c>
      <c r="C17" s="385"/>
      <c r="D17" s="385"/>
      <c r="E17" s="385"/>
      <c r="F17" s="385"/>
      <c r="G17" s="385"/>
      <c r="H17" s="385"/>
      <c r="I17" s="386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87" t="s">
        <v>27</v>
      </c>
      <c r="C23" s="388"/>
      <c r="D23" s="389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29" t="s">
        <v>28</v>
      </c>
      <c r="C24" s="129" t="s">
        <v>29</v>
      </c>
      <c r="D24" s="130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90" t="s">
        <v>31</v>
      </c>
      <c r="C35" s="391"/>
      <c r="D35" s="391"/>
      <c r="E35" s="39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41" t="s">
        <v>32</v>
      </c>
      <c r="C36" s="142" t="s">
        <v>33</v>
      </c>
      <c r="D36" s="393" t="s">
        <v>34</v>
      </c>
      <c r="E36" s="394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55" t="s">
        <v>177</v>
      </c>
      <c r="C37" s="202">
        <v>90000</v>
      </c>
      <c r="D37" s="395" t="s">
        <v>225</v>
      </c>
      <c r="E37" s="396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43" t="s">
        <v>178</v>
      </c>
      <c r="C38" s="144">
        <v>100000</v>
      </c>
      <c r="D38" s="397" t="s">
        <v>224</v>
      </c>
      <c r="E38" s="398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45" t="s">
        <v>35</v>
      </c>
      <c r="C39" s="146">
        <v>110000</v>
      </c>
      <c r="D39" s="370" t="s">
        <v>226</v>
      </c>
      <c r="E39" s="37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AB26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47"/>
      <c r="B1" s="148"/>
      <c r="C1" s="453" t="s">
        <v>11</v>
      </c>
      <c r="D1" s="454"/>
      <c r="E1" s="454"/>
      <c r="F1" s="455"/>
      <c r="G1" s="147"/>
      <c r="H1" s="147"/>
      <c r="I1" s="149"/>
      <c r="J1" s="149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34" t="s">
        <v>36</v>
      </c>
      <c r="C5" s="335"/>
      <c r="D5" s="335"/>
      <c r="E5" s="335"/>
      <c r="F5" s="335"/>
      <c r="G5" s="336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22"/>
      <c r="B6" s="487" t="s">
        <v>202</v>
      </c>
      <c r="C6" s="488"/>
      <c r="D6" s="488"/>
      <c r="E6" s="488"/>
      <c r="F6" s="488"/>
      <c r="G6" s="489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22"/>
      <c r="B7" s="490"/>
      <c r="C7" s="491"/>
      <c r="D7" s="491"/>
      <c r="E7" s="491"/>
      <c r="F7" s="491"/>
      <c r="G7" s="492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22"/>
      <c r="B8" s="490"/>
      <c r="C8" s="491"/>
      <c r="D8" s="491"/>
      <c r="E8" s="491"/>
      <c r="F8" s="491"/>
      <c r="G8" s="492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490"/>
      <c r="C9" s="491"/>
      <c r="D9" s="491"/>
      <c r="E9" s="491"/>
      <c r="F9" s="491"/>
      <c r="G9" s="492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490"/>
      <c r="C10" s="491"/>
      <c r="D10" s="491"/>
      <c r="E10" s="491"/>
      <c r="F10" s="491"/>
      <c r="G10" s="492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490"/>
      <c r="C11" s="491"/>
      <c r="D11" s="491"/>
      <c r="E11" s="491"/>
      <c r="F11" s="491"/>
      <c r="G11" s="492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493"/>
      <c r="C12" s="494"/>
      <c r="D12" s="494"/>
      <c r="E12" s="494"/>
      <c r="F12" s="494"/>
      <c r="G12" s="495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14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56" t="s">
        <v>67</v>
      </c>
      <c r="B15" s="457"/>
      <c r="C15" s="457"/>
      <c r="D15" s="457"/>
      <c r="E15" s="457"/>
      <c r="F15" s="457"/>
      <c r="G15" s="457"/>
      <c r="H15" s="457"/>
      <c r="I15" s="457"/>
      <c r="J15" s="457"/>
      <c r="K15" s="457"/>
      <c r="L15" s="457"/>
      <c r="M15" s="457"/>
      <c r="N15" s="457"/>
      <c r="O15" s="457"/>
      <c r="P15" s="457"/>
      <c r="Q15" s="457"/>
      <c r="R15" s="457"/>
      <c r="S15" s="457"/>
      <c r="T15" s="457"/>
      <c r="U15" s="457"/>
      <c r="V15" s="457"/>
      <c r="W15" s="457"/>
      <c r="X15" s="457"/>
      <c r="Y15" s="457"/>
      <c r="Z15" s="457"/>
      <c r="AA15" s="457"/>
      <c r="AB15" s="457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58" t="s">
        <v>179</v>
      </c>
      <c r="B16" s="458" t="s">
        <v>33</v>
      </c>
      <c r="C16" s="421" t="s">
        <v>38</v>
      </c>
      <c r="D16" s="434"/>
      <c r="E16" s="459" t="s">
        <v>39</v>
      </c>
      <c r="F16" s="434"/>
      <c r="G16" s="459" t="s">
        <v>40</v>
      </c>
      <c r="H16" s="434"/>
      <c r="I16" s="459" t="s">
        <v>41</v>
      </c>
      <c r="J16" s="434"/>
      <c r="K16" s="459" t="s">
        <v>42</v>
      </c>
      <c r="L16" s="434"/>
      <c r="M16" s="459" t="s">
        <v>43</v>
      </c>
      <c r="N16" s="434"/>
      <c r="O16" s="459" t="s">
        <v>44</v>
      </c>
      <c r="P16" s="434"/>
      <c r="Q16" s="459" t="s">
        <v>45</v>
      </c>
      <c r="R16" s="434"/>
      <c r="S16" s="459" t="s">
        <v>46</v>
      </c>
      <c r="T16" s="434"/>
      <c r="U16" s="459" t="s">
        <v>47</v>
      </c>
      <c r="V16" s="434"/>
      <c r="W16" s="459" t="s">
        <v>48</v>
      </c>
      <c r="X16" s="434"/>
      <c r="Y16" s="459" t="s">
        <v>49</v>
      </c>
      <c r="Z16" s="434"/>
      <c r="AA16" s="459" t="s">
        <v>50</v>
      </c>
      <c r="AB16" s="434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57"/>
      <c r="B17" s="457"/>
      <c r="C17" s="421" t="s">
        <v>52</v>
      </c>
      <c r="D17" s="421" t="s">
        <v>51</v>
      </c>
      <c r="E17" s="418">
        <v>0.05</v>
      </c>
      <c r="F17" s="434"/>
      <c r="G17" s="418">
        <v>0.05</v>
      </c>
      <c r="H17" s="418"/>
      <c r="I17" s="418">
        <v>0.05</v>
      </c>
      <c r="J17" s="434"/>
      <c r="K17" s="418">
        <v>7.0000000000000007E-2</v>
      </c>
      <c r="L17" s="418"/>
      <c r="M17" s="418">
        <v>0.1</v>
      </c>
      <c r="N17" s="434"/>
      <c r="O17" s="418">
        <v>0.15</v>
      </c>
      <c r="P17" s="418"/>
      <c r="Q17" s="418">
        <v>7.0000000000000007E-2</v>
      </c>
      <c r="R17" s="434"/>
      <c r="S17" s="418">
        <v>7.0000000000000007E-2</v>
      </c>
      <c r="T17" s="418"/>
      <c r="U17" s="418">
        <v>7.0000000000000007E-2</v>
      </c>
      <c r="V17" s="434"/>
      <c r="W17" s="418">
        <v>7.0000000000000007E-2</v>
      </c>
      <c r="X17" s="418"/>
      <c r="Y17" s="418">
        <v>0.1</v>
      </c>
      <c r="Z17" s="434"/>
      <c r="AA17" s="418">
        <v>0.15</v>
      </c>
      <c r="AB17" s="418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57"/>
      <c r="B18" s="457"/>
      <c r="C18" s="434"/>
      <c r="D18" s="434"/>
      <c r="E18" s="172" t="s">
        <v>52</v>
      </c>
      <c r="F18" s="172" t="s">
        <v>51</v>
      </c>
      <c r="G18" s="172" t="s">
        <v>52</v>
      </c>
      <c r="H18" s="172" t="s">
        <v>51</v>
      </c>
      <c r="I18" s="172" t="s">
        <v>52</v>
      </c>
      <c r="J18" s="172" t="s">
        <v>51</v>
      </c>
      <c r="K18" s="172" t="s">
        <v>52</v>
      </c>
      <c r="L18" s="172" t="s">
        <v>51</v>
      </c>
      <c r="M18" s="172" t="s">
        <v>52</v>
      </c>
      <c r="N18" s="172" t="s">
        <v>51</v>
      </c>
      <c r="O18" s="172" t="s">
        <v>52</v>
      </c>
      <c r="P18" s="172" t="s">
        <v>51</v>
      </c>
      <c r="Q18" s="172" t="s">
        <v>52</v>
      </c>
      <c r="R18" s="172" t="s">
        <v>51</v>
      </c>
      <c r="S18" s="172" t="s">
        <v>52</v>
      </c>
      <c r="T18" s="172" t="s">
        <v>51</v>
      </c>
      <c r="U18" s="172" t="s">
        <v>52</v>
      </c>
      <c r="V18" s="172" t="s">
        <v>51</v>
      </c>
      <c r="W18" s="172" t="s">
        <v>52</v>
      </c>
      <c r="X18" s="172" t="s">
        <v>51</v>
      </c>
      <c r="Y18" s="172" t="s">
        <v>52</v>
      </c>
      <c r="Z18" s="172" t="s">
        <v>51</v>
      </c>
      <c r="AA18" s="172" t="s">
        <v>52</v>
      </c>
      <c r="AB18" s="172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36" t="str">
        <f>Hipótesis!B37</f>
        <v>Inicial</v>
      </c>
      <c r="B19" s="237">
        <f>Hipótesis!C37</f>
        <v>90000</v>
      </c>
      <c r="C19" s="208">
        <f>E19+G19+I19+K19+M19+O19+Q19+S19+U19+W19+Y19+AA19</f>
        <v>9</v>
      </c>
      <c r="D19" s="207">
        <f>B19*C19</f>
        <v>810000</v>
      </c>
      <c r="E19" s="209">
        <v>0</v>
      </c>
      <c r="F19" s="207">
        <f>B19*E19</f>
        <v>0</v>
      </c>
      <c r="G19" s="209">
        <v>0</v>
      </c>
      <c r="H19" s="207">
        <f>B19*G19</f>
        <v>0</v>
      </c>
      <c r="I19" s="209">
        <v>0</v>
      </c>
      <c r="J19" s="207">
        <f>B19*I19</f>
        <v>0</v>
      </c>
      <c r="K19" s="209">
        <v>1</v>
      </c>
      <c r="L19" s="207">
        <f>K19*B19</f>
        <v>90000</v>
      </c>
      <c r="M19" s="209">
        <v>1</v>
      </c>
      <c r="N19" s="207">
        <f>M19*B19</f>
        <v>90000</v>
      </c>
      <c r="O19" s="209">
        <v>1</v>
      </c>
      <c r="P19" s="207">
        <f>O19*B19</f>
        <v>90000</v>
      </c>
      <c r="Q19" s="209">
        <v>1</v>
      </c>
      <c r="R19" s="207">
        <f t="shared" ref="R19:R21" si="0">N19*Q19</f>
        <v>90000</v>
      </c>
      <c r="S19" s="209">
        <v>1</v>
      </c>
      <c r="T19" s="207">
        <f>S19*B19</f>
        <v>90000</v>
      </c>
      <c r="U19" s="209">
        <v>1</v>
      </c>
      <c r="V19" s="207">
        <f t="shared" ref="V19:V21" si="1">R19*U19</f>
        <v>90000</v>
      </c>
      <c r="W19" s="209">
        <v>1</v>
      </c>
      <c r="X19" s="207">
        <f t="shared" ref="X19:X21" si="2">R19*W19</f>
        <v>90000</v>
      </c>
      <c r="Y19" s="209">
        <v>1</v>
      </c>
      <c r="Z19" s="207">
        <f t="shared" ref="Z19" si="3">V19*Y19</f>
        <v>90000</v>
      </c>
      <c r="AA19" s="209">
        <v>1</v>
      </c>
      <c r="AB19" s="207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38" t="str">
        <f>Hipótesis!B38</f>
        <v>Normal</v>
      </c>
      <c r="B20" s="239">
        <f>Hipótesis!C38</f>
        <v>100000</v>
      </c>
      <c r="C20" s="211">
        <f>E20+G20+I20+K20+M20+O20+Q20+S20+U20+W20+Y20+AA20</f>
        <v>18</v>
      </c>
      <c r="D20" s="210">
        <f t="shared" ref="D20:D21" si="4">B20*C20</f>
        <v>1800000</v>
      </c>
      <c r="E20" s="211">
        <v>1</v>
      </c>
      <c r="F20" s="212">
        <f t="shared" ref="F20:F21" si="5">B20*E20</f>
        <v>100000</v>
      </c>
      <c r="G20" s="211">
        <v>1</v>
      </c>
      <c r="H20" s="212">
        <f t="shared" ref="H20:H21" si="6">B20*G20</f>
        <v>100000</v>
      </c>
      <c r="I20" s="211">
        <v>1</v>
      </c>
      <c r="J20" s="212">
        <f>I20*$B$20</f>
        <v>100000</v>
      </c>
      <c r="K20" s="211">
        <v>1</v>
      </c>
      <c r="L20" s="212">
        <f>K20*$B$20</f>
        <v>100000</v>
      </c>
      <c r="M20" s="211">
        <v>2</v>
      </c>
      <c r="N20" s="212">
        <f t="shared" ref="N20:N21" si="7">J20*M20</f>
        <v>200000</v>
      </c>
      <c r="O20" s="211">
        <v>3</v>
      </c>
      <c r="P20" s="212">
        <f t="shared" ref="P20:P21" si="8">J20*O20</f>
        <v>300000</v>
      </c>
      <c r="Q20" s="211">
        <v>1</v>
      </c>
      <c r="R20" s="212">
        <f>Q20*B20</f>
        <v>100000</v>
      </c>
      <c r="S20" s="211">
        <v>1</v>
      </c>
      <c r="T20" s="212">
        <f>B20*S20</f>
        <v>100000</v>
      </c>
      <c r="U20" s="211">
        <v>1</v>
      </c>
      <c r="V20" s="212">
        <f t="shared" si="1"/>
        <v>100000</v>
      </c>
      <c r="W20" s="211">
        <v>1</v>
      </c>
      <c r="X20" s="212">
        <f t="shared" si="2"/>
        <v>100000</v>
      </c>
      <c r="Y20" s="211">
        <v>2</v>
      </c>
      <c r="Z20" s="212">
        <f>$B$20*Y20</f>
        <v>200000</v>
      </c>
      <c r="AA20" s="211">
        <v>3</v>
      </c>
      <c r="AB20" s="212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40" t="str">
        <f>Hipótesis!B39</f>
        <v>Premium</v>
      </c>
      <c r="B21" s="241">
        <f>Hipótesis!C39</f>
        <v>110000</v>
      </c>
      <c r="C21" s="214">
        <f>E21+G21+I21+K21+M21+O21+Q21+S21+U21+W21+Y21+AA21</f>
        <v>14</v>
      </c>
      <c r="D21" s="213">
        <f t="shared" si="4"/>
        <v>1540000</v>
      </c>
      <c r="E21" s="215">
        <v>1</v>
      </c>
      <c r="F21" s="216">
        <f t="shared" si="5"/>
        <v>110000</v>
      </c>
      <c r="G21" s="215">
        <v>1</v>
      </c>
      <c r="H21" s="216">
        <f t="shared" si="6"/>
        <v>110000</v>
      </c>
      <c r="I21" s="215">
        <v>1</v>
      </c>
      <c r="J21" s="216">
        <f t="shared" ref="J21" si="9">F21*I21</f>
        <v>110000</v>
      </c>
      <c r="K21" s="215">
        <v>1</v>
      </c>
      <c r="L21" s="216">
        <f t="shared" ref="L21" si="10">F21*K21</f>
        <v>110000</v>
      </c>
      <c r="M21" s="215">
        <v>1</v>
      </c>
      <c r="N21" s="216">
        <f t="shared" si="7"/>
        <v>110000</v>
      </c>
      <c r="O21" s="215">
        <v>2</v>
      </c>
      <c r="P21" s="216">
        <f t="shared" si="8"/>
        <v>220000</v>
      </c>
      <c r="Q21" s="215">
        <v>1</v>
      </c>
      <c r="R21" s="216">
        <f t="shared" si="0"/>
        <v>110000</v>
      </c>
      <c r="S21" s="215">
        <v>1</v>
      </c>
      <c r="T21" s="216">
        <f t="shared" ref="T21" si="11">N21*S21</f>
        <v>110000</v>
      </c>
      <c r="U21" s="215">
        <v>1</v>
      </c>
      <c r="V21" s="216">
        <f t="shared" si="1"/>
        <v>110000</v>
      </c>
      <c r="W21" s="215">
        <v>1</v>
      </c>
      <c r="X21" s="216">
        <f t="shared" si="2"/>
        <v>110000</v>
      </c>
      <c r="Y21" s="215">
        <v>1</v>
      </c>
      <c r="Z21" s="216">
        <f>B21*Y21</f>
        <v>110000</v>
      </c>
      <c r="AA21" s="215">
        <v>2</v>
      </c>
      <c r="AB21" s="216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64" t="s">
        <v>53</v>
      </c>
      <c r="B22" s="465"/>
      <c r="C22" s="218">
        <f t="shared" ref="C22:AB22" si="12">SUM(C19:C21)</f>
        <v>41</v>
      </c>
      <c r="D22" s="217">
        <f t="shared" si="12"/>
        <v>4150000</v>
      </c>
      <c r="E22" s="218">
        <f t="shared" si="12"/>
        <v>2</v>
      </c>
      <c r="F22" s="217">
        <f t="shared" si="12"/>
        <v>210000</v>
      </c>
      <c r="G22" s="218">
        <f t="shared" si="12"/>
        <v>2</v>
      </c>
      <c r="H22" s="217">
        <f t="shared" si="12"/>
        <v>210000</v>
      </c>
      <c r="I22" s="218">
        <f t="shared" si="12"/>
        <v>2</v>
      </c>
      <c r="J22" s="217">
        <f t="shared" si="12"/>
        <v>210000</v>
      </c>
      <c r="K22" s="218">
        <f t="shared" si="12"/>
        <v>3</v>
      </c>
      <c r="L22" s="217">
        <f t="shared" si="12"/>
        <v>300000</v>
      </c>
      <c r="M22" s="218">
        <f t="shared" si="12"/>
        <v>4</v>
      </c>
      <c r="N22" s="217">
        <f t="shared" si="12"/>
        <v>400000</v>
      </c>
      <c r="O22" s="218">
        <f t="shared" si="12"/>
        <v>6</v>
      </c>
      <c r="P22" s="217">
        <f t="shared" si="12"/>
        <v>610000</v>
      </c>
      <c r="Q22" s="218">
        <f t="shared" si="12"/>
        <v>3</v>
      </c>
      <c r="R22" s="217">
        <f t="shared" si="12"/>
        <v>300000</v>
      </c>
      <c r="S22" s="218">
        <f t="shared" si="12"/>
        <v>3</v>
      </c>
      <c r="T22" s="217">
        <f t="shared" si="12"/>
        <v>300000</v>
      </c>
      <c r="U22" s="218">
        <f t="shared" si="12"/>
        <v>3</v>
      </c>
      <c r="V22" s="217">
        <f t="shared" si="12"/>
        <v>300000</v>
      </c>
      <c r="W22" s="218">
        <f t="shared" si="12"/>
        <v>3</v>
      </c>
      <c r="X22" s="217">
        <f t="shared" si="12"/>
        <v>300000</v>
      </c>
      <c r="Y22" s="218">
        <f t="shared" si="12"/>
        <v>4</v>
      </c>
      <c r="Z22" s="217">
        <f t="shared" si="12"/>
        <v>400000</v>
      </c>
      <c r="AA22" s="218">
        <f t="shared" si="12"/>
        <v>6</v>
      </c>
      <c r="AB22" s="217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40" t="s">
        <v>187</v>
      </c>
      <c r="B23" s="441"/>
      <c r="C23" s="442"/>
      <c r="D23" s="219">
        <f t="shared" ref="D23:D25" si="13">SUM(F23+H23+J23+L23+N23+P23+R23+T23+V23+X23+Z23+AB23)</f>
        <v>4050000</v>
      </c>
      <c r="E23" s="220">
        <f>E19</f>
        <v>0</v>
      </c>
      <c r="F23" s="221">
        <f>B19*E23*E19</f>
        <v>0</v>
      </c>
      <c r="G23" s="220">
        <f>G19+E23</f>
        <v>0</v>
      </c>
      <c r="H23" s="221">
        <f>B19*G23*G19</f>
        <v>0</v>
      </c>
      <c r="I23" s="220">
        <f>I19+G23</f>
        <v>0</v>
      </c>
      <c r="J23" s="221">
        <f>B19*I23*I19</f>
        <v>0</v>
      </c>
      <c r="K23" s="220">
        <f>K19+I23</f>
        <v>1</v>
      </c>
      <c r="L23" s="221">
        <f>B19*K23*K19</f>
        <v>90000</v>
      </c>
      <c r="M23" s="220">
        <f>K23+M19</f>
        <v>2</v>
      </c>
      <c r="N23" s="222">
        <f>L23+B19*M19</f>
        <v>180000</v>
      </c>
      <c r="O23" s="220">
        <f>M23+O19</f>
        <v>3</v>
      </c>
      <c r="P23" s="222">
        <f>N23+B19*O19</f>
        <v>270000</v>
      </c>
      <c r="Q23" s="220">
        <f>O23+Q19</f>
        <v>4</v>
      </c>
      <c r="R23" s="222">
        <f>P23+B19*Q19</f>
        <v>360000</v>
      </c>
      <c r="S23" s="220">
        <f>Q23+1</f>
        <v>5</v>
      </c>
      <c r="T23" s="222">
        <f>R23+B19*S19</f>
        <v>450000</v>
      </c>
      <c r="U23" s="220">
        <f>S23+1</f>
        <v>6</v>
      </c>
      <c r="V23" s="222">
        <f>T23+B19*U19</f>
        <v>540000</v>
      </c>
      <c r="W23" s="220">
        <f>U23+1</f>
        <v>7</v>
      </c>
      <c r="X23" s="222">
        <f>V23+X19*W19</f>
        <v>630000</v>
      </c>
      <c r="Y23" s="220">
        <f>W23+1</f>
        <v>8</v>
      </c>
      <c r="Z23" s="222">
        <f>X23+B19*Y19</f>
        <v>720000</v>
      </c>
      <c r="AA23" s="220">
        <f>Y23+1</f>
        <v>9</v>
      </c>
      <c r="AB23" s="222">
        <f>Z23+B19*AA19</f>
        <v>810000</v>
      </c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</row>
    <row r="24" spans="1:43" ht="15.75" customHeight="1" thickBot="1" x14ac:dyDescent="0.3">
      <c r="A24" s="443" t="s">
        <v>188</v>
      </c>
      <c r="B24" s="444"/>
      <c r="C24" s="445"/>
      <c r="D24" s="223">
        <f t="shared" si="13"/>
        <v>10400000</v>
      </c>
      <c r="E24" s="224">
        <f>E20</f>
        <v>1</v>
      </c>
      <c r="F24" s="225">
        <f>B20*E24*E20</f>
        <v>100000</v>
      </c>
      <c r="G24" s="224">
        <f>G20+E24</f>
        <v>2</v>
      </c>
      <c r="H24" s="225">
        <f>B20*G24*G20</f>
        <v>200000</v>
      </c>
      <c r="I24" s="224">
        <f>I20+G24</f>
        <v>3</v>
      </c>
      <c r="J24" s="225">
        <f>B20*I24*I20</f>
        <v>300000</v>
      </c>
      <c r="K24" s="224">
        <f>K20+I24</f>
        <v>4</v>
      </c>
      <c r="L24" s="225">
        <f>B20*K24*K20</f>
        <v>400000</v>
      </c>
      <c r="M24" s="224">
        <f>K24+M20</f>
        <v>6</v>
      </c>
      <c r="N24" s="226">
        <f>L24+B20*M20</f>
        <v>600000</v>
      </c>
      <c r="O24" s="224">
        <f>M24+O20</f>
        <v>9</v>
      </c>
      <c r="P24" s="226">
        <f>N24+B20*O20</f>
        <v>900000</v>
      </c>
      <c r="Q24" s="224">
        <f>O24+Q20</f>
        <v>10</v>
      </c>
      <c r="R24" s="226">
        <f>P24+B20*Q20</f>
        <v>1000000</v>
      </c>
      <c r="S24" s="224">
        <f>Q24+1</f>
        <v>11</v>
      </c>
      <c r="T24" s="226">
        <f>R24+B20*S20</f>
        <v>1100000</v>
      </c>
      <c r="U24" s="224">
        <f>S24+1</f>
        <v>12</v>
      </c>
      <c r="V24" s="226">
        <f>T24+B20*U20</f>
        <v>1200000</v>
      </c>
      <c r="W24" s="224">
        <f>U24+1</f>
        <v>13</v>
      </c>
      <c r="X24" s="226">
        <f>V24+X20*W20</f>
        <v>1300000</v>
      </c>
      <c r="Y24" s="224">
        <f>W24+Y20</f>
        <v>15</v>
      </c>
      <c r="Z24" s="226">
        <f>X24+B20*Y20</f>
        <v>1500000</v>
      </c>
      <c r="AA24" s="224">
        <f>Y24+AA20</f>
        <v>18</v>
      </c>
      <c r="AB24" s="226">
        <f>Z24+B20*AA20</f>
        <v>1800000</v>
      </c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</row>
    <row r="25" spans="1:43" ht="15.75" customHeight="1" thickBot="1" x14ac:dyDescent="0.3">
      <c r="A25" s="446" t="s">
        <v>189</v>
      </c>
      <c r="B25" s="447"/>
      <c r="C25" s="448"/>
      <c r="D25" s="227">
        <f t="shared" si="13"/>
        <v>9460000</v>
      </c>
      <c r="E25" s="228">
        <f>E21</f>
        <v>1</v>
      </c>
      <c r="F25" s="229">
        <f>B21*E25*E21</f>
        <v>110000</v>
      </c>
      <c r="G25" s="228">
        <f>G21+E25</f>
        <v>2</v>
      </c>
      <c r="H25" s="229">
        <f>B21*G25*G21</f>
        <v>220000</v>
      </c>
      <c r="I25" s="228">
        <f>I21+G25</f>
        <v>3</v>
      </c>
      <c r="J25" s="229">
        <f>B21*I25*I21</f>
        <v>330000</v>
      </c>
      <c r="K25" s="228">
        <f>K21+I25</f>
        <v>4</v>
      </c>
      <c r="L25" s="229">
        <f>B21*K25*K21</f>
        <v>440000</v>
      </c>
      <c r="M25" s="228">
        <f>K25+M21</f>
        <v>5</v>
      </c>
      <c r="N25" s="230">
        <f>L25+B21*M21</f>
        <v>550000</v>
      </c>
      <c r="O25" s="228">
        <f>M25+O21</f>
        <v>7</v>
      </c>
      <c r="P25" s="230">
        <f>N25+B21*O21</f>
        <v>770000</v>
      </c>
      <c r="Q25" s="228">
        <f>O25+Q21</f>
        <v>8</v>
      </c>
      <c r="R25" s="230">
        <f>P25+B21*Q21</f>
        <v>880000</v>
      </c>
      <c r="S25" s="228">
        <f>Q25+1</f>
        <v>9</v>
      </c>
      <c r="T25" s="230">
        <f>R25+B21*S21</f>
        <v>990000</v>
      </c>
      <c r="U25" s="228">
        <f>S25+1</f>
        <v>10</v>
      </c>
      <c r="V25" s="230">
        <f>T25+B21*U21</f>
        <v>1100000</v>
      </c>
      <c r="W25" s="228">
        <f>U25+W21</f>
        <v>11</v>
      </c>
      <c r="X25" s="230">
        <f>V25+X21*W21</f>
        <v>1210000</v>
      </c>
      <c r="Y25" s="228">
        <f>W25+Y21</f>
        <v>12</v>
      </c>
      <c r="Z25" s="230">
        <f>X25+B21*Y21</f>
        <v>1320000</v>
      </c>
      <c r="AA25" s="228">
        <f>Y25+AA21</f>
        <v>14</v>
      </c>
      <c r="AB25" s="230">
        <f>Z25+B21*AA21</f>
        <v>1540000</v>
      </c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</row>
    <row r="26" spans="1:43" ht="15.75" customHeight="1" thickBot="1" x14ac:dyDescent="0.3">
      <c r="A26" s="466" t="s">
        <v>159</v>
      </c>
      <c r="B26" s="467"/>
      <c r="C26" s="231">
        <f>C22</f>
        <v>41</v>
      </c>
      <c r="D26" s="232">
        <f>SUM(D23:D25)</f>
        <v>23910000</v>
      </c>
      <c r="E26" s="233">
        <f>E22</f>
        <v>2</v>
      </c>
      <c r="F26" s="234">
        <f>F22</f>
        <v>210000</v>
      </c>
      <c r="G26" s="233">
        <f>E22+G22</f>
        <v>4</v>
      </c>
      <c r="H26" s="234">
        <f>F26+H22</f>
        <v>420000</v>
      </c>
      <c r="I26" s="233">
        <f>E22+G22+I22</f>
        <v>6</v>
      </c>
      <c r="J26" s="234">
        <f>H26+J22</f>
        <v>630000</v>
      </c>
      <c r="K26" s="233">
        <f>SUM(I26,K22)</f>
        <v>9</v>
      </c>
      <c r="L26" s="235">
        <f>J26+L22</f>
        <v>930000</v>
      </c>
      <c r="M26" s="233">
        <f>K26+M22</f>
        <v>13</v>
      </c>
      <c r="N26" s="231">
        <f t="shared" ref="N26:X26" si="14">SUM(L26,N22)</f>
        <v>1330000</v>
      </c>
      <c r="O26" s="233">
        <f t="shared" si="14"/>
        <v>19</v>
      </c>
      <c r="P26" s="231">
        <f t="shared" si="14"/>
        <v>1940000</v>
      </c>
      <c r="Q26" s="233">
        <f t="shared" si="14"/>
        <v>22</v>
      </c>
      <c r="R26" s="231">
        <f t="shared" si="14"/>
        <v>2240000</v>
      </c>
      <c r="S26" s="233">
        <f t="shared" si="14"/>
        <v>25</v>
      </c>
      <c r="T26" s="231">
        <f t="shared" si="14"/>
        <v>2540000</v>
      </c>
      <c r="U26" s="233">
        <f t="shared" si="14"/>
        <v>28</v>
      </c>
      <c r="V26" s="231">
        <f t="shared" si="14"/>
        <v>2840000</v>
      </c>
      <c r="W26" s="233">
        <f t="shared" si="14"/>
        <v>31</v>
      </c>
      <c r="X26" s="231">
        <f t="shared" si="14"/>
        <v>3140000</v>
      </c>
      <c r="Y26" s="233">
        <f>SUM(Y23:Y25)</f>
        <v>35</v>
      </c>
      <c r="Z26" s="231">
        <f>SUM(X26,Z22)</f>
        <v>3540000</v>
      </c>
      <c r="AA26" s="233">
        <f>SUM(AA23:AA25)</f>
        <v>41</v>
      </c>
      <c r="AB26" s="231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68" t="s">
        <v>183</v>
      </c>
      <c r="B28" s="469"/>
      <c r="C28" s="469"/>
      <c r="D28" s="469"/>
      <c r="E28" s="469"/>
      <c r="F28" s="469"/>
      <c r="G28" s="469"/>
      <c r="H28" s="469"/>
      <c r="I28" s="469"/>
      <c r="J28" s="469"/>
      <c r="K28" s="469"/>
      <c r="L28" s="469"/>
      <c r="M28" s="469"/>
      <c r="N28" s="469"/>
      <c r="O28" s="469"/>
      <c r="P28" s="469"/>
      <c r="Q28" s="469"/>
      <c r="R28" s="469"/>
      <c r="S28" s="469"/>
      <c r="T28" s="469"/>
      <c r="U28" s="469"/>
      <c r="V28" s="469"/>
      <c r="W28" s="469"/>
      <c r="X28" s="469"/>
      <c r="Y28" s="469"/>
      <c r="Z28" s="469"/>
      <c r="AA28" s="469"/>
      <c r="AB28" s="417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">
      <c r="A29" s="156" t="s">
        <v>54</v>
      </c>
      <c r="B29" s="470" t="s">
        <v>180</v>
      </c>
      <c r="C29" s="471"/>
      <c r="D29" s="471"/>
      <c r="E29" s="471"/>
      <c r="F29" s="471"/>
      <c r="G29" s="471"/>
      <c r="H29" s="471"/>
      <c r="I29" s="471"/>
      <c r="J29" s="471"/>
      <c r="K29" s="471"/>
      <c r="L29" s="471"/>
      <c r="M29" s="471"/>
      <c r="N29" s="471"/>
      <c r="O29" s="471"/>
      <c r="P29" s="471"/>
      <c r="Q29" s="471"/>
      <c r="R29" s="471"/>
      <c r="S29" s="471"/>
      <c r="T29" s="471"/>
      <c r="U29" s="471"/>
      <c r="V29" s="471"/>
      <c r="W29" s="471"/>
      <c r="X29" s="471"/>
      <c r="Y29" s="471"/>
      <c r="Z29" s="471"/>
      <c r="AA29" s="471"/>
      <c r="AB29" s="472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36" t="s">
        <v>55</v>
      </c>
      <c r="B30" s="437"/>
      <c r="C30" s="449" t="s">
        <v>56</v>
      </c>
      <c r="D30" s="417"/>
      <c r="E30" s="460" t="s">
        <v>221</v>
      </c>
      <c r="F30" s="461"/>
      <c r="G30" s="461"/>
      <c r="H30" s="461"/>
      <c r="I30" s="461"/>
      <c r="J30" s="461"/>
      <c r="K30" s="461"/>
      <c r="L30" s="461"/>
      <c r="M30" s="461"/>
      <c r="N30" s="461"/>
      <c r="O30" s="461"/>
      <c r="P30" s="461"/>
      <c r="Q30" s="461"/>
      <c r="R30" s="461"/>
      <c r="S30" s="461"/>
      <c r="T30" s="461"/>
      <c r="U30" s="461"/>
      <c r="V30" s="461"/>
      <c r="W30" s="461"/>
      <c r="X30" s="461"/>
      <c r="Y30" s="461"/>
      <c r="Z30" s="461"/>
      <c r="AA30" s="461"/>
      <c r="AB30" s="462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38"/>
      <c r="B31" s="439"/>
      <c r="C31" s="157" t="s">
        <v>52</v>
      </c>
      <c r="D31" s="158" t="s">
        <v>55</v>
      </c>
      <c r="E31" s="416" t="s">
        <v>39</v>
      </c>
      <c r="F31" s="417"/>
      <c r="G31" s="416" t="s">
        <v>40</v>
      </c>
      <c r="H31" s="417"/>
      <c r="I31" s="416" t="s">
        <v>41</v>
      </c>
      <c r="J31" s="417"/>
      <c r="K31" s="416" t="s">
        <v>42</v>
      </c>
      <c r="L31" s="417"/>
      <c r="M31" s="416" t="s">
        <v>43</v>
      </c>
      <c r="N31" s="417"/>
      <c r="O31" s="416" t="s">
        <v>44</v>
      </c>
      <c r="P31" s="417"/>
      <c r="Q31" s="416" t="s">
        <v>45</v>
      </c>
      <c r="R31" s="417"/>
      <c r="S31" s="416" t="s">
        <v>46</v>
      </c>
      <c r="T31" s="417"/>
      <c r="U31" s="416" t="s">
        <v>47</v>
      </c>
      <c r="V31" s="417"/>
      <c r="W31" s="416" t="s">
        <v>48</v>
      </c>
      <c r="X31" s="417"/>
      <c r="Y31" s="416" t="s">
        <v>49</v>
      </c>
      <c r="Z31" s="417"/>
      <c r="AA31" s="416" t="s">
        <v>50</v>
      </c>
      <c r="AB31" s="417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50" t="s">
        <v>57</v>
      </c>
      <c r="B32" s="437"/>
      <c r="C32" s="30">
        <f>'Anexo capacidad operativa'!A22</f>
        <v>2</v>
      </c>
      <c r="D32" s="31" t="str">
        <f>'Anexo capacidad operativa'!B22</f>
        <v>Desarrollador</v>
      </c>
      <c r="E32" s="473" t="s">
        <v>58</v>
      </c>
      <c r="F32" s="377"/>
      <c r="G32" s="432" t="s">
        <v>58</v>
      </c>
      <c r="H32" s="377"/>
      <c r="I32" s="432" t="s">
        <v>58</v>
      </c>
      <c r="J32" s="377"/>
      <c r="K32" s="432" t="s">
        <v>58</v>
      </c>
      <c r="L32" s="377"/>
      <c r="M32" s="432" t="s">
        <v>58</v>
      </c>
      <c r="N32" s="377"/>
      <c r="O32" s="432" t="s">
        <v>58</v>
      </c>
      <c r="P32" s="377"/>
      <c r="Q32" s="432" t="s">
        <v>58</v>
      </c>
      <c r="R32" s="377"/>
      <c r="S32" s="432" t="s">
        <v>58</v>
      </c>
      <c r="T32" s="377"/>
      <c r="U32" s="432" t="s">
        <v>58</v>
      </c>
      <c r="V32" s="377"/>
      <c r="W32" s="432" t="s">
        <v>58</v>
      </c>
      <c r="X32" s="377"/>
      <c r="Y32" s="432" t="s">
        <v>58</v>
      </c>
      <c r="Z32" s="377"/>
      <c r="AA32" s="432" t="s">
        <v>58</v>
      </c>
      <c r="AB32" s="433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51"/>
      <c r="B33" s="452"/>
      <c r="C33" s="32">
        <f>'Anexo capacidad operativa'!A23</f>
        <v>1</v>
      </c>
      <c r="D33" s="33" t="str">
        <f>'Anexo capacidad operativa'!B23</f>
        <v>Gerente de servicios</v>
      </c>
      <c r="E33" s="435" t="s">
        <v>58</v>
      </c>
      <c r="F33" s="427"/>
      <c r="G33" s="426" t="s">
        <v>58</v>
      </c>
      <c r="H33" s="427"/>
      <c r="I33" s="426" t="s">
        <v>58</v>
      </c>
      <c r="J33" s="427"/>
      <c r="K33" s="426" t="s">
        <v>58</v>
      </c>
      <c r="L33" s="427"/>
      <c r="M33" s="426" t="s">
        <v>58</v>
      </c>
      <c r="N33" s="427"/>
      <c r="O33" s="426" t="s">
        <v>58</v>
      </c>
      <c r="P33" s="427"/>
      <c r="Q33" s="426" t="s">
        <v>58</v>
      </c>
      <c r="R33" s="427"/>
      <c r="S33" s="426" t="s">
        <v>58</v>
      </c>
      <c r="T33" s="427"/>
      <c r="U33" s="426" t="s">
        <v>58</v>
      </c>
      <c r="V33" s="427"/>
      <c r="W33" s="426" t="s">
        <v>58</v>
      </c>
      <c r="X33" s="427"/>
      <c r="Y33" s="426" t="s">
        <v>58</v>
      </c>
      <c r="Z33" s="427"/>
      <c r="AA33" s="426" t="s">
        <v>58</v>
      </c>
      <c r="AB33" s="430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51"/>
      <c r="B34" s="452"/>
      <c r="C34" s="32">
        <f>'Anexo capacidad operativa'!A24</f>
        <v>1</v>
      </c>
      <c r="D34" s="33" t="str">
        <f>'Anexo capacidad operativa'!B24</f>
        <v>Empleado de tecnologia</v>
      </c>
      <c r="E34" s="435" t="s">
        <v>58</v>
      </c>
      <c r="F34" s="427"/>
      <c r="G34" s="426" t="s">
        <v>58</v>
      </c>
      <c r="H34" s="427"/>
      <c r="I34" s="426" t="s">
        <v>58</v>
      </c>
      <c r="J34" s="427"/>
      <c r="K34" s="426" t="s">
        <v>58</v>
      </c>
      <c r="L34" s="427"/>
      <c r="M34" s="426" t="s">
        <v>58</v>
      </c>
      <c r="N34" s="427"/>
      <c r="O34" s="426" t="s">
        <v>58</v>
      </c>
      <c r="P34" s="427"/>
      <c r="Q34" s="426" t="s">
        <v>58</v>
      </c>
      <c r="R34" s="427"/>
      <c r="S34" s="426" t="s">
        <v>58</v>
      </c>
      <c r="T34" s="427"/>
      <c r="U34" s="426" t="s">
        <v>58</v>
      </c>
      <c r="V34" s="427"/>
      <c r="W34" s="426" t="s">
        <v>58</v>
      </c>
      <c r="X34" s="427"/>
      <c r="Y34" s="426" t="s">
        <v>58</v>
      </c>
      <c r="Z34" s="427"/>
      <c r="AA34" s="426" t="s">
        <v>58</v>
      </c>
      <c r="AB34" s="430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51"/>
      <c r="B35" s="452"/>
      <c r="C35" s="32">
        <f>'Anexo capacidad operativa'!A25</f>
        <v>1</v>
      </c>
      <c r="D35" s="33" t="str">
        <f>'Anexo capacidad operativa'!B25</f>
        <v>Tester</v>
      </c>
      <c r="E35" s="435" t="s">
        <v>58</v>
      </c>
      <c r="F35" s="427"/>
      <c r="G35" s="426" t="s">
        <v>58</v>
      </c>
      <c r="H35" s="427"/>
      <c r="I35" s="426" t="s">
        <v>58</v>
      </c>
      <c r="J35" s="427"/>
      <c r="K35" s="426" t="s">
        <v>58</v>
      </c>
      <c r="L35" s="427"/>
      <c r="M35" s="426" t="s">
        <v>58</v>
      </c>
      <c r="N35" s="427"/>
      <c r="O35" s="426" t="s">
        <v>58</v>
      </c>
      <c r="P35" s="427"/>
      <c r="Q35" s="426" t="s">
        <v>58</v>
      </c>
      <c r="R35" s="427"/>
      <c r="S35" s="426" t="s">
        <v>58</v>
      </c>
      <c r="T35" s="427"/>
      <c r="U35" s="426" t="s">
        <v>58</v>
      </c>
      <c r="V35" s="427"/>
      <c r="W35" s="426" t="s">
        <v>58</v>
      </c>
      <c r="X35" s="427"/>
      <c r="Y35" s="426" t="s">
        <v>58</v>
      </c>
      <c r="Z35" s="427"/>
      <c r="AA35" s="426" t="s">
        <v>58</v>
      </c>
      <c r="AB35" s="430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51"/>
      <c r="B36" s="452"/>
      <c r="C36" s="32">
        <f>'Anexo capacidad operativa'!A26</f>
        <v>2</v>
      </c>
      <c r="D36" s="33" t="str">
        <f>'Anexo capacidad operativa'!B26</f>
        <v>Empleado administrativo de ventas</v>
      </c>
      <c r="E36" s="463" t="s">
        <v>58</v>
      </c>
      <c r="F36" s="429"/>
      <c r="G36" s="428" t="s">
        <v>58</v>
      </c>
      <c r="H36" s="429"/>
      <c r="I36" s="428" t="s">
        <v>58</v>
      </c>
      <c r="J36" s="429"/>
      <c r="K36" s="428" t="s">
        <v>58</v>
      </c>
      <c r="L36" s="429"/>
      <c r="M36" s="428" t="s">
        <v>58</v>
      </c>
      <c r="N36" s="429"/>
      <c r="O36" s="428" t="s">
        <v>58</v>
      </c>
      <c r="P36" s="429"/>
      <c r="Q36" s="414" t="s">
        <v>160</v>
      </c>
      <c r="R36" s="415"/>
      <c r="S36" s="428" t="s">
        <v>58</v>
      </c>
      <c r="T36" s="429"/>
      <c r="U36" s="428" t="s">
        <v>58</v>
      </c>
      <c r="V36" s="429"/>
      <c r="W36" s="428" t="s">
        <v>58</v>
      </c>
      <c r="X36" s="429"/>
      <c r="Y36" s="428" t="s">
        <v>58</v>
      </c>
      <c r="Z36" s="429"/>
      <c r="AA36" s="428" t="s">
        <v>58</v>
      </c>
      <c r="AB36" s="43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81" t="s">
        <v>59</v>
      </c>
      <c r="B37" s="482"/>
      <c r="C37" s="34">
        <v>2</v>
      </c>
      <c r="D37" s="35" t="s">
        <v>60</v>
      </c>
      <c r="E37" s="473" t="s">
        <v>58</v>
      </c>
      <c r="F37" s="377"/>
      <c r="G37" s="432" t="s">
        <v>58</v>
      </c>
      <c r="H37" s="377"/>
      <c r="I37" s="432" t="s">
        <v>58</v>
      </c>
      <c r="J37" s="377"/>
      <c r="K37" s="432" t="s">
        <v>58</v>
      </c>
      <c r="L37" s="377"/>
      <c r="M37" s="432" t="s">
        <v>58</v>
      </c>
      <c r="N37" s="377"/>
      <c r="O37" s="432" t="s">
        <v>58</v>
      </c>
      <c r="P37" s="377"/>
      <c r="Q37" s="414" t="s">
        <v>160</v>
      </c>
      <c r="R37" s="415"/>
      <c r="S37" s="432" t="s">
        <v>58</v>
      </c>
      <c r="T37" s="377"/>
      <c r="U37" s="432" t="s">
        <v>58</v>
      </c>
      <c r="V37" s="377"/>
      <c r="W37" s="432" t="s">
        <v>58</v>
      </c>
      <c r="X37" s="377"/>
      <c r="Y37" s="432" t="s">
        <v>58</v>
      </c>
      <c r="Z37" s="377"/>
      <c r="AA37" s="432" t="s">
        <v>58</v>
      </c>
      <c r="AB37" s="433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51"/>
      <c r="B38" s="452"/>
      <c r="C38" s="36">
        <v>2</v>
      </c>
      <c r="D38" s="37" t="s">
        <v>61</v>
      </c>
      <c r="E38" s="435" t="s">
        <v>58</v>
      </c>
      <c r="F38" s="427"/>
      <c r="G38" s="426" t="s">
        <v>58</v>
      </c>
      <c r="H38" s="427"/>
      <c r="I38" s="426" t="s">
        <v>58</v>
      </c>
      <c r="J38" s="427"/>
      <c r="K38" s="426" t="s">
        <v>58</v>
      </c>
      <c r="L38" s="427"/>
      <c r="M38" s="426" t="s">
        <v>58</v>
      </c>
      <c r="N38" s="427"/>
      <c r="O38" s="426" t="s">
        <v>58</v>
      </c>
      <c r="P38" s="427"/>
      <c r="Q38" s="414" t="s">
        <v>160</v>
      </c>
      <c r="R38" s="415"/>
      <c r="S38" s="426" t="s">
        <v>58</v>
      </c>
      <c r="T38" s="427"/>
      <c r="U38" s="426" t="s">
        <v>58</v>
      </c>
      <c r="V38" s="427"/>
      <c r="W38" s="426" t="s">
        <v>58</v>
      </c>
      <c r="X38" s="427"/>
      <c r="Y38" s="426" t="s">
        <v>58</v>
      </c>
      <c r="Z38" s="427"/>
      <c r="AA38" s="426" t="s">
        <v>58</v>
      </c>
      <c r="AB38" s="430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51"/>
      <c r="B39" s="452"/>
      <c r="C39" s="36">
        <v>1</v>
      </c>
      <c r="D39" s="37" t="s">
        <v>62</v>
      </c>
      <c r="E39" s="435" t="s">
        <v>58</v>
      </c>
      <c r="F39" s="427"/>
      <c r="G39" s="426" t="s">
        <v>58</v>
      </c>
      <c r="H39" s="427"/>
      <c r="I39" s="426" t="s">
        <v>58</v>
      </c>
      <c r="J39" s="427"/>
      <c r="K39" s="426" t="s">
        <v>58</v>
      </c>
      <c r="L39" s="427"/>
      <c r="M39" s="426" t="s">
        <v>58</v>
      </c>
      <c r="N39" s="427"/>
      <c r="O39" s="426" t="s">
        <v>58</v>
      </c>
      <c r="P39" s="427"/>
      <c r="Q39" s="426" t="s">
        <v>58</v>
      </c>
      <c r="R39" s="427"/>
      <c r="S39" s="426" t="s">
        <v>58</v>
      </c>
      <c r="T39" s="427"/>
      <c r="U39" s="426" t="s">
        <v>58</v>
      </c>
      <c r="V39" s="427"/>
      <c r="W39" s="426" t="s">
        <v>58</v>
      </c>
      <c r="X39" s="427"/>
      <c r="Y39" s="426" t="s">
        <v>58</v>
      </c>
      <c r="Z39" s="427"/>
      <c r="AA39" s="426" t="s">
        <v>58</v>
      </c>
      <c r="AB39" s="430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51"/>
      <c r="B40" s="452"/>
      <c r="C40" s="36">
        <v>2</v>
      </c>
      <c r="D40" s="37" t="s">
        <v>63</v>
      </c>
      <c r="E40" s="435" t="s">
        <v>58</v>
      </c>
      <c r="F40" s="427"/>
      <c r="G40" s="426" t="s">
        <v>58</v>
      </c>
      <c r="H40" s="427"/>
      <c r="I40" s="426" t="s">
        <v>58</v>
      </c>
      <c r="J40" s="427"/>
      <c r="K40" s="426" t="s">
        <v>58</v>
      </c>
      <c r="L40" s="427"/>
      <c r="M40" s="426" t="s">
        <v>58</v>
      </c>
      <c r="N40" s="427"/>
      <c r="O40" s="426" t="s">
        <v>58</v>
      </c>
      <c r="P40" s="427"/>
      <c r="Q40" s="414" t="s">
        <v>160</v>
      </c>
      <c r="R40" s="415"/>
      <c r="S40" s="426" t="s">
        <v>58</v>
      </c>
      <c r="T40" s="427"/>
      <c r="U40" s="426" t="s">
        <v>58</v>
      </c>
      <c r="V40" s="427"/>
      <c r="W40" s="426" t="s">
        <v>58</v>
      </c>
      <c r="X40" s="427"/>
      <c r="Y40" s="426" t="s">
        <v>58</v>
      </c>
      <c r="Z40" s="427"/>
      <c r="AA40" s="426" t="s">
        <v>58</v>
      </c>
      <c r="AB40" s="430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51"/>
      <c r="B41" s="452"/>
      <c r="C41" s="36">
        <v>1</v>
      </c>
      <c r="D41" s="37" t="s">
        <v>64</v>
      </c>
      <c r="E41" s="435" t="s">
        <v>58</v>
      </c>
      <c r="F41" s="427"/>
      <c r="G41" s="426" t="s">
        <v>58</v>
      </c>
      <c r="H41" s="427"/>
      <c r="I41" s="426" t="s">
        <v>58</v>
      </c>
      <c r="J41" s="427"/>
      <c r="K41" s="426" t="s">
        <v>58</v>
      </c>
      <c r="L41" s="427"/>
      <c r="M41" s="426" t="s">
        <v>58</v>
      </c>
      <c r="N41" s="427"/>
      <c r="O41" s="426" t="s">
        <v>58</v>
      </c>
      <c r="P41" s="427"/>
      <c r="Q41" s="426" t="s">
        <v>58</v>
      </c>
      <c r="R41" s="427"/>
      <c r="S41" s="426" t="s">
        <v>58</v>
      </c>
      <c r="T41" s="427"/>
      <c r="U41" s="426" t="s">
        <v>58</v>
      </c>
      <c r="V41" s="427"/>
      <c r="W41" s="426" t="s">
        <v>58</v>
      </c>
      <c r="X41" s="427"/>
      <c r="Y41" s="426" t="s">
        <v>58</v>
      </c>
      <c r="Z41" s="427"/>
      <c r="AA41" s="426" t="s">
        <v>58</v>
      </c>
      <c r="AB41" s="430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83"/>
      <c r="B42" s="484"/>
      <c r="C42" s="36">
        <v>2</v>
      </c>
      <c r="D42" s="37" t="s">
        <v>65</v>
      </c>
      <c r="E42" s="435" t="s">
        <v>58</v>
      </c>
      <c r="F42" s="427"/>
      <c r="G42" s="426" t="s">
        <v>58</v>
      </c>
      <c r="H42" s="427"/>
      <c r="I42" s="426" t="s">
        <v>58</v>
      </c>
      <c r="J42" s="427"/>
      <c r="K42" s="426" t="s">
        <v>58</v>
      </c>
      <c r="L42" s="427"/>
      <c r="M42" s="426" t="s">
        <v>58</v>
      </c>
      <c r="N42" s="427"/>
      <c r="O42" s="426" t="s">
        <v>58</v>
      </c>
      <c r="P42" s="427"/>
      <c r="Q42" s="414" t="s">
        <v>160</v>
      </c>
      <c r="R42" s="415"/>
      <c r="S42" s="426" t="s">
        <v>58</v>
      </c>
      <c r="T42" s="427"/>
      <c r="U42" s="426" t="s">
        <v>58</v>
      </c>
      <c r="V42" s="427"/>
      <c r="W42" s="426" t="s">
        <v>58</v>
      </c>
      <c r="X42" s="427"/>
      <c r="Y42" s="426" t="s">
        <v>58</v>
      </c>
      <c r="Z42" s="427"/>
      <c r="AA42" s="426" t="s">
        <v>58</v>
      </c>
      <c r="AB42" s="430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85" t="s">
        <v>66</v>
      </c>
      <c r="B43" s="486"/>
      <c r="C43" s="34">
        <f>SUM(C32:C36)</f>
        <v>7</v>
      </c>
      <c r="D43" s="150" t="s">
        <v>165</v>
      </c>
      <c r="E43" s="435" t="s">
        <v>58</v>
      </c>
      <c r="F43" s="427"/>
      <c r="G43" s="426" t="s">
        <v>58</v>
      </c>
      <c r="H43" s="427"/>
      <c r="I43" s="426" t="s">
        <v>58</v>
      </c>
      <c r="J43" s="427"/>
      <c r="K43" s="426" t="s">
        <v>58</v>
      </c>
      <c r="L43" s="427"/>
      <c r="M43" s="426" t="s">
        <v>58</v>
      </c>
      <c r="N43" s="427"/>
      <c r="O43" s="426" t="s">
        <v>58</v>
      </c>
      <c r="P43" s="427"/>
      <c r="Q43" s="426" t="s">
        <v>58</v>
      </c>
      <c r="R43" s="427"/>
      <c r="S43" s="426" t="s">
        <v>58</v>
      </c>
      <c r="T43" s="427"/>
      <c r="U43" s="426" t="s">
        <v>58</v>
      </c>
      <c r="V43" s="427"/>
      <c r="W43" s="426" t="s">
        <v>58</v>
      </c>
      <c r="X43" s="427"/>
      <c r="Y43" s="426" t="s">
        <v>58</v>
      </c>
      <c r="Z43" s="427"/>
      <c r="AA43" s="426" t="s">
        <v>58</v>
      </c>
      <c r="AB43" s="430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7" thickBot="1" x14ac:dyDescent="0.45">
      <c r="A46" s="476" t="s">
        <v>68</v>
      </c>
      <c r="B46" s="476"/>
      <c r="C46" s="476"/>
      <c r="D46" s="476"/>
      <c r="E46" s="476"/>
      <c r="F46" s="476"/>
      <c r="G46" s="476"/>
      <c r="H46" s="476"/>
      <c r="I46" s="476"/>
      <c r="J46" s="476"/>
      <c r="K46" s="476"/>
      <c r="L46" s="476"/>
      <c r="M46" s="476"/>
      <c r="N46" s="476"/>
      <c r="O46" s="476"/>
      <c r="P46" s="476"/>
      <c r="Q46" s="476"/>
      <c r="R46" s="476"/>
      <c r="S46" s="476"/>
      <c r="T46" s="476"/>
      <c r="U46" s="476"/>
      <c r="V46" s="476"/>
      <c r="W46" s="476"/>
      <c r="X46" s="476"/>
      <c r="Y46" s="476"/>
      <c r="Z46" s="476"/>
      <c r="AA46" s="476"/>
      <c r="AB46" s="476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21" t="s">
        <v>179</v>
      </c>
      <c r="B47" s="421" t="s">
        <v>33</v>
      </c>
      <c r="C47" s="421" t="s">
        <v>38</v>
      </c>
      <c r="D47" s="422"/>
      <c r="E47" s="459" t="s">
        <v>39</v>
      </c>
      <c r="F47" s="422"/>
      <c r="G47" s="459" t="s">
        <v>40</v>
      </c>
      <c r="H47" s="422"/>
      <c r="I47" s="459" t="s">
        <v>41</v>
      </c>
      <c r="J47" s="422"/>
      <c r="K47" s="459" t="s">
        <v>42</v>
      </c>
      <c r="L47" s="422"/>
      <c r="M47" s="459" t="s">
        <v>43</v>
      </c>
      <c r="N47" s="422"/>
      <c r="O47" s="459" t="s">
        <v>44</v>
      </c>
      <c r="P47" s="422"/>
      <c r="Q47" s="459" t="s">
        <v>45</v>
      </c>
      <c r="R47" s="422"/>
      <c r="S47" s="459" t="s">
        <v>46</v>
      </c>
      <c r="T47" s="422"/>
      <c r="U47" s="459" t="s">
        <v>47</v>
      </c>
      <c r="V47" s="422"/>
      <c r="W47" s="459" t="s">
        <v>48</v>
      </c>
      <c r="X47" s="422"/>
      <c r="Y47" s="459" t="s">
        <v>49</v>
      </c>
      <c r="Z47" s="422"/>
      <c r="AA47" s="459" t="s">
        <v>50</v>
      </c>
      <c r="AB47" s="422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22"/>
      <c r="B48" s="422"/>
      <c r="C48" s="421" t="s">
        <v>52</v>
      </c>
      <c r="D48" s="421" t="s">
        <v>51</v>
      </c>
      <c r="E48" s="418">
        <v>0.05</v>
      </c>
      <c r="F48" s="434"/>
      <c r="G48" s="418">
        <v>0.05</v>
      </c>
      <c r="H48" s="418"/>
      <c r="I48" s="418">
        <v>0.05</v>
      </c>
      <c r="J48" s="434"/>
      <c r="K48" s="418">
        <v>7.0000000000000007E-2</v>
      </c>
      <c r="L48" s="418"/>
      <c r="M48" s="418">
        <v>0.1</v>
      </c>
      <c r="N48" s="434"/>
      <c r="O48" s="418">
        <v>0.15</v>
      </c>
      <c r="P48" s="418"/>
      <c r="Q48" s="418">
        <v>7.0000000000000007E-2</v>
      </c>
      <c r="R48" s="434"/>
      <c r="S48" s="418">
        <v>7.0000000000000007E-2</v>
      </c>
      <c r="T48" s="418"/>
      <c r="U48" s="418">
        <v>7.0000000000000007E-2</v>
      </c>
      <c r="V48" s="434"/>
      <c r="W48" s="418">
        <v>7.0000000000000007E-2</v>
      </c>
      <c r="X48" s="418"/>
      <c r="Y48" s="418">
        <v>0.1</v>
      </c>
      <c r="Z48" s="434"/>
      <c r="AA48" s="418">
        <v>0.15</v>
      </c>
      <c r="AB48" s="418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22"/>
      <c r="B49" s="422"/>
      <c r="C49" s="434"/>
      <c r="D49" s="434"/>
      <c r="E49" s="172" t="s">
        <v>52</v>
      </c>
      <c r="F49" s="172" t="s">
        <v>51</v>
      </c>
      <c r="G49" s="172" t="s">
        <v>52</v>
      </c>
      <c r="H49" s="172" t="s">
        <v>51</v>
      </c>
      <c r="I49" s="172" t="s">
        <v>52</v>
      </c>
      <c r="J49" s="172" t="s">
        <v>51</v>
      </c>
      <c r="K49" s="172" t="s">
        <v>52</v>
      </c>
      <c r="L49" s="172" t="s">
        <v>51</v>
      </c>
      <c r="M49" s="172" t="s">
        <v>52</v>
      </c>
      <c r="N49" s="172" t="s">
        <v>51</v>
      </c>
      <c r="O49" s="172" t="s">
        <v>52</v>
      </c>
      <c r="P49" s="172" t="s">
        <v>51</v>
      </c>
      <c r="Q49" s="172" t="s">
        <v>52</v>
      </c>
      <c r="R49" s="172" t="s">
        <v>51</v>
      </c>
      <c r="S49" s="172" t="s">
        <v>52</v>
      </c>
      <c r="T49" s="172" t="s">
        <v>51</v>
      </c>
      <c r="U49" s="172" t="s">
        <v>52</v>
      </c>
      <c r="V49" s="172" t="s">
        <v>51</v>
      </c>
      <c r="W49" s="172" t="s">
        <v>52</v>
      </c>
      <c r="X49" s="172" t="s">
        <v>51</v>
      </c>
      <c r="Y49" s="172" t="s">
        <v>52</v>
      </c>
      <c r="Z49" s="172" t="s">
        <v>51</v>
      </c>
      <c r="AA49" s="172" t="s">
        <v>52</v>
      </c>
      <c r="AB49" s="172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59" customFormat="1" ht="15.75" customHeight="1" thickBot="1" x14ac:dyDescent="0.3">
      <c r="A50" s="173" t="s">
        <v>177</v>
      </c>
      <c r="B50" s="174">
        <f>B19</f>
        <v>90000</v>
      </c>
      <c r="C50" s="208">
        <f>E50+G50+I50+K50+M50+O50+Q50+S50+U50+W50+Y50+AA50</f>
        <v>9</v>
      </c>
      <c r="D50" s="207">
        <f>B50*C50</f>
        <v>810000</v>
      </c>
      <c r="E50" s="209">
        <v>0</v>
      </c>
      <c r="F50" s="207">
        <f>B50*E50</f>
        <v>0</v>
      </c>
      <c r="G50" s="209">
        <v>0</v>
      </c>
      <c r="H50" s="207">
        <f>B50*G50</f>
        <v>0</v>
      </c>
      <c r="I50" s="209">
        <v>0</v>
      </c>
      <c r="J50" s="207">
        <f t="shared" ref="J50" si="15">F50*I50</f>
        <v>0</v>
      </c>
      <c r="K50" s="209">
        <v>1</v>
      </c>
      <c r="L50" s="207">
        <f>K50*B50</f>
        <v>90000</v>
      </c>
      <c r="M50" s="209">
        <v>1</v>
      </c>
      <c r="N50" s="207">
        <f>M50*B50</f>
        <v>90000</v>
      </c>
      <c r="O50" s="209">
        <v>1</v>
      </c>
      <c r="P50" s="207">
        <f>O50*B50</f>
        <v>90000</v>
      </c>
      <c r="Q50" s="209">
        <v>1</v>
      </c>
      <c r="R50" s="207">
        <f t="shared" ref="R50" si="16">N50*Q50</f>
        <v>90000</v>
      </c>
      <c r="S50" s="209">
        <v>1</v>
      </c>
      <c r="T50" s="207">
        <f>S50*B50</f>
        <v>90000</v>
      </c>
      <c r="U50" s="209">
        <v>1</v>
      </c>
      <c r="V50" s="207">
        <f t="shared" ref="V50:V52" si="17">R50*U50</f>
        <v>90000</v>
      </c>
      <c r="W50" s="209">
        <v>1</v>
      </c>
      <c r="X50" s="207">
        <f t="shared" ref="X50:X52" si="18">R50*W50</f>
        <v>90000</v>
      </c>
      <c r="Y50" s="209">
        <v>1</v>
      </c>
      <c r="Z50" s="207">
        <f t="shared" ref="Z50:Z52" si="19">V50*Y50</f>
        <v>90000</v>
      </c>
      <c r="AA50" s="209">
        <v>1</v>
      </c>
      <c r="AB50" s="207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3"/>
      <c r="AS50" s="163"/>
      <c r="AT50" s="163"/>
      <c r="AU50" s="163"/>
      <c r="AV50" s="163"/>
      <c r="AW50" s="163"/>
      <c r="AX50" s="163"/>
      <c r="AY50" s="163"/>
      <c r="AZ50" s="163"/>
      <c r="BA50" s="163"/>
      <c r="BB50" s="163"/>
      <c r="BC50" s="163"/>
      <c r="BD50" s="163"/>
      <c r="BE50" s="163"/>
      <c r="BF50" s="163"/>
      <c r="BG50" s="163"/>
      <c r="BH50" s="163"/>
      <c r="BI50" s="163"/>
      <c r="BJ50" s="163"/>
      <c r="BK50" s="163"/>
      <c r="BL50" s="163"/>
      <c r="BM50" s="163"/>
      <c r="BN50" s="163"/>
      <c r="BO50" s="163"/>
      <c r="BP50" s="163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163"/>
      <c r="CB50" s="163"/>
      <c r="CC50" s="163"/>
      <c r="CD50" s="163"/>
      <c r="CE50" s="163"/>
      <c r="CF50" s="163"/>
      <c r="CG50" s="163"/>
      <c r="CH50" s="163"/>
      <c r="CI50" s="163"/>
      <c r="CJ50" s="163"/>
      <c r="CK50" s="163"/>
      <c r="CL50" s="163"/>
      <c r="CM50" s="163"/>
      <c r="CN50" s="163"/>
      <c r="CO50" s="163"/>
      <c r="CP50" s="163"/>
      <c r="CQ50" s="163"/>
      <c r="CR50" s="163"/>
      <c r="CS50" s="163"/>
      <c r="CT50" s="163"/>
      <c r="CU50" s="163"/>
      <c r="CV50" s="163"/>
      <c r="CW50" s="163"/>
      <c r="CX50" s="163"/>
      <c r="CY50" s="163"/>
      <c r="CZ50" s="163"/>
      <c r="DA50" s="163"/>
      <c r="DB50" s="163"/>
      <c r="DC50" s="163"/>
      <c r="DD50" s="163"/>
      <c r="DE50" s="163"/>
      <c r="DF50" s="163"/>
      <c r="DG50" s="163"/>
      <c r="DH50" s="163"/>
      <c r="DI50" s="163"/>
      <c r="DJ50" s="163"/>
      <c r="DK50" s="163"/>
      <c r="DL50" s="163"/>
      <c r="DM50" s="163"/>
      <c r="DN50" s="163"/>
      <c r="DO50" s="163"/>
      <c r="DP50" s="163"/>
      <c r="DQ50" s="163"/>
      <c r="DR50" s="163"/>
      <c r="DS50" s="163"/>
      <c r="DT50" s="163"/>
      <c r="DU50" s="163"/>
      <c r="DV50" s="163"/>
      <c r="DW50" s="163"/>
      <c r="DX50" s="163"/>
      <c r="DY50" s="163"/>
      <c r="DZ50" s="163"/>
      <c r="EA50" s="163"/>
      <c r="EB50" s="163"/>
      <c r="EC50" s="163"/>
      <c r="ED50" s="163"/>
      <c r="EE50" s="163"/>
      <c r="EF50" s="163"/>
      <c r="EG50" s="163"/>
      <c r="EH50" s="163"/>
      <c r="EI50" s="163"/>
      <c r="EJ50" s="163"/>
      <c r="EK50" s="163"/>
      <c r="EL50" s="163"/>
      <c r="EM50" s="163"/>
      <c r="EN50" s="163"/>
      <c r="EO50" s="163"/>
      <c r="EP50" s="163"/>
      <c r="EQ50" s="163"/>
      <c r="ER50" s="163"/>
      <c r="ES50" s="163"/>
      <c r="ET50" s="163"/>
      <c r="EU50" s="163"/>
      <c r="EV50" s="163"/>
      <c r="EW50" s="163"/>
      <c r="EX50" s="163"/>
      <c r="EY50" s="163"/>
      <c r="EZ50" s="163"/>
      <c r="FA50" s="163"/>
      <c r="FB50" s="163"/>
      <c r="FC50" s="163"/>
      <c r="FD50" s="163"/>
      <c r="FE50" s="163"/>
      <c r="FF50" s="163"/>
      <c r="FG50" s="163"/>
      <c r="FH50" s="163"/>
      <c r="FI50" s="163"/>
      <c r="FJ50" s="163"/>
      <c r="FK50" s="163"/>
      <c r="FL50" s="163"/>
      <c r="FM50" s="163"/>
      <c r="FN50" s="163"/>
      <c r="FO50" s="163"/>
      <c r="FP50" s="163"/>
      <c r="FQ50" s="163"/>
      <c r="FR50" s="163"/>
      <c r="FS50" s="163"/>
      <c r="FT50" s="163"/>
      <c r="FU50" s="163"/>
      <c r="FV50" s="163"/>
      <c r="FW50" s="163"/>
      <c r="FX50" s="163"/>
      <c r="FY50" s="163"/>
      <c r="FZ50" s="163"/>
      <c r="GA50" s="163"/>
      <c r="GB50" s="163"/>
      <c r="GC50" s="163"/>
      <c r="GD50" s="163"/>
      <c r="GE50" s="163"/>
      <c r="GF50" s="163"/>
      <c r="GG50" s="163"/>
      <c r="GH50" s="163"/>
      <c r="GI50" s="163"/>
      <c r="GJ50" s="163"/>
      <c r="GK50" s="163"/>
      <c r="GL50" s="163"/>
      <c r="GM50" s="163"/>
      <c r="GN50" s="163"/>
      <c r="GO50" s="163"/>
      <c r="GP50" s="163"/>
      <c r="GQ50" s="163"/>
      <c r="GR50" s="163"/>
      <c r="GS50" s="163"/>
      <c r="GT50" s="163"/>
      <c r="GU50" s="163"/>
      <c r="GV50" s="163"/>
      <c r="GW50" s="163"/>
      <c r="GX50" s="163"/>
      <c r="GY50" s="163"/>
      <c r="GZ50" s="163"/>
      <c r="HA50" s="163"/>
      <c r="HB50" s="163"/>
      <c r="HC50" s="163"/>
      <c r="HD50" s="163"/>
      <c r="HE50" s="163"/>
      <c r="HF50" s="163"/>
      <c r="HG50" s="163"/>
      <c r="HH50" s="163"/>
      <c r="HI50" s="163"/>
      <c r="HJ50" s="163"/>
      <c r="HK50" s="163"/>
      <c r="HL50" s="163"/>
      <c r="HM50" s="163"/>
      <c r="HN50" s="163"/>
      <c r="HO50" s="163"/>
      <c r="HP50" s="163"/>
      <c r="HQ50" s="163"/>
      <c r="HR50" s="163"/>
      <c r="HS50" s="163"/>
      <c r="HT50" s="163"/>
      <c r="HU50" s="163"/>
      <c r="HV50" s="163"/>
      <c r="HW50" s="163"/>
      <c r="HX50" s="163"/>
      <c r="HY50" s="163"/>
      <c r="HZ50" s="163"/>
      <c r="IA50" s="163"/>
      <c r="IB50" s="163"/>
      <c r="IC50" s="163"/>
      <c r="ID50" s="163"/>
      <c r="IE50" s="163"/>
      <c r="IF50" s="163"/>
      <c r="IG50" s="163"/>
      <c r="IH50" s="163"/>
      <c r="II50" s="163"/>
      <c r="IJ50" s="163"/>
      <c r="IK50" s="163"/>
      <c r="IL50" s="163"/>
      <c r="IM50" s="163"/>
      <c r="IN50" s="163"/>
      <c r="IO50" s="163"/>
      <c r="IP50" s="163"/>
      <c r="IQ50" s="163"/>
      <c r="IR50" s="163"/>
      <c r="IS50" s="163"/>
      <c r="IT50" s="163"/>
      <c r="IU50" s="163"/>
      <c r="IV50" s="163"/>
      <c r="IW50" s="163"/>
      <c r="IX50" s="163"/>
      <c r="IY50" s="163"/>
      <c r="IZ50" s="163"/>
      <c r="JA50" s="163"/>
      <c r="JB50" s="163"/>
      <c r="JC50" s="163"/>
      <c r="JD50" s="163"/>
      <c r="JE50" s="163"/>
      <c r="JF50" s="163"/>
      <c r="JG50" s="163"/>
      <c r="JH50" s="163"/>
      <c r="JI50" s="163"/>
      <c r="JJ50" s="163"/>
      <c r="JK50" s="163"/>
      <c r="JL50" s="163"/>
      <c r="JM50" s="163"/>
      <c r="JN50" s="163"/>
      <c r="JO50" s="163"/>
      <c r="JP50" s="163"/>
      <c r="JQ50" s="163"/>
      <c r="JR50" s="163"/>
      <c r="JS50" s="163"/>
      <c r="JT50" s="163"/>
      <c r="JU50" s="163"/>
      <c r="JV50" s="163"/>
      <c r="JW50" s="163"/>
      <c r="JX50" s="163"/>
      <c r="JY50" s="163"/>
      <c r="JZ50" s="163"/>
      <c r="KA50" s="163"/>
      <c r="KB50" s="163"/>
      <c r="KC50" s="163"/>
      <c r="KD50" s="163"/>
      <c r="KE50" s="163"/>
      <c r="KF50" s="163"/>
      <c r="KG50" s="163"/>
    </row>
    <row r="51" spans="1:293" s="160" customFormat="1" ht="15.75" customHeight="1" thickBot="1" x14ac:dyDescent="0.3">
      <c r="A51" s="175" t="s">
        <v>178</v>
      </c>
      <c r="B51" s="176">
        <f>B20</f>
        <v>100000</v>
      </c>
      <c r="C51" s="211">
        <f>E51+G51+I51+K51+M51+O51+Q51+S51+U51+W51+Y51+AA51</f>
        <v>18</v>
      </c>
      <c r="D51" s="210">
        <f>B51*C51</f>
        <v>1800000</v>
      </c>
      <c r="E51" s="211">
        <v>1</v>
      </c>
      <c r="F51" s="212">
        <f>B51*E51</f>
        <v>100000</v>
      </c>
      <c r="G51" s="211">
        <v>1</v>
      </c>
      <c r="H51" s="212">
        <f>B51*G51</f>
        <v>100000</v>
      </c>
      <c r="I51" s="211">
        <v>1</v>
      </c>
      <c r="J51" s="212">
        <f>$B$51*I51</f>
        <v>100000</v>
      </c>
      <c r="K51" s="211">
        <v>1</v>
      </c>
      <c r="L51" s="212">
        <f>K51*$B$51</f>
        <v>100000</v>
      </c>
      <c r="M51" s="211">
        <v>2</v>
      </c>
      <c r="N51" s="212">
        <f>M51*$B$51</f>
        <v>200000</v>
      </c>
      <c r="O51" s="211">
        <v>3</v>
      </c>
      <c r="P51" s="212">
        <f>O51*$B$51</f>
        <v>300000</v>
      </c>
      <c r="Q51" s="211">
        <v>1</v>
      </c>
      <c r="R51" s="212">
        <f>Q51*B51</f>
        <v>100000</v>
      </c>
      <c r="S51" s="211">
        <v>1</v>
      </c>
      <c r="T51" s="212">
        <f>B51*S51</f>
        <v>100000</v>
      </c>
      <c r="U51" s="211">
        <v>1</v>
      </c>
      <c r="V51" s="212">
        <f t="shared" si="17"/>
        <v>100000</v>
      </c>
      <c r="W51" s="211">
        <v>1</v>
      </c>
      <c r="X51" s="212">
        <f t="shared" si="18"/>
        <v>100000</v>
      </c>
      <c r="Y51" s="211">
        <v>2</v>
      </c>
      <c r="Z51" s="212">
        <f t="shared" si="19"/>
        <v>200000</v>
      </c>
      <c r="AA51" s="211">
        <v>3</v>
      </c>
      <c r="AB51" s="212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3"/>
      <c r="AS51" s="163"/>
      <c r="AT51" s="163"/>
      <c r="AU51" s="163"/>
      <c r="AV51" s="163"/>
      <c r="AW51" s="163"/>
      <c r="AX51" s="163"/>
      <c r="AY51" s="163"/>
      <c r="AZ51" s="163"/>
      <c r="BA51" s="163"/>
      <c r="BB51" s="163"/>
      <c r="BC51" s="163"/>
      <c r="BD51" s="163"/>
      <c r="BE51" s="163"/>
      <c r="BF51" s="163"/>
      <c r="BG51" s="163"/>
      <c r="BH51" s="163"/>
      <c r="BI51" s="163"/>
      <c r="BJ51" s="163"/>
      <c r="BK51" s="163"/>
      <c r="BL51" s="163"/>
      <c r="BM51" s="163"/>
      <c r="BN51" s="163"/>
      <c r="BO51" s="163"/>
      <c r="BP51" s="163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163"/>
      <c r="CB51" s="163"/>
      <c r="CC51" s="163"/>
      <c r="CD51" s="163"/>
      <c r="CE51" s="163"/>
      <c r="CF51" s="163"/>
      <c r="CG51" s="163"/>
      <c r="CH51" s="163"/>
      <c r="CI51" s="163"/>
      <c r="CJ51" s="163"/>
      <c r="CK51" s="163"/>
      <c r="CL51" s="163"/>
      <c r="CM51" s="163"/>
      <c r="CN51" s="163"/>
      <c r="CO51" s="163"/>
      <c r="CP51" s="163"/>
      <c r="CQ51" s="163"/>
      <c r="CR51" s="163"/>
      <c r="CS51" s="163"/>
      <c r="CT51" s="163"/>
      <c r="CU51" s="163"/>
      <c r="CV51" s="163"/>
      <c r="CW51" s="163"/>
      <c r="CX51" s="163"/>
      <c r="CY51" s="163"/>
      <c r="CZ51" s="163"/>
      <c r="DA51" s="163"/>
      <c r="DB51" s="163"/>
      <c r="DC51" s="163"/>
      <c r="DD51" s="163"/>
      <c r="DE51" s="163"/>
      <c r="DF51" s="163"/>
      <c r="DG51" s="163"/>
      <c r="DH51" s="163"/>
      <c r="DI51" s="163"/>
      <c r="DJ51" s="163"/>
      <c r="DK51" s="163"/>
      <c r="DL51" s="163"/>
      <c r="DM51" s="163"/>
      <c r="DN51" s="163"/>
      <c r="DO51" s="163"/>
      <c r="DP51" s="163"/>
      <c r="DQ51" s="163"/>
      <c r="DR51" s="163"/>
      <c r="DS51" s="163"/>
      <c r="DT51" s="163"/>
      <c r="DU51" s="163"/>
      <c r="DV51" s="163"/>
      <c r="DW51" s="163"/>
      <c r="DX51" s="163"/>
      <c r="DY51" s="163"/>
      <c r="DZ51" s="163"/>
      <c r="EA51" s="163"/>
      <c r="EB51" s="163"/>
      <c r="EC51" s="163"/>
      <c r="ED51" s="163"/>
      <c r="EE51" s="163"/>
      <c r="EF51" s="163"/>
      <c r="EG51" s="163"/>
      <c r="EH51" s="163"/>
      <c r="EI51" s="163"/>
      <c r="EJ51" s="163"/>
      <c r="EK51" s="163"/>
      <c r="EL51" s="163"/>
      <c r="EM51" s="163"/>
      <c r="EN51" s="163"/>
      <c r="EO51" s="163"/>
      <c r="EP51" s="163"/>
      <c r="EQ51" s="163"/>
      <c r="ER51" s="163"/>
      <c r="ES51" s="163"/>
      <c r="ET51" s="163"/>
      <c r="EU51" s="163"/>
      <c r="EV51" s="163"/>
      <c r="EW51" s="163"/>
      <c r="EX51" s="163"/>
      <c r="EY51" s="163"/>
      <c r="EZ51" s="163"/>
      <c r="FA51" s="163"/>
      <c r="FB51" s="163"/>
      <c r="FC51" s="163"/>
      <c r="FD51" s="163"/>
      <c r="FE51" s="163"/>
      <c r="FF51" s="163"/>
      <c r="FG51" s="163"/>
      <c r="FH51" s="163"/>
      <c r="FI51" s="163"/>
      <c r="FJ51" s="163"/>
      <c r="FK51" s="163"/>
      <c r="FL51" s="163"/>
      <c r="FM51" s="163"/>
      <c r="FN51" s="163"/>
      <c r="FO51" s="163"/>
      <c r="FP51" s="163"/>
      <c r="FQ51" s="163"/>
      <c r="FR51" s="163"/>
      <c r="FS51" s="163"/>
      <c r="FT51" s="163"/>
      <c r="FU51" s="163"/>
      <c r="FV51" s="163"/>
      <c r="FW51" s="163"/>
      <c r="FX51" s="163"/>
      <c r="FY51" s="163"/>
      <c r="FZ51" s="163"/>
      <c r="GA51" s="163"/>
      <c r="GB51" s="163"/>
      <c r="GC51" s="163"/>
      <c r="GD51" s="163"/>
      <c r="GE51" s="163"/>
      <c r="GF51" s="163"/>
      <c r="GG51" s="163"/>
      <c r="GH51" s="163"/>
      <c r="GI51" s="163"/>
      <c r="GJ51" s="163"/>
      <c r="GK51" s="163"/>
      <c r="GL51" s="163"/>
      <c r="GM51" s="163"/>
      <c r="GN51" s="163"/>
      <c r="GO51" s="163"/>
      <c r="GP51" s="163"/>
      <c r="GQ51" s="163"/>
      <c r="GR51" s="163"/>
      <c r="GS51" s="163"/>
      <c r="GT51" s="163"/>
      <c r="GU51" s="163"/>
      <c r="GV51" s="163"/>
      <c r="GW51" s="163"/>
      <c r="GX51" s="163"/>
      <c r="GY51" s="163"/>
      <c r="GZ51" s="163"/>
      <c r="HA51" s="163"/>
      <c r="HB51" s="163"/>
      <c r="HC51" s="163"/>
      <c r="HD51" s="163"/>
      <c r="HE51" s="163"/>
      <c r="HF51" s="163"/>
      <c r="HG51" s="163"/>
      <c r="HH51" s="163"/>
      <c r="HI51" s="163"/>
      <c r="HJ51" s="163"/>
      <c r="HK51" s="163"/>
      <c r="HL51" s="163"/>
      <c r="HM51" s="163"/>
      <c r="HN51" s="163"/>
      <c r="HO51" s="163"/>
      <c r="HP51" s="163"/>
      <c r="HQ51" s="163"/>
      <c r="HR51" s="163"/>
      <c r="HS51" s="163"/>
      <c r="HT51" s="163"/>
      <c r="HU51" s="163"/>
      <c r="HV51" s="163"/>
      <c r="HW51" s="163"/>
      <c r="HX51" s="163"/>
      <c r="HY51" s="163"/>
      <c r="HZ51" s="163"/>
      <c r="IA51" s="163"/>
      <c r="IB51" s="163"/>
      <c r="IC51" s="163"/>
      <c r="ID51" s="163"/>
      <c r="IE51" s="163"/>
      <c r="IF51" s="163"/>
      <c r="IG51" s="163"/>
      <c r="IH51" s="163"/>
      <c r="II51" s="163"/>
      <c r="IJ51" s="163"/>
      <c r="IK51" s="163"/>
      <c r="IL51" s="163"/>
      <c r="IM51" s="163"/>
      <c r="IN51" s="163"/>
      <c r="IO51" s="163"/>
      <c r="IP51" s="163"/>
      <c r="IQ51" s="163"/>
      <c r="IR51" s="163"/>
      <c r="IS51" s="163"/>
      <c r="IT51" s="163"/>
      <c r="IU51" s="163"/>
      <c r="IV51" s="163"/>
      <c r="IW51" s="163"/>
      <c r="IX51" s="163"/>
      <c r="IY51" s="163"/>
      <c r="IZ51" s="163"/>
      <c r="JA51" s="163"/>
      <c r="JB51" s="163"/>
      <c r="JC51" s="163"/>
      <c r="JD51" s="163"/>
      <c r="JE51" s="163"/>
      <c r="JF51" s="163"/>
      <c r="JG51" s="163"/>
      <c r="JH51" s="163"/>
      <c r="JI51" s="163"/>
      <c r="JJ51" s="163"/>
      <c r="JK51" s="163"/>
      <c r="JL51" s="163"/>
      <c r="JM51" s="163"/>
      <c r="JN51" s="163"/>
      <c r="JO51" s="163"/>
      <c r="JP51" s="163"/>
      <c r="JQ51" s="163"/>
      <c r="JR51" s="163"/>
      <c r="JS51" s="163"/>
      <c r="JT51" s="163"/>
      <c r="JU51" s="163"/>
      <c r="JV51" s="163"/>
      <c r="JW51" s="163"/>
      <c r="JX51" s="163"/>
      <c r="JY51" s="163"/>
      <c r="JZ51" s="163"/>
      <c r="KA51" s="163"/>
      <c r="KB51" s="163"/>
      <c r="KC51" s="163"/>
      <c r="KD51" s="163"/>
      <c r="KE51" s="163"/>
      <c r="KF51" s="163"/>
      <c r="KG51" s="163"/>
    </row>
    <row r="52" spans="1:293" s="161" customFormat="1" ht="15.75" customHeight="1" thickBot="1" x14ac:dyDescent="0.3">
      <c r="A52" s="177" t="s">
        <v>35</v>
      </c>
      <c r="B52" s="178">
        <f>B21</f>
        <v>110000</v>
      </c>
      <c r="C52" s="214">
        <f>E52+G52+I52+K52+M52+O52+Q52+S52+U52+W52+Y52+AA52</f>
        <v>14</v>
      </c>
      <c r="D52" s="213">
        <f>B52*C52</f>
        <v>1540000</v>
      </c>
      <c r="E52" s="215">
        <v>1</v>
      </c>
      <c r="F52" s="216">
        <f>B52*E52</f>
        <v>110000</v>
      </c>
      <c r="G52" s="215">
        <v>1</v>
      </c>
      <c r="H52" s="216">
        <f>B52*G52</f>
        <v>110000</v>
      </c>
      <c r="I52" s="215">
        <v>1</v>
      </c>
      <c r="J52" s="216">
        <f>$B$52*I52</f>
        <v>110000</v>
      </c>
      <c r="K52" s="215">
        <v>1</v>
      </c>
      <c r="L52" s="216">
        <f>$B$52*K52</f>
        <v>110000</v>
      </c>
      <c r="M52" s="215">
        <v>1</v>
      </c>
      <c r="N52" s="216">
        <f>$B$52*M52</f>
        <v>110000</v>
      </c>
      <c r="O52" s="215">
        <v>2</v>
      </c>
      <c r="P52" s="216">
        <f>$B$52*O52</f>
        <v>220000</v>
      </c>
      <c r="Q52" s="215">
        <v>1</v>
      </c>
      <c r="R52" s="216">
        <f t="shared" ref="R52" si="21">N52*Q52</f>
        <v>110000</v>
      </c>
      <c r="S52" s="215">
        <v>1</v>
      </c>
      <c r="T52" s="216">
        <f t="shared" ref="T52" si="22">N52*S52</f>
        <v>110000</v>
      </c>
      <c r="U52" s="215">
        <v>1</v>
      </c>
      <c r="V52" s="216">
        <f t="shared" si="17"/>
        <v>110000</v>
      </c>
      <c r="W52" s="215">
        <v>1</v>
      </c>
      <c r="X52" s="216">
        <f t="shared" si="18"/>
        <v>110000</v>
      </c>
      <c r="Y52" s="215">
        <v>1</v>
      </c>
      <c r="Z52" s="216">
        <f t="shared" si="19"/>
        <v>110000</v>
      </c>
      <c r="AA52" s="215">
        <v>2</v>
      </c>
      <c r="AB52" s="216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3"/>
      <c r="AS52" s="163"/>
      <c r="AT52" s="163"/>
      <c r="AU52" s="163"/>
      <c r="AV52" s="163"/>
      <c r="AW52" s="163"/>
      <c r="AX52" s="163"/>
      <c r="AY52" s="163"/>
      <c r="AZ52" s="163"/>
      <c r="BA52" s="163"/>
      <c r="BB52" s="163"/>
      <c r="BC52" s="163"/>
      <c r="BD52" s="163"/>
      <c r="BE52" s="163"/>
      <c r="BF52" s="163"/>
      <c r="BG52" s="163"/>
      <c r="BH52" s="163"/>
      <c r="BI52" s="163"/>
      <c r="BJ52" s="163"/>
      <c r="BK52" s="163"/>
      <c r="BL52" s="163"/>
      <c r="BM52" s="163"/>
      <c r="BN52" s="163"/>
      <c r="BO52" s="163"/>
      <c r="BP52" s="163"/>
      <c r="BQ52" s="163"/>
      <c r="BR52" s="163"/>
      <c r="BS52" s="163"/>
      <c r="BT52" s="163"/>
      <c r="BU52" s="163"/>
      <c r="BV52" s="163"/>
      <c r="BW52" s="163"/>
      <c r="BX52" s="163"/>
      <c r="BY52" s="163"/>
      <c r="BZ52" s="163"/>
      <c r="CA52" s="163"/>
      <c r="CB52" s="163"/>
      <c r="CC52" s="163"/>
      <c r="CD52" s="163"/>
      <c r="CE52" s="163"/>
      <c r="CF52" s="163"/>
      <c r="CG52" s="163"/>
      <c r="CH52" s="163"/>
      <c r="CI52" s="163"/>
      <c r="CJ52" s="163"/>
      <c r="CK52" s="163"/>
      <c r="CL52" s="163"/>
      <c r="CM52" s="163"/>
      <c r="CN52" s="163"/>
      <c r="CO52" s="163"/>
      <c r="CP52" s="163"/>
      <c r="CQ52" s="163"/>
      <c r="CR52" s="163"/>
      <c r="CS52" s="163"/>
      <c r="CT52" s="163"/>
      <c r="CU52" s="163"/>
      <c r="CV52" s="163"/>
      <c r="CW52" s="163"/>
      <c r="CX52" s="163"/>
      <c r="CY52" s="163"/>
      <c r="CZ52" s="163"/>
      <c r="DA52" s="163"/>
      <c r="DB52" s="163"/>
      <c r="DC52" s="163"/>
      <c r="DD52" s="163"/>
      <c r="DE52" s="163"/>
      <c r="DF52" s="163"/>
      <c r="DG52" s="163"/>
      <c r="DH52" s="163"/>
      <c r="DI52" s="163"/>
      <c r="DJ52" s="163"/>
      <c r="DK52" s="163"/>
      <c r="DL52" s="163"/>
      <c r="DM52" s="163"/>
      <c r="DN52" s="163"/>
      <c r="DO52" s="163"/>
      <c r="DP52" s="163"/>
      <c r="DQ52" s="163"/>
      <c r="DR52" s="163"/>
      <c r="DS52" s="163"/>
      <c r="DT52" s="163"/>
      <c r="DU52" s="163"/>
      <c r="DV52" s="163"/>
      <c r="DW52" s="163"/>
      <c r="DX52" s="163"/>
      <c r="DY52" s="163"/>
      <c r="DZ52" s="163"/>
      <c r="EA52" s="163"/>
      <c r="EB52" s="163"/>
      <c r="EC52" s="163"/>
      <c r="ED52" s="163"/>
      <c r="EE52" s="163"/>
      <c r="EF52" s="163"/>
      <c r="EG52" s="163"/>
      <c r="EH52" s="163"/>
      <c r="EI52" s="163"/>
      <c r="EJ52" s="163"/>
      <c r="EK52" s="163"/>
      <c r="EL52" s="163"/>
      <c r="EM52" s="163"/>
      <c r="EN52" s="163"/>
      <c r="EO52" s="163"/>
      <c r="EP52" s="163"/>
      <c r="EQ52" s="163"/>
      <c r="ER52" s="163"/>
      <c r="ES52" s="163"/>
      <c r="ET52" s="163"/>
      <c r="EU52" s="163"/>
      <c r="EV52" s="163"/>
      <c r="EW52" s="163"/>
      <c r="EX52" s="163"/>
      <c r="EY52" s="163"/>
      <c r="EZ52" s="163"/>
      <c r="FA52" s="163"/>
      <c r="FB52" s="163"/>
      <c r="FC52" s="163"/>
      <c r="FD52" s="163"/>
      <c r="FE52" s="163"/>
      <c r="FF52" s="163"/>
      <c r="FG52" s="163"/>
      <c r="FH52" s="163"/>
      <c r="FI52" s="163"/>
      <c r="FJ52" s="163"/>
      <c r="FK52" s="163"/>
      <c r="FL52" s="163"/>
      <c r="FM52" s="163"/>
      <c r="FN52" s="163"/>
      <c r="FO52" s="163"/>
      <c r="FP52" s="163"/>
      <c r="FQ52" s="163"/>
      <c r="FR52" s="163"/>
      <c r="FS52" s="163"/>
      <c r="FT52" s="163"/>
      <c r="FU52" s="163"/>
      <c r="FV52" s="163"/>
      <c r="FW52" s="163"/>
      <c r="FX52" s="163"/>
      <c r="FY52" s="163"/>
      <c r="FZ52" s="163"/>
      <c r="GA52" s="163"/>
      <c r="GB52" s="163"/>
      <c r="GC52" s="163"/>
      <c r="GD52" s="163"/>
      <c r="GE52" s="163"/>
      <c r="GF52" s="163"/>
      <c r="GG52" s="163"/>
      <c r="GH52" s="163"/>
      <c r="GI52" s="163"/>
      <c r="GJ52" s="163"/>
      <c r="GK52" s="163"/>
      <c r="GL52" s="163"/>
      <c r="GM52" s="163"/>
      <c r="GN52" s="163"/>
      <c r="GO52" s="163"/>
      <c r="GP52" s="163"/>
      <c r="GQ52" s="163"/>
      <c r="GR52" s="163"/>
      <c r="GS52" s="163"/>
      <c r="GT52" s="163"/>
      <c r="GU52" s="163"/>
      <c r="GV52" s="163"/>
      <c r="GW52" s="163"/>
      <c r="GX52" s="163"/>
      <c r="GY52" s="163"/>
      <c r="GZ52" s="163"/>
      <c r="HA52" s="163"/>
      <c r="HB52" s="163"/>
      <c r="HC52" s="163"/>
      <c r="HD52" s="163"/>
      <c r="HE52" s="163"/>
      <c r="HF52" s="163"/>
      <c r="HG52" s="163"/>
      <c r="HH52" s="163"/>
      <c r="HI52" s="163"/>
      <c r="HJ52" s="163"/>
      <c r="HK52" s="163"/>
      <c r="HL52" s="163"/>
      <c r="HM52" s="163"/>
      <c r="HN52" s="163"/>
      <c r="HO52" s="163"/>
      <c r="HP52" s="163"/>
      <c r="HQ52" s="163"/>
      <c r="HR52" s="163"/>
      <c r="HS52" s="163"/>
      <c r="HT52" s="163"/>
      <c r="HU52" s="163"/>
      <c r="HV52" s="163"/>
      <c r="HW52" s="163"/>
      <c r="HX52" s="163"/>
      <c r="HY52" s="163"/>
      <c r="HZ52" s="163"/>
      <c r="IA52" s="163"/>
      <c r="IB52" s="163"/>
      <c r="IC52" s="163"/>
      <c r="ID52" s="163"/>
      <c r="IE52" s="163"/>
      <c r="IF52" s="163"/>
      <c r="IG52" s="163"/>
      <c r="IH52" s="163"/>
      <c r="II52" s="163"/>
      <c r="IJ52" s="163"/>
      <c r="IK52" s="163"/>
      <c r="IL52" s="163"/>
      <c r="IM52" s="163"/>
      <c r="IN52" s="163"/>
      <c r="IO52" s="163"/>
      <c r="IP52" s="163"/>
      <c r="IQ52" s="163"/>
      <c r="IR52" s="163"/>
      <c r="IS52" s="163"/>
      <c r="IT52" s="163"/>
      <c r="IU52" s="163"/>
      <c r="IV52" s="163"/>
      <c r="IW52" s="163"/>
      <c r="IX52" s="163"/>
      <c r="IY52" s="163"/>
      <c r="IZ52" s="163"/>
      <c r="JA52" s="163"/>
      <c r="JB52" s="163"/>
      <c r="JC52" s="163"/>
      <c r="JD52" s="163"/>
      <c r="JE52" s="163"/>
      <c r="JF52" s="163"/>
      <c r="JG52" s="163"/>
      <c r="JH52" s="163"/>
      <c r="JI52" s="163"/>
      <c r="JJ52" s="163"/>
      <c r="JK52" s="163"/>
      <c r="JL52" s="163"/>
      <c r="JM52" s="163"/>
      <c r="JN52" s="163"/>
      <c r="JO52" s="163"/>
      <c r="JP52" s="163"/>
      <c r="JQ52" s="163"/>
      <c r="JR52" s="163"/>
      <c r="JS52" s="163"/>
      <c r="JT52" s="163"/>
      <c r="JU52" s="163"/>
      <c r="JV52" s="163"/>
      <c r="JW52" s="163"/>
      <c r="JX52" s="163"/>
      <c r="JY52" s="163"/>
      <c r="JZ52" s="163"/>
      <c r="KA52" s="163"/>
      <c r="KB52" s="163"/>
      <c r="KC52" s="163"/>
      <c r="KD52" s="163"/>
      <c r="KE52" s="163"/>
      <c r="KF52" s="163"/>
      <c r="KG52" s="163"/>
    </row>
    <row r="53" spans="1:293" ht="15.75" customHeight="1" thickBot="1" x14ac:dyDescent="0.3">
      <c r="A53" s="478" t="s">
        <v>53</v>
      </c>
      <c r="B53" s="479"/>
      <c r="C53" s="242">
        <f t="shared" ref="C53:J53" si="23">SUM(C50:C52)</f>
        <v>41</v>
      </c>
      <c r="D53" s="243">
        <f t="shared" si="23"/>
        <v>4150000</v>
      </c>
      <c r="E53" s="242">
        <f t="shared" si="23"/>
        <v>2</v>
      </c>
      <c r="F53" s="243">
        <f t="shared" si="23"/>
        <v>210000</v>
      </c>
      <c r="G53" s="242">
        <f t="shared" si="23"/>
        <v>2</v>
      </c>
      <c r="H53" s="243">
        <f t="shared" si="23"/>
        <v>210000</v>
      </c>
      <c r="I53" s="242">
        <f t="shared" si="23"/>
        <v>2</v>
      </c>
      <c r="J53" s="243">
        <f t="shared" si="23"/>
        <v>210000</v>
      </c>
      <c r="K53" s="242">
        <f t="shared" ref="K53:Z53" si="24">SUM(K50:K52)</f>
        <v>3</v>
      </c>
      <c r="L53" s="243">
        <f t="shared" si="24"/>
        <v>300000</v>
      </c>
      <c r="M53" s="242">
        <f t="shared" si="24"/>
        <v>4</v>
      </c>
      <c r="N53" s="243">
        <f t="shared" si="24"/>
        <v>400000</v>
      </c>
      <c r="O53" s="242">
        <f t="shared" si="24"/>
        <v>6</v>
      </c>
      <c r="P53" s="243">
        <f t="shared" si="24"/>
        <v>610000</v>
      </c>
      <c r="Q53" s="242">
        <f t="shared" si="24"/>
        <v>3</v>
      </c>
      <c r="R53" s="243">
        <f t="shared" si="24"/>
        <v>300000</v>
      </c>
      <c r="S53" s="242">
        <f t="shared" si="24"/>
        <v>3</v>
      </c>
      <c r="T53" s="243">
        <f t="shared" si="24"/>
        <v>300000</v>
      </c>
      <c r="U53" s="242">
        <f t="shared" si="24"/>
        <v>3</v>
      </c>
      <c r="V53" s="243">
        <f t="shared" si="24"/>
        <v>300000</v>
      </c>
      <c r="W53" s="242">
        <f t="shared" si="24"/>
        <v>3</v>
      </c>
      <c r="X53" s="243">
        <f t="shared" si="24"/>
        <v>300000</v>
      </c>
      <c r="Y53" s="242">
        <f t="shared" si="24"/>
        <v>4</v>
      </c>
      <c r="Z53" s="243">
        <f t="shared" si="24"/>
        <v>400000</v>
      </c>
      <c r="AA53" s="242">
        <f>SUM(AA50:AA52)</f>
        <v>6</v>
      </c>
      <c r="AB53" s="243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3"/>
      <c r="AS53" s="163"/>
      <c r="AT53" s="163"/>
      <c r="AU53" s="163"/>
      <c r="AV53" s="163"/>
      <c r="AW53" s="163"/>
      <c r="AX53" s="163"/>
      <c r="AY53" s="163"/>
      <c r="AZ53" s="163"/>
      <c r="BA53" s="163"/>
      <c r="BB53" s="163"/>
      <c r="BC53" s="163"/>
      <c r="BD53" s="163"/>
      <c r="BE53" s="163"/>
      <c r="BF53" s="163"/>
      <c r="BG53" s="163"/>
      <c r="BH53" s="163"/>
      <c r="BI53" s="163"/>
      <c r="BJ53" s="163"/>
      <c r="BK53" s="163"/>
      <c r="BL53" s="163"/>
      <c r="BM53" s="163"/>
      <c r="BN53" s="163"/>
      <c r="BO53" s="163"/>
      <c r="BP53" s="163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163"/>
      <c r="CB53" s="163"/>
      <c r="CC53" s="163"/>
      <c r="CD53" s="163"/>
      <c r="CE53" s="163"/>
      <c r="CF53" s="163"/>
      <c r="CG53" s="163"/>
      <c r="CH53" s="163"/>
      <c r="CI53" s="163"/>
      <c r="CJ53" s="163"/>
      <c r="CK53" s="163"/>
      <c r="CL53" s="163"/>
      <c r="CM53" s="163"/>
      <c r="CN53" s="163"/>
      <c r="CO53" s="163"/>
      <c r="CP53" s="163"/>
      <c r="CQ53" s="163"/>
      <c r="CR53" s="163"/>
      <c r="CS53" s="163"/>
      <c r="CT53" s="163"/>
      <c r="CU53" s="163"/>
      <c r="CV53" s="163"/>
      <c r="CW53" s="163"/>
      <c r="CX53" s="163"/>
      <c r="CY53" s="163"/>
      <c r="CZ53" s="163"/>
      <c r="DA53" s="163"/>
      <c r="DB53" s="163"/>
      <c r="DC53" s="163"/>
      <c r="DD53" s="163"/>
      <c r="DE53" s="163"/>
      <c r="DF53" s="163"/>
      <c r="DG53" s="163"/>
      <c r="DH53" s="163"/>
      <c r="DI53" s="163"/>
      <c r="DJ53" s="163"/>
      <c r="DK53" s="163"/>
      <c r="DL53" s="163"/>
      <c r="DM53" s="163"/>
      <c r="DN53" s="163"/>
      <c r="DO53" s="163"/>
      <c r="DP53" s="163"/>
      <c r="DQ53" s="163"/>
      <c r="DR53" s="163"/>
      <c r="DS53" s="163"/>
      <c r="DT53" s="163"/>
      <c r="DU53" s="163"/>
      <c r="DV53" s="163"/>
      <c r="DW53" s="163"/>
      <c r="DX53" s="163"/>
      <c r="DY53" s="163"/>
      <c r="DZ53" s="163"/>
      <c r="EA53" s="163"/>
      <c r="EB53" s="163"/>
      <c r="EC53" s="163"/>
      <c r="ED53" s="163"/>
      <c r="EE53" s="163"/>
      <c r="EF53" s="163"/>
      <c r="EG53" s="163"/>
      <c r="EH53" s="163"/>
      <c r="EI53" s="163"/>
      <c r="EJ53" s="163"/>
      <c r="EK53" s="163"/>
      <c r="EL53" s="163"/>
      <c r="EM53" s="163"/>
      <c r="EN53" s="163"/>
      <c r="EO53" s="163"/>
      <c r="EP53" s="163"/>
      <c r="EQ53" s="163"/>
      <c r="ER53" s="163"/>
      <c r="ES53" s="163"/>
      <c r="ET53" s="163"/>
      <c r="EU53" s="163"/>
      <c r="EV53" s="163"/>
      <c r="EW53" s="163"/>
      <c r="EX53" s="163"/>
      <c r="EY53" s="163"/>
      <c r="EZ53" s="163"/>
      <c r="FA53" s="163"/>
      <c r="FB53" s="163"/>
      <c r="FC53" s="163"/>
      <c r="FD53" s="163"/>
      <c r="FE53" s="163"/>
      <c r="FF53" s="163"/>
      <c r="FG53" s="163"/>
      <c r="FH53" s="163"/>
      <c r="FI53" s="163"/>
      <c r="FJ53" s="163"/>
      <c r="FK53" s="163"/>
      <c r="FL53" s="163"/>
      <c r="FM53" s="163"/>
      <c r="FN53" s="163"/>
      <c r="FO53" s="163"/>
      <c r="FP53" s="163"/>
      <c r="FQ53" s="163"/>
      <c r="FR53" s="163"/>
      <c r="FS53" s="163"/>
      <c r="FT53" s="163"/>
      <c r="FU53" s="163"/>
      <c r="FV53" s="163"/>
      <c r="FW53" s="163"/>
      <c r="FX53" s="163"/>
      <c r="FY53" s="163"/>
      <c r="FZ53" s="163"/>
      <c r="GA53" s="163"/>
      <c r="GB53" s="163"/>
      <c r="GC53" s="163"/>
      <c r="GD53" s="163"/>
      <c r="GE53" s="163"/>
      <c r="GF53" s="163"/>
      <c r="GG53" s="163"/>
      <c r="GH53" s="163"/>
      <c r="GI53" s="163"/>
      <c r="GJ53" s="163"/>
      <c r="GK53" s="163"/>
      <c r="GL53" s="163"/>
      <c r="GM53" s="163"/>
      <c r="GN53" s="163"/>
      <c r="GO53" s="163"/>
      <c r="GP53" s="163"/>
      <c r="GQ53" s="163"/>
      <c r="GR53" s="163"/>
      <c r="GS53" s="163"/>
      <c r="GT53" s="163"/>
      <c r="GU53" s="163"/>
      <c r="GV53" s="163"/>
      <c r="GW53" s="163"/>
      <c r="GX53" s="163"/>
      <c r="GY53" s="163"/>
      <c r="GZ53" s="163"/>
      <c r="HA53" s="163"/>
      <c r="HB53" s="163"/>
      <c r="HC53" s="163"/>
      <c r="HD53" s="163"/>
      <c r="HE53" s="163"/>
      <c r="HF53" s="163"/>
      <c r="HG53" s="163"/>
      <c r="HH53" s="163"/>
      <c r="HI53" s="163"/>
      <c r="HJ53" s="163"/>
      <c r="HK53" s="163"/>
      <c r="HL53" s="163"/>
      <c r="HM53" s="163"/>
      <c r="HN53" s="163"/>
      <c r="HO53" s="163"/>
      <c r="HP53" s="163"/>
      <c r="HQ53" s="163"/>
      <c r="HR53" s="163"/>
      <c r="HS53" s="163"/>
      <c r="HT53" s="163"/>
      <c r="HU53" s="163"/>
      <c r="HV53" s="163"/>
      <c r="HW53" s="163"/>
      <c r="HX53" s="163"/>
      <c r="HY53" s="163"/>
      <c r="HZ53" s="163"/>
      <c r="IA53" s="163"/>
      <c r="IB53" s="163"/>
      <c r="IC53" s="163"/>
      <c r="ID53" s="163"/>
      <c r="IE53" s="163"/>
      <c r="IF53" s="163"/>
      <c r="IG53" s="163"/>
      <c r="IH53" s="163"/>
      <c r="II53" s="163"/>
      <c r="IJ53" s="163"/>
      <c r="IK53" s="163"/>
      <c r="IL53" s="163"/>
      <c r="IM53" s="163"/>
      <c r="IN53" s="163"/>
      <c r="IO53" s="163"/>
      <c r="IP53" s="163"/>
      <c r="IQ53" s="163"/>
      <c r="IR53" s="163"/>
      <c r="IS53" s="163"/>
      <c r="IT53" s="163"/>
      <c r="IU53" s="163"/>
      <c r="IV53" s="163"/>
      <c r="IW53" s="163"/>
      <c r="IX53" s="163"/>
      <c r="IY53" s="163"/>
      <c r="IZ53" s="163"/>
      <c r="JA53" s="163"/>
      <c r="JB53" s="163"/>
      <c r="JC53" s="163"/>
      <c r="JD53" s="163"/>
      <c r="JE53" s="163"/>
      <c r="JF53" s="163"/>
      <c r="JG53" s="163"/>
      <c r="JH53" s="163"/>
      <c r="JI53" s="163"/>
      <c r="JJ53" s="163"/>
      <c r="JK53" s="163"/>
      <c r="JL53" s="163"/>
      <c r="JM53" s="163"/>
      <c r="JN53" s="163"/>
      <c r="JO53" s="163"/>
      <c r="JP53" s="163"/>
      <c r="JQ53" s="163"/>
      <c r="JR53" s="163"/>
      <c r="JS53" s="163"/>
      <c r="JT53" s="163"/>
      <c r="JU53" s="163"/>
      <c r="JV53" s="163"/>
      <c r="JW53" s="163"/>
      <c r="JX53" s="163"/>
      <c r="JY53" s="163"/>
      <c r="JZ53" s="163"/>
      <c r="KA53" s="163"/>
      <c r="KB53" s="163"/>
      <c r="KC53" s="163"/>
      <c r="KD53" s="163"/>
      <c r="KE53" s="163"/>
      <c r="KF53" s="163"/>
      <c r="KG53" s="163"/>
    </row>
    <row r="54" spans="1:293" ht="15.75" customHeight="1" thickBot="1" x14ac:dyDescent="0.3">
      <c r="A54" s="405" t="s">
        <v>187</v>
      </c>
      <c r="B54" s="406"/>
      <c r="C54" s="407"/>
      <c r="D54" s="219">
        <f>SUM(F54+H54+J54+L54+N54+P54+R54+T54+V54+X54+Z54+AB54)</f>
        <v>12960000</v>
      </c>
      <c r="E54" s="220">
        <f>E50+AA23</f>
        <v>9</v>
      </c>
      <c r="F54" s="221">
        <f>(E54+E50)*B50</f>
        <v>810000</v>
      </c>
      <c r="G54" s="220">
        <f>G50+E54</f>
        <v>9</v>
      </c>
      <c r="H54" s="221">
        <f>(E54+E50)*B50</f>
        <v>810000</v>
      </c>
      <c r="I54" s="220">
        <f>I50+G54</f>
        <v>9</v>
      </c>
      <c r="J54" s="221">
        <f>(E54+E50)*B50</f>
        <v>810000</v>
      </c>
      <c r="K54" s="220">
        <f>K50+I54</f>
        <v>10</v>
      </c>
      <c r="L54" s="221">
        <f>(E54+E50)*B50</f>
        <v>810000</v>
      </c>
      <c r="M54" s="220">
        <f>K54+M50</f>
        <v>11</v>
      </c>
      <c r="N54" s="222">
        <f>L54+B50*M50</f>
        <v>900000</v>
      </c>
      <c r="O54" s="220">
        <f>M54+O50</f>
        <v>12</v>
      </c>
      <c r="P54" s="222">
        <f>N54+B50*O50</f>
        <v>990000</v>
      </c>
      <c r="Q54" s="220">
        <f>O54+Q50</f>
        <v>13</v>
      </c>
      <c r="R54" s="222">
        <f>P54+B50*Q50</f>
        <v>1080000</v>
      </c>
      <c r="S54" s="220">
        <f>Q54+1</f>
        <v>14</v>
      </c>
      <c r="T54" s="222">
        <f>R54+B50*S50</f>
        <v>1170000</v>
      </c>
      <c r="U54" s="220">
        <f>S54+1</f>
        <v>15</v>
      </c>
      <c r="V54" s="222">
        <f>T54+B50*U50</f>
        <v>1260000</v>
      </c>
      <c r="W54" s="220">
        <f>U54+1</f>
        <v>16</v>
      </c>
      <c r="X54" s="222">
        <f>V54+X50*W50</f>
        <v>1350000</v>
      </c>
      <c r="Y54" s="220">
        <f>W54+1</f>
        <v>17</v>
      </c>
      <c r="Z54" s="222">
        <f>X54+B50*Y50</f>
        <v>1440000</v>
      </c>
      <c r="AA54" s="220">
        <f>Y54+1</f>
        <v>18</v>
      </c>
      <c r="AB54" s="222">
        <f>Z54+B50*AA50</f>
        <v>1530000</v>
      </c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63"/>
      <c r="AS54" s="163"/>
      <c r="AT54" s="163"/>
      <c r="AU54" s="163"/>
      <c r="AV54" s="163"/>
      <c r="AW54" s="163"/>
      <c r="AX54" s="163"/>
      <c r="AY54" s="163"/>
      <c r="AZ54" s="163"/>
      <c r="BA54" s="163"/>
      <c r="BB54" s="163"/>
      <c r="BC54" s="163"/>
      <c r="BD54" s="163"/>
      <c r="BE54" s="163"/>
      <c r="BF54" s="163"/>
      <c r="BG54" s="163"/>
      <c r="BH54" s="163"/>
      <c r="BI54" s="163"/>
      <c r="BJ54" s="163"/>
      <c r="BK54" s="163"/>
      <c r="BL54" s="163"/>
      <c r="BM54" s="163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163"/>
      <c r="CB54" s="163"/>
      <c r="CC54" s="163"/>
      <c r="CD54" s="163"/>
      <c r="CE54" s="163"/>
      <c r="CF54" s="163"/>
      <c r="CG54" s="163"/>
      <c r="CH54" s="163"/>
      <c r="CI54" s="163"/>
      <c r="CJ54" s="163"/>
      <c r="CK54" s="163"/>
      <c r="CL54" s="163"/>
      <c r="CM54" s="163"/>
      <c r="CN54" s="163"/>
      <c r="CO54" s="163"/>
      <c r="CP54" s="163"/>
      <c r="CQ54" s="163"/>
      <c r="CR54" s="163"/>
      <c r="CS54" s="163"/>
      <c r="CT54" s="163"/>
      <c r="CU54" s="163"/>
      <c r="CV54" s="163"/>
      <c r="CW54" s="163"/>
      <c r="CX54" s="163"/>
      <c r="CY54" s="163"/>
      <c r="CZ54" s="163"/>
      <c r="DA54" s="163"/>
      <c r="DB54" s="163"/>
      <c r="DC54" s="163"/>
      <c r="DD54" s="163"/>
      <c r="DE54" s="163"/>
      <c r="DF54" s="163"/>
      <c r="DG54" s="163"/>
      <c r="DH54" s="163"/>
      <c r="DI54" s="163"/>
      <c r="DJ54" s="163"/>
      <c r="DK54" s="163"/>
      <c r="DL54" s="163"/>
      <c r="DM54" s="163"/>
      <c r="DN54" s="163"/>
      <c r="DO54" s="163"/>
      <c r="DP54" s="163"/>
      <c r="DQ54" s="163"/>
      <c r="DR54" s="163"/>
      <c r="DS54" s="163"/>
      <c r="DT54" s="163"/>
      <c r="DU54" s="163"/>
      <c r="DV54" s="163"/>
      <c r="DW54" s="163"/>
      <c r="DX54" s="163"/>
      <c r="DY54" s="163"/>
      <c r="DZ54" s="163"/>
      <c r="EA54" s="163"/>
      <c r="EB54" s="163"/>
      <c r="EC54" s="163"/>
      <c r="ED54" s="163"/>
      <c r="EE54" s="163"/>
      <c r="EF54" s="163"/>
      <c r="EG54" s="163"/>
      <c r="EH54" s="163"/>
      <c r="EI54" s="163"/>
      <c r="EJ54" s="163"/>
      <c r="EK54" s="163"/>
      <c r="EL54" s="163"/>
      <c r="EM54" s="163"/>
      <c r="EN54" s="163"/>
      <c r="EO54" s="163"/>
      <c r="EP54" s="163"/>
      <c r="EQ54" s="163"/>
      <c r="ER54" s="163"/>
      <c r="ES54" s="163"/>
      <c r="ET54" s="163"/>
      <c r="EU54" s="163"/>
      <c r="EV54" s="163"/>
      <c r="EW54" s="163"/>
      <c r="EX54" s="163"/>
      <c r="EY54" s="163"/>
      <c r="EZ54" s="163"/>
      <c r="FA54" s="163"/>
      <c r="FB54" s="163"/>
      <c r="FC54" s="163"/>
      <c r="FD54" s="163"/>
      <c r="FE54" s="163"/>
      <c r="FF54" s="163"/>
      <c r="FG54" s="163"/>
      <c r="FH54" s="163"/>
      <c r="FI54" s="163"/>
      <c r="FJ54" s="163"/>
      <c r="FK54" s="163"/>
      <c r="FL54" s="163"/>
      <c r="FM54" s="163"/>
      <c r="FN54" s="163"/>
      <c r="FO54" s="163"/>
      <c r="FP54" s="163"/>
      <c r="FQ54" s="163"/>
      <c r="FR54" s="163"/>
      <c r="FS54" s="163"/>
      <c r="FT54" s="163"/>
      <c r="FU54" s="163"/>
      <c r="FV54" s="163"/>
      <c r="FW54" s="163"/>
      <c r="FX54" s="163"/>
      <c r="FY54" s="163"/>
      <c r="FZ54" s="163"/>
      <c r="GA54" s="163"/>
      <c r="GB54" s="163"/>
      <c r="GC54" s="163"/>
      <c r="GD54" s="163"/>
      <c r="GE54" s="163"/>
      <c r="GF54" s="163"/>
      <c r="GG54" s="163"/>
      <c r="GH54" s="163"/>
      <c r="GI54" s="163"/>
      <c r="GJ54" s="163"/>
      <c r="GK54" s="163"/>
      <c r="GL54" s="163"/>
      <c r="GM54" s="163"/>
      <c r="GN54" s="163"/>
      <c r="GO54" s="163"/>
      <c r="GP54" s="163"/>
      <c r="GQ54" s="163"/>
      <c r="GR54" s="163"/>
      <c r="GS54" s="163"/>
      <c r="GT54" s="163"/>
      <c r="GU54" s="163"/>
      <c r="GV54" s="163"/>
      <c r="GW54" s="163"/>
      <c r="GX54" s="163"/>
      <c r="GY54" s="163"/>
      <c r="GZ54" s="163"/>
      <c r="HA54" s="163"/>
      <c r="HB54" s="163"/>
      <c r="HC54" s="163"/>
      <c r="HD54" s="163"/>
      <c r="HE54" s="163"/>
      <c r="HF54" s="163"/>
      <c r="HG54" s="163"/>
      <c r="HH54" s="163"/>
      <c r="HI54" s="163"/>
      <c r="HJ54" s="163"/>
      <c r="HK54" s="163"/>
      <c r="HL54" s="163"/>
      <c r="HM54" s="163"/>
      <c r="HN54" s="163"/>
      <c r="HO54" s="163"/>
      <c r="HP54" s="163"/>
      <c r="HQ54" s="163"/>
      <c r="HR54" s="163"/>
      <c r="HS54" s="163"/>
      <c r="HT54" s="163"/>
      <c r="HU54" s="163"/>
      <c r="HV54" s="163"/>
      <c r="HW54" s="163"/>
      <c r="HX54" s="163"/>
      <c r="HY54" s="163"/>
      <c r="HZ54" s="163"/>
      <c r="IA54" s="163"/>
      <c r="IB54" s="163"/>
      <c r="IC54" s="163"/>
      <c r="ID54" s="163"/>
      <c r="IE54" s="163"/>
      <c r="IF54" s="163"/>
      <c r="IG54" s="163"/>
      <c r="IH54" s="163"/>
      <c r="II54" s="163"/>
      <c r="IJ54" s="163"/>
      <c r="IK54" s="163"/>
      <c r="IL54" s="163"/>
      <c r="IM54" s="163"/>
      <c r="IN54" s="163"/>
      <c r="IO54" s="163"/>
      <c r="IP54" s="163"/>
      <c r="IQ54" s="163"/>
      <c r="IR54" s="163"/>
      <c r="IS54" s="163"/>
      <c r="IT54" s="163"/>
      <c r="IU54" s="163"/>
      <c r="IV54" s="163"/>
      <c r="IW54" s="163"/>
      <c r="IX54" s="163"/>
      <c r="IY54" s="163"/>
      <c r="IZ54" s="163"/>
      <c r="JA54" s="163"/>
      <c r="JB54" s="163"/>
      <c r="JC54" s="163"/>
      <c r="JD54" s="163"/>
      <c r="JE54" s="163"/>
      <c r="JF54" s="163"/>
      <c r="JG54" s="163"/>
      <c r="JH54" s="163"/>
      <c r="JI54" s="163"/>
      <c r="JJ54" s="163"/>
      <c r="JK54" s="163"/>
      <c r="JL54" s="163"/>
      <c r="JM54" s="163"/>
      <c r="JN54" s="163"/>
      <c r="JO54" s="163"/>
      <c r="JP54" s="163"/>
      <c r="JQ54" s="163"/>
      <c r="JR54" s="163"/>
      <c r="JS54" s="163"/>
      <c r="JT54" s="163"/>
      <c r="JU54" s="163"/>
      <c r="JV54" s="163"/>
      <c r="JW54" s="163"/>
      <c r="JX54" s="163"/>
      <c r="JY54" s="163"/>
      <c r="JZ54" s="163"/>
      <c r="KA54" s="163"/>
      <c r="KB54" s="163"/>
      <c r="KC54" s="163"/>
      <c r="KD54" s="163"/>
      <c r="KE54" s="163"/>
      <c r="KF54" s="163"/>
      <c r="KG54" s="163"/>
    </row>
    <row r="55" spans="1:293" ht="15.75" customHeight="1" thickBot="1" x14ac:dyDescent="0.3">
      <c r="A55" s="408" t="s">
        <v>188</v>
      </c>
      <c r="B55" s="409"/>
      <c r="C55" s="410"/>
      <c r="D55" s="223">
        <f>SUM(F55+H55+J55+L55+N55+P55+R55+T55+V55+X55+Z55+AB55)</f>
        <v>32000000</v>
      </c>
      <c r="E55" s="224">
        <f>E51+AA24</f>
        <v>19</v>
      </c>
      <c r="F55" s="225">
        <f>$B$51*(E55)</f>
        <v>1900000</v>
      </c>
      <c r="G55" s="224">
        <f>G51+E55</f>
        <v>20</v>
      </c>
      <c r="H55" s="225">
        <f>$B$51*(G55)</f>
        <v>2000000</v>
      </c>
      <c r="I55" s="224">
        <f>I51+G55</f>
        <v>21</v>
      </c>
      <c r="J55" s="225">
        <f>$B$51*(I55)</f>
        <v>2100000</v>
      </c>
      <c r="K55" s="224">
        <f>K51+I55</f>
        <v>22</v>
      </c>
      <c r="L55" s="225">
        <f>$B$51*(K55)</f>
        <v>2200000</v>
      </c>
      <c r="M55" s="224">
        <f>K55+M51</f>
        <v>24</v>
      </c>
      <c r="N55" s="226">
        <f>L55+B51*M51</f>
        <v>2400000</v>
      </c>
      <c r="O55" s="224">
        <f>M55+O51</f>
        <v>27</v>
      </c>
      <c r="P55" s="226">
        <f>N55+B51*O51</f>
        <v>2700000</v>
      </c>
      <c r="Q55" s="224">
        <f>O55+Q51</f>
        <v>28</v>
      </c>
      <c r="R55" s="226">
        <f>P55+B51*Q51</f>
        <v>2800000</v>
      </c>
      <c r="S55" s="224">
        <f>Q55+1</f>
        <v>29</v>
      </c>
      <c r="T55" s="226">
        <f>R55+B51*S51</f>
        <v>2900000</v>
      </c>
      <c r="U55" s="224">
        <f>S55+1</f>
        <v>30</v>
      </c>
      <c r="V55" s="226">
        <f>T55+B51*U51</f>
        <v>3000000</v>
      </c>
      <c r="W55" s="224">
        <f>U55+1</f>
        <v>31</v>
      </c>
      <c r="X55" s="226">
        <f>V55+X51*W51</f>
        <v>3100000</v>
      </c>
      <c r="Y55" s="224">
        <f>W55+Y51</f>
        <v>33</v>
      </c>
      <c r="Z55" s="226">
        <f>X55+B51*Y51</f>
        <v>3300000</v>
      </c>
      <c r="AA55" s="224">
        <f>Y55+AA51</f>
        <v>36</v>
      </c>
      <c r="AB55" s="226">
        <f>Z55+B51*AA51</f>
        <v>3600000</v>
      </c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63"/>
      <c r="AS55" s="163"/>
      <c r="AT55" s="163"/>
      <c r="AU55" s="163"/>
      <c r="AV55" s="163"/>
      <c r="AW55" s="163"/>
      <c r="AX55" s="163"/>
      <c r="AY55" s="163"/>
      <c r="AZ55" s="163"/>
      <c r="BA55" s="163"/>
      <c r="BB55" s="163"/>
      <c r="BC55" s="163"/>
      <c r="BD55" s="163"/>
      <c r="BE55" s="163"/>
      <c r="BF55" s="163"/>
      <c r="BG55" s="163"/>
      <c r="BH55" s="163"/>
      <c r="BI55" s="163"/>
      <c r="BJ55" s="163"/>
      <c r="BK55" s="163"/>
      <c r="BL55" s="163"/>
      <c r="BM55" s="163"/>
      <c r="BN55" s="163"/>
      <c r="BO55" s="163"/>
      <c r="BP55" s="163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163"/>
      <c r="CB55" s="163"/>
      <c r="CC55" s="163"/>
      <c r="CD55" s="163"/>
      <c r="CE55" s="163"/>
      <c r="CF55" s="163"/>
      <c r="CG55" s="163"/>
      <c r="CH55" s="163"/>
      <c r="CI55" s="163"/>
      <c r="CJ55" s="163"/>
      <c r="CK55" s="163"/>
      <c r="CL55" s="163"/>
      <c r="CM55" s="163"/>
      <c r="CN55" s="163"/>
      <c r="CO55" s="163"/>
      <c r="CP55" s="163"/>
      <c r="CQ55" s="163"/>
      <c r="CR55" s="163"/>
      <c r="CS55" s="163"/>
      <c r="CT55" s="163"/>
      <c r="CU55" s="163"/>
      <c r="CV55" s="163"/>
      <c r="CW55" s="163"/>
      <c r="CX55" s="163"/>
      <c r="CY55" s="163"/>
      <c r="CZ55" s="163"/>
      <c r="DA55" s="163"/>
      <c r="DB55" s="163"/>
      <c r="DC55" s="163"/>
      <c r="DD55" s="163"/>
      <c r="DE55" s="163"/>
      <c r="DF55" s="163"/>
      <c r="DG55" s="163"/>
      <c r="DH55" s="163"/>
      <c r="DI55" s="163"/>
      <c r="DJ55" s="163"/>
      <c r="DK55" s="163"/>
      <c r="DL55" s="163"/>
      <c r="DM55" s="163"/>
      <c r="DN55" s="163"/>
      <c r="DO55" s="163"/>
      <c r="DP55" s="163"/>
      <c r="DQ55" s="163"/>
      <c r="DR55" s="163"/>
      <c r="DS55" s="163"/>
      <c r="DT55" s="163"/>
      <c r="DU55" s="163"/>
      <c r="DV55" s="163"/>
      <c r="DW55" s="163"/>
      <c r="DX55" s="163"/>
      <c r="DY55" s="163"/>
      <c r="DZ55" s="163"/>
      <c r="EA55" s="163"/>
      <c r="EB55" s="163"/>
      <c r="EC55" s="163"/>
      <c r="ED55" s="163"/>
      <c r="EE55" s="163"/>
      <c r="EF55" s="163"/>
      <c r="EG55" s="163"/>
      <c r="EH55" s="163"/>
      <c r="EI55" s="163"/>
      <c r="EJ55" s="163"/>
      <c r="EK55" s="163"/>
      <c r="EL55" s="163"/>
      <c r="EM55" s="163"/>
      <c r="EN55" s="163"/>
      <c r="EO55" s="163"/>
      <c r="EP55" s="163"/>
      <c r="EQ55" s="163"/>
      <c r="ER55" s="163"/>
      <c r="ES55" s="163"/>
      <c r="ET55" s="163"/>
      <c r="EU55" s="163"/>
      <c r="EV55" s="163"/>
      <c r="EW55" s="163"/>
      <c r="EX55" s="163"/>
      <c r="EY55" s="163"/>
      <c r="EZ55" s="163"/>
      <c r="FA55" s="163"/>
      <c r="FB55" s="163"/>
      <c r="FC55" s="163"/>
      <c r="FD55" s="163"/>
      <c r="FE55" s="163"/>
      <c r="FF55" s="163"/>
      <c r="FG55" s="163"/>
      <c r="FH55" s="163"/>
      <c r="FI55" s="163"/>
      <c r="FJ55" s="163"/>
      <c r="FK55" s="163"/>
      <c r="FL55" s="163"/>
      <c r="FM55" s="163"/>
      <c r="FN55" s="163"/>
      <c r="FO55" s="163"/>
      <c r="FP55" s="163"/>
      <c r="FQ55" s="163"/>
      <c r="FR55" s="163"/>
      <c r="FS55" s="163"/>
      <c r="FT55" s="163"/>
      <c r="FU55" s="163"/>
      <c r="FV55" s="163"/>
      <c r="FW55" s="163"/>
      <c r="FX55" s="163"/>
      <c r="FY55" s="163"/>
      <c r="FZ55" s="163"/>
      <c r="GA55" s="163"/>
      <c r="GB55" s="163"/>
      <c r="GC55" s="163"/>
      <c r="GD55" s="163"/>
      <c r="GE55" s="163"/>
      <c r="GF55" s="163"/>
      <c r="GG55" s="163"/>
      <c r="GH55" s="163"/>
      <c r="GI55" s="163"/>
      <c r="GJ55" s="163"/>
      <c r="GK55" s="163"/>
      <c r="GL55" s="163"/>
      <c r="GM55" s="163"/>
      <c r="GN55" s="163"/>
      <c r="GO55" s="163"/>
      <c r="GP55" s="163"/>
      <c r="GQ55" s="163"/>
      <c r="GR55" s="163"/>
      <c r="GS55" s="163"/>
      <c r="GT55" s="163"/>
      <c r="GU55" s="163"/>
      <c r="GV55" s="163"/>
      <c r="GW55" s="163"/>
      <c r="GX55" s="163"/>
      <c r="GY55" s="163"/>
      <c r="GZ55" s="163"/>
      <c r="HA55" s="163"/>
      <c r="HB55" s="163"/>
      <c r="HC55" s="163"/>
      <c r="HD55" s="163"/>
      <c r="HE55" s="163"/>
      <c r="HF55" s="163"/>
      <c r="HG55" s="163"/>
      <c r="HH55" s="163"/>
      <c r="HI55" s="163"/>
      <c r="HJ55" s="163"/>
      <c r="HK55" s="163"/>
      <c r="HL55" s="163"/>
      <c r="HM55" s="163"/>
      <c r="HN55" s="163"/>
      <c r="HO55" s="163"/>
      <c r="HP55" s="163"/>
      <c r="HQ55" s="163"/>
      <c r="HR55" s="163"/>
      <c r="HS55" s="163"/>
      <c r="HT55" s="163"/>
      <c r="HU55" s="163"/>
      <c r="HV55" s="163"/>
      <c r="HW55" s="163"/>
      <c r="HX55" s="163"/>
      <c r="HY55" s="163"/>
      <c r="HZ55" s="163"/>
      <c r="IA55" s="163"/>
      <c r="IB55" s="163"/>
      <c r="IC55" s="163"/>
      <c r="ID55" s="163"/>
      <c r="IE55" s="163"/>
      <c r="IF55" s="163"/>
      <c r="IG55" s="163"/>
      <c r="IH55" s="163"/>
      <c r="II55" s="163"/>
      <c r="IJ55" s="163"/>
      <c r="IK55" s="163"/>
      <c r="IL55" s="163"/>
      <c r="IM55" s="163"/>
      <c r="IN55" s="163"/>
      <c r="IO55" s="163"/>
      <c r="IP55" s="163"/>
      <c r="IQ55" s="163"/>
      <c r="IR55" s="163"/>
      <c r="IS55" s="163"/>
      <c r="IT55" s="163"/>
      <c r="IU55" s="163"/>
      <c r="IV55" s="163"/>
      <c r="IW55" s="163"/>
      <c r="IX55" s="163"/>
      <c r="IY55" s="163"/>
      <c r="IZ55" s="163"/>
      <c r="JA55" s="163"/>
      <c r="JB55" s="163"/>
      <c r="JC55" s="163"/>
      <c r="JD55" s="163"/>
      <c r="JE55" s="163"/>
      <c r="JF55" s="163"/>
      <c r="JG55" s="163"/>
      <c r="JH55" s="163"/>
      <c r="JI55" s="163"/>
      <c r="JJ55" s="163"/>
      <c r="JK55" s="163"/>
      <c r="JL55" s="163"/>
      <c r="JM55" s="163"/>
      <c r="JN55" s="163"/>
      <c r="JO55" s="163"/>
      <c r="JP55" s="163"/>
      <c r="JQ55" s="163"/>
      <c r="JR55" s="163"/>
      <c r="JS55" s="163"/>
      <c r="JT55" s="163"/>
      <c r="JU55" s="163"/>
      <c r="JV55" s="163"/>
      <c r="JW55" s="163"/>
      <c r="JX55" s="163"/>
      <c r="JY55" s="163"/>
      <c r="JZ55" s="163"/>
      <c r="KA55" s="163"/>
      <c r="KB55" s="163"/>
      <c r="KC55" s="163"/>
      <c r="KD55" s="163"/>
      <c r="KE55" s="163"/>
      <c r="KF55" s="163"/>
      <c r="KG55" s="163"/>
    </row>
    <row r="56" spans="1:293" ht="15.75" customHeight="1" thickBot="1" x14ac:dyDescent="0.3">
      <c r="A56" s="411" t="s">
        <v>189</v>
      </c>
      <c r="B56" s="412"/>
      <c r="C56" s="413"/>
      <c r="D56" s="227">
        <f>SUM(F56+H56+J56+L56+N56+P56+R56+T56+V56+X56+Z56+AB56)</f>
        <v>27940000</v>
      </c>
      <c r="E56" s="228">
        <f>E52+AA25</f>
        <v>15</v>
      </c>
      <c r="F56" s="229">
        <f>B52*E56*E52</f>
        <v>1650000</v>
      </c>
      <c r="G56" s="228">
        <f>G52+E56</f>
        <v>16</v>
      </c>
      <c r="H56" s="229">
        <f>B52*G56*G52</f>
        <v>1760000</v>
      </c>
      <c r="I56" s="228">
        <f>I52+G56</f>
        <v>17</v>
      </c>
      <c r="J56" s="229">
        <f>B52*I56*I52</f>
        <v>1870000</v>
      </c>
      <c r="K56" s="228">
        <f>K52+I56</f>
        <v>18</v>
      </c>
      <c r="L56" s="229">
        <f>B52*K56*K52</f>
        <v>1980000</v>
      </c>
      <c r="M56" s="228">
        <f>K56+M52</f>
        <v>19</v>
      </c>
      <c r="N56" s="230">
        <f>L56+B52*M52</f>
        <v>2090000</v>
      </c>
      <c r="O56" s="228">
        <f>M56+O52</f>
        <v>21</v>
      </c>
      <c r="P56" s="230">
        <f>N56+B52*O52</f>
        <v>2310000</v>
      </c>
      <c r="Q56" s="228">
        <f>O56+Q52</f>
        <v>22</v>
      </c>
      <c r="R56" s="230">
        <f>P56+B52*Q52</f>
        <v>2420000</v>
      </c>
      <c r="S56" s="228">
        <f>Q56+1</f>
        <v>23</v>
      </c>
      <c r="T56" s="230">
        <f>R56+B52*S52</f>
        <v>2530000</v>
      </c>
      <c r="U56" s="228">
        <f>S56+1</f>
        <v>24</v>
      </c>
      <c r="V56" s="230">
        <f>T56+B52*U52</f>
        <v>2640000</v>
      </c>
      <c r="W56" s="228">
        <f>U56+1</f>
        <v>25</v>
      </c>
      <c r="X56" s="230">
        <f>V56+X52*W52</f>
        <v>2750000</v>
      </c>
      <c r="Y56" s="228">
        <f>W56+1</f>
        <v>26</v>
      </c>
      <c r="Z56" s="230">
        <f>X56+B52*Y52</f>
        <v>2860000</v>
      </c>
      <c r="AA56" s="228">
        <f>Y56+AA52</f>
        <v>28</v>
      </c>
      <c r="AB56" s="230">
        <f>Z56+B52*AA52</f>
        <v>3080000</v>
      </c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  <c r="BH56" s="163"/>
      <c r="BI56" s="163"/>
      <c r="BJ56" s="163"/>
      <c r="BK56" s="163"/>
      <c r="BL56" s="163"/>
      <c r="BM56" s="163"/>
      <c r="BN56" s="163"/>
      <c r="BO56" s="163"/>
      <c r="BP56" s="163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163"/>
      <c r="CB56" s="163"/>
      <c r="CC56" s="163"/>
      <c r="CD56" s="163"/>
      <c r="CE56" s="163"/>
      <c r="CF56" s="163"/>
      <c r="CG56" s="163"/>
      <c r="CH56" s="163"/>
      <c r="CI56" s="163"/>
      <c r="CJ56" s="163"/>
      <c r="CK56" s="163"/>
      <c r="CL56" s="163"/>
      <c r="CM56" s="163"/>
      <c r="CN56" s="163"/>
      <c r="CO56" s="163"/>
      <c r="CP56" s="163"/>
      <c r="CQ56" s="163"/>
      <c r="CR56" s="163"/>
      <c r="CS56" s="163"/>
      <c r="CT56" s="163"/>
      <c r="CU56" s="163"/>
      <c r="CV56" s="163"/>
      <c r="CW56" s="163"/>
      <c r="CX56" s="163"/>
      <c r="CY56" s="163"/>
      <c r="CZ56" s="163"/>
      <c r="DA56" s="163"/>
      <c r="DB56" s="163"/>
      <c r="DC56" s="163"/>
      <c r="DD56" s="163"/>
      <c r="DE56" s="163"/>
      <c r="DF56" s="163"/>
      <c r="DG56" s="163"/>
      <c r="DH56" s="163"/>
      <c r="DI56" s="163"/>
      <c r="DJ56" s="163"/>
      <c r="DK56" s="163"/>
      <c r="DL56" s="163"/>
      <c r="DM56" s="163"/>
      <c r="DN56" s="163"/>
      <c r="DO56" s="163"/>
      <c r="DP56" s="163"/>
      <c r="DQ56" s="163"/>
      <c r="DR56" s="163"/>
      <c r="DS56" s="163"/>
      <c r="DT56" s="163"/>
      <c r="DU56" s="163"/>
      <c r="DV56" s="163"/>
      <c r="DW56" s="163"/>
      <c r="DX56" s="163"/>
      <c r="DY56" s="163"/>
      <c r="DZ56" s="163"/>
      <c r="EA56" s="163"/>
      <c r="EB56" s="163"/>
      <c r="EC56" s="163"/>
      <c r="ED56" s="163"/>
      <c r="EE56" s="163"/>
      <c r="EF56" s="163"/>
      <c r="EG56" s="163"/>
      <c r="EH56" s="163"/>
      <c r="EI56" s="163"/>
      <c r="EJ56" s="163"/>
      <c r="EK56" s="163"/>
      <c r="EL56" s="163"/>
      <c r="EM56" s="163"/>
      <c r="EN56" s="163"/>
      <c r="EO56" s="163"/>
      <c r="EP56" s="163"/>
      <c r="EQ56" s="163"/>
      <c r="ER56" s="163"/>
      <c r="ES56" s="163"/>
      <c r="ET56" s="163"/>
      <c r="EU56" s="163"/>
      <c r="EV56" s="163"/>
      <c r="EW56" s="163"/>
      <c r="EX56" s="163"/>
      <c r="EY56" s="163"/>
      <c r="EZ56" s="163"/>
      <c r="FA56" s="163"/>
      <c r="FB56" s="163"/>
      <c r="FC56" s="163"/>
      <c r="FD56" s="163"/>
      <c r="FE56" s="163"/>
      <c r="FF56" s="163"/>
      <c r="FG56" s="163"/>
      <c r="FH56" s="163"/>
      <c r="FI56" s="163"/>
      <c r="FJ56" s="163"/>
      <c r="FK56" s="163"/>
      <c r="FL56" s="163"/>
      <c r="FM56" s="163"/>
      <c r="FN56" s="163"/>
      <c r="FO56" s="163"/>
      <c r="FP56" s="163"/>
      <c r="FQ56" s="163"/>
      <c r="FR56" s="163"/>
      <c r="FS56" s="163"/>
      <c r="FT56" s="163"/>
      <c r="FU56" s="163"/>
      <c r="FV56" s="163"/>
      <c r="FW56" s="163"/>
      <c r="FX56" s="163"/>
      <c r="FY56" s="163"/>
      <c r="FZ56" s="163"/>
      <c r="GA56" s="163"/>
      <c r="GB56" s="163"/>
      <c r="GC56" s="163"/>
      <c r="GD56" s="163"/>
      <c r="GE56" s="163"/>
      <c r="GF56" s="163"/>
      <c r="GG56" s="163"/>
      <c r="GH56" s="163"/>
      <c r="GI56" s="163"/>
      <c r="GJ56" s="163"/>
      <c r="GK56" s="163"/>
      <c r="GL56" s="163"/>
      <c r="GM56" s="163"/>
      <c r="GN56" s="163"/>
      <c r="GO56" s="163"/>
      <c r="GP56" s="163"/>
      <c r="GQ56" s="163"/>
      <c r="GR56" s="163"/>
      <c r="GS56" s="163"/>
      <c r="GT56" s="163"/>
      <c r="GU56" s="163"/>
      <c r="GV56" s="163"/>
      <c r="GW56" s="163"/>
      <c r="GX56" s="163"/>
      <c r="GY56" s="163"/>
      <c r="GZ56" s="163"/>
      <c r="HA56" s="163"/>
      <c r="HB56" s="163"/>
      <c r="HC56" s="163"/>
      <c r="HD56" s="163"/>
      <c r="HE56" s="163"/>
      <c r="HF56" s="163"/>
      <c r="HG56" s="163"/>
      <c r="HH56" s="163"/>
      <c r="HI56" s="163"/>
      <c r="HJ56" s="163"/>
      <c r="HK56" s="163"/>
      <c r="HL56" s="163"/>
      <c r="HM56" s="163"/>
      <c r="HN56" s="163"/>
      <c r="HO56" s="163"/>
      <c r="HP56" s="163"/>
      <c r="HQ56" s="163"/>
      <c r="HR56" s="163"/>
      <c r="HS56" s="163"/>
      <c r="HT56" s="163"/>
      <c r="HU56" s="163"/>
      <c r="HV56" s="163"/>
      <c r="HW56" s="163"/>
      <c r="HX56" s="163"/>
      <c r="HY56" s="163"/>
      <c r="HZ56" s="163"/>
      <c r="IA56" s="163"/>
      <c r="IB56" s="163"/>
      <c r="IC56" s="163"/>
      <c r="ID56" s="163"/>
      <c r="IE56" s="163"/>
      <c r="IF56" s="163"/>
      <c r="IG56" s="163"/>
      <c r="IH56" s="163"/>
      <c r="II56" s="163"/>
      <c r="IJ56" s="163"/>
      <c r="IK56" s="163"/>
      <c r="IL56" s="163"/>
      <c r="IM56" s="163"/>
      <c r="IN56" s="163"/>
      <c r="IO56" s="163"/>
      <c r="IP56" s="163"/>
      <c r="IQ56" s="163"/>
      <c r="IR56" s="163"/>
      <c r="IS56" s="163"/>
      <c r="IT56" s="163"/>
      <c r="IU56" s="163"/>
      <c r="IV56" s="163"/>
      <c r="IW56" s="163"/>
      <c r="IX56" s="163"/>
      <c r="IY56" s="163"/>
      <c r="IZ56" s="163"/>
      <c r="JA56" s="163"/>
      <c r="JB56" s="163"/>
      <c r="JC56" s="163"/>
      <c r="JD56" s="163"/>
      <c r="JE56" s="163"/>
      <c r="JF56" s="163"/>
      <c r="JG56" s="163"/>
      <c r="JH56" s="163"/>
      <c r="JI56" s="163"/>
      <c r="JJ56" s="163"/>
      <c r="JK56" s="163"/>
      <c r="JL56" s="163"/>
      <c r="JM56" s="163"/>
      <c r="JN56" s="163"/>
      <c r="JO56" s="163"/>
      <c r="JP56" s="163"/>
      <c r="JQ56" s="163"/>
      <c r="JR56" s="163"/>
      <c r="JS56" s="163"/>
      <c r="JT56" s="163"/>
      <c r="JU56" s="163"/>
      <c r="JV56" s="163"/>
      <c r="JW56" s="163"/>
      <c r="JX56" s="163"/>
      <c r="JY56" s="163"/>
      <c r="JZ56" s="163"/>
      <c r="KA56" s="163"/>
      <c r="KB56" s="163"/>
      <c r="KC56" s="163"/>
      <c r="KD56" s="163"/>
      <c r="KE56" s="163"/>
      <c r="KF56" s="163"/>
      <c r="KG56" s="163"/>
    </row>
    <row r="57" spans="1:293" s="162" customFormat="1" ht="15.75" customHeight="1" thickBot="1" x14ac:dyDescent="0.3">
      <c r="A57" s="419" t="s">
        <v>159</v>
      </c>
      <c r="B57" s="420"/>
      <c r="C57" s="231">
        <f>C53+C26</f>
        <v>82</v>
      </c>
      <c r="D57" s="232">
        <f>SUM(D54:D56)</f>
        <v>72900000</v>
      </c>
      <c r="E57" s="233">
        <f>SUM(E54:E56)</f>
        <v>43</v>
      </c>
      <c r="F57" s="234">
        <f>SUM(F54:F56)</f>
        <v>4360000</v>
      </c>
      <c r="G57" s="233">
        <f t="shared" ref="G57:AB57" si="26">SUM(G54:G56)</f>
        <v>45</v>
      </c>
      <c r="H57" s="234">
        <f t="shared" si="26"/>
        <v>4570000</v>
      </c>
      <c r="I57" s="233">
        <f t="shared" si="26"/>
        <v>47</v>
      </c>
      <c r="J57" s="234">
        <f t="shared" si="26"/>
        <v>4780000</v>
      </c>
      <c r="K57" s="233">
        <f t="shared" si="26"/>
        <v>50</v>
      </c>
      <c r="L57" s="234">
        <f>SUM(L54:L56)</f>
        <v>4990000</v>
      </c>
      <c r="M57" s="233">
        <f t="shared" si="26"/>
        <v>54</v>
      </c>
      <c r="N57" s="234">
        <f t="shared" si="26"/>
        <v>5390000</v>
      </c>
      <c r="O57" s="233">
        <f t="shared" si="26"/>
        <v>60</v>
      </c>
      <c r="P57" s="234">
        <f t="shared" si="26"/>
        <v>6000000</v>
      </c>
      <c r="Q57" s="233">
        <f t="shared" si="26"/>
        <v>63</v>
      </c>
      <c r="R57" s="234">
        <f t="shared" si="26"/>
        <v>6300000</v>
      </c>
      <c r="S57" s="233">
        <f t="shared" si="26"/>
        <v>66</v>
      </c>
      <c r="T57" s="234">
        <f t="shared" si="26"/>
        <v>6600000</v>
      </c>
      <c r="U57" s="233">
        <f t="shared" si="26"/>
        <v>69</v>
      </c>
      <c r="V57" s="234">
        <f t="shared" si="26"/>
        <v>6900000</v>
      </c>
      <c r="W57" s="233">
        <f t="shared" si="26"/>
        <v>72</v>
      </c>
      <c r="X57" s="234">
        <f t="shared" si="26"/>
        <v>7200000</v>
      </c>
      <c r="Y57" s="233">
        <f t="shared" si="26"/>
        <v>76</v>
      </c>
      <c r="Z57" s="234">
        <f t="shared" si="26"/>
        <v>7600000</v>
      </c>
      <c r="AA57" s="233">
        <f>SUM(AA54:AA56)</f>
        <v>82</v>
      </c>
      <c r="AB57" s="234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3"/>
      <c r="AS57" s="163"/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  <c r="BH57" s="163"/>
      <c r="BI57" s="163"/>
      <c r="BJ57" s="163"/>
      <c r="BK57" s="163"/>
      <c r="BL57" s="163"/>
      <c r="BM57" s="163"/>
      <c r="BN57" s="163"/>
      <c r="BO57" s="163"/>
      <c r="BP57" s="163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163"/>
      <c r="CB57" s="163"/>
      <c r="CC57" s="163"/>
      <c r="CD57" s="163"/>
      <c r="CE57" s="163"/>
      <c r="CF57" s="163"/>
      <c r="CG57" s="163"/>
      <c r="CH57" s="163"/>
      <c r="CI57" s="163"/>
      <c r="CJ57" s="163"/>
      <c r="CK57" s="163"/>
      <c r="CL57" s="163"/>
      <c r="CM57" s="163"/>
      <c r="CN57" s="163"/>
      <c r="CO57" s="163"/>
      <c r="CP57" s="163"/>
      <c r="CQ57" s="163"/>
      <c r="CR57" s="163"/>
      <c r="CS57" s="163"/>
      <c r="CT57" s="163"/>
      <c r="CU57" s="163"/>
      <c r="CV57" s="163"/>
      <c r="CW57" s="163"/>
      <c r="CX57" s="163"/>
      <c r="CY57" s="163"/>
      <c r="CZ57" s="163"/>
      <c r="DA57" s="163"/>
      <c r="DB57" s="163"/>
      <c r="DC57" s="163"/>
      <c r="DD57" s="163"/>
      <c r="DE57" s="163"/>
      <c r="DF57" s="163"/>
      <c r="DG57" s="163"/>
      <c r="DH57" s="163"/>
      <c r="DI57" s="163"/>
      <c r="DJ57" s="163"/>
      <c r="DK57" s="163"/>
      <c r="DL57" s="163"/>
      <c r="DM57" s="163"/>
      <c r="DN57" s="163"/>
      <c r="DO57" s="163"/>
      <c r="DP57" s="163"/>
      <c r="DQ57" s="163"/>
      <c r="DR57" s="163"/>
      <c r="DS57" s="163"/>
      <c r="DT57" s="163"/>
      <c r="DU57" s="163"/>
      <c r="DV57" s="163"/>
      <c r="DW57" s="163"/>
      <c r="DX57" s="163"/>
      <c r="DY57" s="163"/>
      <c r="DZ57" s="163"/>
      <c r="EA57" s="163"/>
      <c r="EB57" s="163"/>
      <c r="EC57" s="163"/>
      <c r="ED57" s="163"/>
      <c r="EE57" s="163"/>
      <c r="EF57" s="163"/>
      <c r="EG57" s="163"/>
      <c r="EH57" s="163"/>
      <c r="EI57" s="163"/>
      <c r="EJ57" s="163"/>
      <c r="EK57" s="163"/>
      <c r="EL57" s="163"/>
      <c r="EM57" s="163"/>
      <c r="EN57" s="163"/>
      <c r="EO57" s="163"/>
      <c r="EP57" s="163"/>
      <c r="EQ57" s="163"/>
      <c r="ER57" s="163"/>
      <c r="ES57" s="163"/>
      <c r="ET57" s="163"/>
      <c r="EU57" s="163"/>
      <c r="EV57" s="163"/>
      <c r="EW57" s="163"/>
      <c r="EX57" s="163"/>
      <c r="EY57" s="163"/>
      <c r="EZ57" s="163"/>
      <c r="FA57" s="163"/>
      <c r="FB57" s="163"/>
      <c r="FC57" s="163"/>
      <c r="FD57" s="163"/>
      <c r="FE57" s="163"/>
      <c r="FF57" s="163"/>
      <c r="FG57" s="163"/>
      <c r="FH57" s="163"/>
      <c r="FI57" s="163"/>
      <c r="FJ57" s="163"/>
      <c r="FK57" s="163"/>
      <c r="FL57" s="163"/>
      <c r="FM57" s="163"/>
      <c r="FN57" s="163"/>
      <c r="FO57" s="163"/>
      <c r="FP57" s="163"/>
      <c r="FQ57" s="163"/>
      <c r="FR57" s="163"/>
      <c r="FS57" s="163"/>
      <c r="FT57" s="163"/>
      <c r="FU57" s="163"/>
      <c r="FV57" s="163"/>
      <c r="FW57" s="163"/>
      <c r="FX57" s="163"/>
      <c r="FY57" s="163"/>
      <c r="FZ57" s="163"/>
      <c r="GA57" s="163"/>
      <c r="GB57" s="163"/>
      <c r="GC57" s="163"/>
      <c r="GD57" s="163"/>
      <c r="GE57" s="163"/>
      <c r="GF57" s="163"/>
      <c r="GG57" s="163"/>
      <c r="GH57" s="163"/>
      <c r="GI57" s="163"/>
      <c r="GJ57" s="163"/>
      <c r="GK57" s="163"/>
      <c r="GL57" s="163"/>
      <c r="GM57" s="163"/>
      <c r="GN57" s="163"/>
      <c r="GO57" s="163"/>
      <c r="GP57" s="163"/>
      <c r="GQ57" s="163"/>
      <c r="GR57" s="163"/>
      <c r="GS57" s="163"/>
      <c r="GT57" s="163"/>
      <c r="GU57" s="163"/>
      <c r="GV57" s="163"/>
      <c r="GW57" s="163"/>
      <c r="GX57" s="163"/>
      <c r="GY57" s="163"/>
      <c r="GZ57" s="163"/>
      <c r="HA57" s="163"/>
      <c r="HB57" s="163"/>
      <c r="HC57" s="163"/>
      <c r="HD57" s="163"/>
      <c r="HE57" s="163"/>
      <c r="HF57" s="163"/>
      <c r="HG57" s="163"/>
      <c r="HH57" s="163"/>
      <c r="HI57" s="163"/>
      <c r="HJ57" s="163"/>
      <c r="HK57" s="163"/>
      <c r="HL57" s="163"/>
      <c r="HM57" s="163"/>
      <c r="HN57" s="163"/>
      <c r="HO57" s="163"/>
      <c r="HP57" s="163"/>
      <c r="HQ57" s="163"/>
      <c r="HR57" s="163"/>
      <c r="HS57" s="163"/>
      <c r="HT57" s="163"/>
      <c r="HU57" s="163"/>
      <c r="HV57" s="163"/>
      <c r="HW57" s="163"/>
      <c r="HX57" s="163"/>
      <c r="HY57" s="163"/>
      <c r="HZ57" s="163"/>
      <c r="IA57" s="163"/>
      <c r="IB57" s="163"/>
      <c r="IC57" s="163"/>
      <c r="ID57" s="163"/>
      <c r="IE57" s="163"/>
      <c r="IF57" s="163"/>
      <c r="IG57" s="163"/>
      <c r="IH57" s="163"/>
      <c r="II57" s="163"/>
      <c r="IJ57" s="163"/>
      <c r="IK57" s="163"/>
      <c r="IL57" s="163"/>
      <c r="IM57" s="163"/>
      <c r="IN57" s="163"/>
      <c r="IO57" s="163"/>
      <c r="IP57" s="163"/>
      <c r="IQ57" s="163"/>
      <c r="IR57" s="163"/>
      <c r="IS57" s="163"/>
      <c r="IT57" s="163"/>
      <c r="IU57" s="163"/>
      <c r="IV57" s="163"/>
      <c r="IW57" s="163"/>
      <c r="IX57" s="163"/>
      <c r="IY57" s="163"/>
      <c r="IZ57" s="163"/>
      <c r="JA57" s="163"/>
      <c r="JB57" s="163"/>
      <c r="JC57" s="163"/>
      <c r="JD57" s="163"/>
      <c r="JE57" s="163"/>
      <c r="JF57" s="163"/>
      <c r="JG57" s="163"/>
      <c r="JH57" s="163"/>
      <c r="JI57" s="163"/>
      <c r="JJ57" s="163"/>
      <c r="JK57" s="163"/>
      <c r="JL57" s="163"/>
      <c r="JM57" s="163"/>
      <c r="JN57" s="163"/>
      <c r="JO57" s="163"/>
      <c r="JP57" s="163"/>
      <c r="JQ57" s="163"/>
      <c r="JR57" s="163"/>
      <c r="JS57" s="163"/>
      <c r="JT57" s="163"/>
      <c r="JU57" s="163"/>
      <c r="JV57" s="163"/>
      <c r="JW57" s="163"/>
      <c r="JX57" s="163"/>
      <c r="JY57" s="163"/>
      <c r="JZ57" s="163"/>
      <c r="KA57" s="163"/>
      <c r="KB57" s="163"/>
      <c r="KC57" s="163"/>
      <c r="KD57" s="163"/>
      <c r="KE57" s="163"/>
      <c r="KF57" s="163"/>
      <c r="KG57" s="163"/>
    </row>
    <row r="58" spans="1:293" ht="15.75" customHeight="1" thickBot="1" x14ac:dyDescent="0.3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502" t="s">
        <v>69</v>
      </c>
      <c r="B59" s="503"/>
      <c r="C59" s="503"/>
      <c r="D59" s="503"/>
      <c r="E59" s="503"/>
      <c r="F59" s="503"/>
      <c r="G59" s="503"/>
      <c r="H59" s="503"/>
      <c r="I59" s="503"/>
      <c r="J59" s="503"/>
      <c r="K59" s="503"/>
      <c r="L59" s="503"/>
      <c r="M59" s="503"/>
      <c r="N59" s="503"/>
      <c r="O59" s="503"/>
      <c r="P59" s="503"/>
      <c r="Q59" s="503"/>
      <c r="R59" s="503"/>
      <c r="S59" s="503"/>
      <c r="T59" s="503"/>
      <c r="U59" s="503"/>
      <c r="V59" s="503"/>
      <c r="W59" s="503"/>
      <c r="X59" s="503"/>
      <c r="Y59" s="503"/>
      <c r="Z59" s="503"/>
      <c r="AA59" s="503"/>
      <c r="AB59" s="504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6" customFormat="1" ht="158.25" customHeight="1" thickBot="1" x14ac:dyDescent="0.3">
      <c r="A60" s="156" t="s">
        <v>54</v>
      </c>
      <c r="B60" s="499" t="s">
        <v>215</v>
      </c>
      <c r="C60" s="500"/>
      <c r="D60" s="500"/>
      <c r="E60" s="500"/>
      <c r="F60" s="500"/>
      <c r="G60" s="500"/>
      <c r="H60" s="500"/>
      <c r="I60" s="500"/>
      <c r="J60" s="500"/>
      <c r="K60" s="500"/>
      <c r="L60" s="500"/>
      <c r="M60" s="500"/>
      <c r="N60" s="500"/>
      <c r="O60" s="500"/>
      <c r="P60" s="500"/>
      <c r="Q60" s="500"/>
      <c r="R60" s="500"/>
      <c r="S60" s="500"/>
      <c r="T60" s="500"/>
      <c r="U60" s="500"/>
      <c r="V60" s="500"/>
      <c r="W60" s="500"/>
      <c r="X60" s="500"/>
      <c r="Y60" s="500"/>
      <c r="Z60" s="500"/>
      <c r="AA60" s="500"/>
      <c r="AB60" s="50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36" t="s">
        <v>55</v>
      </c>
      <c r="B61" s="437"/>
      <c r="C61" s="449" t="s">
        <v>221</v>
      </c>
      <c r="D61" s="417"/>
      <c r="E61" s="480" t="s">
        <v>222</v>
      </c>
      <c r="F61" s="461"/>
      <c r="G61" s="461"/>
      <c r="H61" s="461"/>
      <c r="I61" s="461"/>
      <c r="J61" s="461"/>
      <c r="K61" s="461"/>
      <c r="L61" s="461"/>
      <c r="M61" s="461"/>
      <c r="N61" s="461"/>
      <c r="O61" s="461"/>
      <c r="P61" s="461"/>
      <c r="Q61" s="461"/>
      <c r="R61" s="461"/>
      <c r="S61" s="461"/>
      <c r="T61" s="461"/>
      <c r="U61" s="461"/>
      <c r="V61" s="461"/>
      <c r="W61" s="461"/>
      <c r="X61" s="461"/>
      <c r="Y61" s="461"/>
      <c r="Z61" s="461"/>
      <c r="AA61" s="461"/>
      <c r="AB61" s="462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38"/>
      <c r="B62" s="439"/>
      <c r="C62" s="157" t="s">
        <v>52</v>
      </c>
      <c r="D62" s="158" t="s">
        <v>55</v>
      </c>
      <c r="E62" s="416" t="s">
        <v>39</v>
      </c>
      <c r="F62" s="417"/>
      <c r="G62" s="416" t="s">
        <v>40</v>
      </c>
      <c r="H62" s="417"/>
      <c r="I62" s="416" t="s">
        <v>41</v>
      </c>
      <c r="J62" s="417"/>
      <c r="K62" s="416" t="s">
        <v>42</v>
      </c>
      <c r="L62" s="417"/>
      <c r="M62" s="416" t="s">
        <v>43</v>
      </c>
      <c r="N62" s="417"/>
      <c r="O62" s="416" t="s">
        <v>44</v>
      </c>
      <c r="P62" s="417"/>
      <c r="Q62" s="416" t="s">
        <v>45</v>
      </c>
      <c r="R62" s="417"/>
      <c r="S62" s="416" t="s">
        <v>46</v>
      </c>
      <c r="T62" s="417"/>
      <c r="U62" s="416" t="s">
        <v>47</v>
      </c>
      <c r="V62" s="417"/>
      <c r="W62" s="416" t="s">
        <v>48</v>
      </c>
      <c r="X62" s="417"/>
      <c r="Y62" s="416" t="s">
        <v>49</v>
      </c>
      <c r="Z62" s="417"/>
      <c r="AA62" s="416" t="s">
        <v>50</v>
      </c>
      <c r="AB62" s="417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50" t="s">
        <v>57</v>
      </c>
      <c r="B63" s="437"/>
      <c r="C63" s="30">
        <f>'Anexo capacidad operativa'!A32</f>
        <v>3</v>
      </c>
      <c r="D63" s="31" t="str">
        <f>'Anexo capacidad operativa'!B32</f>
        <v>Desarrollador</v>
      </c>
      <c r="E63" s="473" t="s">
        <v>58</v>
      </c>
      <c r="F63" s="377"/>
      <c r="G63" s="432" t="s">
        <v>58</v>
      </c>
      <c r="H63" s="377"/>
      <c r="I63" s="432" t="s">
        <v>58</v>
      </c>
      <c r="J63" s="377"/>
      <c r="K63" s="432" t="s">
        <v>58</v>
      </c>
      <c r="L63" s="377"/>
      <c r="M63" s="414" t="s">
        <v>160</v>
      </c>
      <c r="N63" s="415"/>
      <c r="O63" s="426" t="s">
        <v>58</v>
      </c>
      <c r="P63" s="427"/>
      <c r="Q63" s="432" t="s">
        <v>58</v>
      </c>
      <c r="R63" s="377"/>
      <c r="S63" s="432" t="s">
        <v>58</v>
      </c>
      <c r="T63" s="377"/>
      <c r="U63" s="432" t="s">
        <v>58</v>
      </c>
      <c r="V63" s="377"/>
      <c r="W63" s="432" t="s">
        <v>58</v>
      </c>
      <c r="X63" s="377"/>
      <c r="Y63" s="432" t="s">
        <v>58</v>
      </c>
      <c r="Z63" s="377"/>
      <c r="AA63" s="432" t="s">
        <v>58</v>
      </c>
      <c r="AB63" s="433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51"/>
      <c r="B64" s="452"/>
      <c r="C64" s="32">
        <f>'Anexo capacidad operativa'!A33</f>
        <v>1</v>
      </c>
      <c r="D64" s="33" t="str">
        <f>'Anexo capacidad operativa'!B33</f>
        <v>Gerente de servicios</v>
      </c>
      <c r="E64" s="435" t="s">
        <v>58</v>
      </c>
      <c r="F64" s="427"/>
      <c r="G64" s="426" t="s">
        <v>58</v>
      </c>
      <c r="H64" s="427"/>
      <c r="I64" s="426" t="s">
        <v>58</v>
      </c>
      <c r="J64" s="427"/>
      <c r="K64" s="426" t="s">
        <v>58</v>
      </c>
      <c r="L64" s="427"/>
      <c r="M64" s="426" t="s">
        <v>58</v>
      </c>
      <c r="N64" s="427"/>
      <c r="O64" s="426" t="s">
        <v>58</v>
      </c>
      <c r="P64" s="427"/>
      <c r="Q64" s="426" t="s">
        <v>58</v>
      </c>
      <c r="R64" s="427"/>
      <c r="S64" s="426" t="s">
        <v>58</v>
      </c>
      <c r="T64" s="427"/>
      <c r="U64" s="426" t="s">
        <v>58</v>
      </c>
      <c r="V64" s="427"/>
      <c r="W64" s="426" t="s">
        <v>58</v>
      </c>
      <c r="X64" s="427"/>
      <c r="Y64" s="426" t="s">
        <v>58</v>
      </c>
      <c r="Z64" s="427"/>
      <c r="AA64" s="426" t="s">
        <v>58</v>
      </c>
      <c r="AB64" s="430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51"/>
      <c r="B65" s="452"/>
      <c r="C65" s="32">
        <f>'Anexo capacidad operativa'!A34</f>
        <v>1</v>
      </c>
      <c r="D65" s="33" t="str">
        <f>'Anexo capacidad operativa'!B34</f>
        <v>Empleado de tecnologia</v>
      </c>
      <c r="E65" s="435" t="s">
        <v>58</v>
      </c>
      <c r="F65" s="427"/>
      <c r="G65" s="426" t="s">
        <v>58</v>
      </c>
      <c r="H65" s="427"/>
      <c r="I65" s="426" t="s">
        <v>58</v>
      </c>
      <c r="J65" s="427"/>
      <c r="K65" s="426" t="s">
        <v>58</v>
      </c>
      <c r="L65" s="427"/>
      <c r="M65" s="426" t="s">
        <v>58</v>
      </c>
      <c r="N65" s="427"/>
      <c r="O65" s="426" t="s">
        <v>58</v>
      </c>
      <c r="P65" s="427"/>
      <c r="Q65" s="426" t="s">
        <v>58</v>
      </c>
      <c r="R65" s="427"/>
      <c r="S65" s="426" t="s">
        <v>58</v>
      </c>
      <c r="T65" s="427"/>
      <c r="U65" s="426" t="s">
        <v>58</v>
      </c>
      <c r="V65" s="427"/>
      <c r="W65" s="426" t="s">
        <v>58</v>
      </c>
      <c r="X65" s="427"/>
      <c r="Y65" s="426" t="s">
        <v>58</v>
      </c>
      <c r="Z65" s="427"/>
      <c r="AA65" s="426" t="s">
        <v>58</v>
      </c>
      <c r="AB65" s="430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51"/>
      <c r="B66" s="452"/>
      <c r="C66" s="32">
        <f>'Anexo capacidad operativa'!A35</f>
        <v>2</v>
      </c>
      <c r="D66" s="33" t="str">
        <f>'Anexo capacidad operativa'!B35</f>
        <v>Tester</v>
      </c>
      <c r="E66" s="435" t="s">
        <v>58</v>
      </c>
      <c r="F66" s="427"/>
      <c r="G66" s="426" t="s">
        <v>58</v>
      </c>
      <c r="H66" s="427"/>
      <c r="I66" s="426" t="s">
        <v>58</v>
      </c>
      <c r="J66" s="427"/>
      <c r="K66" s="426" t="s">
        <v>58</v>
      </c>
      <c r="L66" s="427"/>
      <c r="M66" s="414" t="s">
        <v>160</v>
      </c>
      <c r="N66" s="415"/>
      <c r="O66" s="426" t="s">
        <v>58</v>
      </c>
      <c r="P66" s="427"/>
      <c r="Q66" s="426" t="s">
        <v>58</v>
      </c>
      <c r="R66" s="427"/>
      <c r="S66" s="426" t="s">
        <v>58</v>
      </c>
      <c r="T66" s="427"/>
      <c r="U66" s="426" t="s">
        <v>58</v>
      </c>
      <c r="V66" s="427"/>
      <c r="W66" s="426" t="s">
        <v>58</v>
      </c>
      <c r="X66" s="427"/>
      <c r="Y66" s="426" t="s">
        <v>58</v>
      </c>
      <c r="Z66" s="427"/>
      <c r="AA66" s="426" t="s">
        <v>58</v>
      </c>
      <c r="AB66" s="430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51"/>
      <c r="B67" s="452"/>
      <c r="C67" s="32">
        <f>'Anexo capacidad operativa'!A36</f>
        <v>3</v>
      </c>
      <c r="D67" s="33" t="str">
        <f>'Anexo capacidad operativa'!B36</f>
        <v>Empleado administrativo de ventas</v>
      </c>
      <c r="E67" s="463" t="s">
        <v>58</v>
      </c>
      <c r="F67" s="429"/>
      <c r="G67" s="428" t="s">
        <v>58</v>
      </c>
      <c r="H67" s="429"/>
      <c r="I67" s="428" t="s">
        <v>58</v>
      </c>
      <c r="J67" s="429"/>
      <c r="K67" s="428" t="s">
        <v>58</v>
      </c>
      <c r="L67" s="429"/>
      <c r="M67" s="414" t="s">
        <v>160</v>
      </c>
      <c r="N67" s="415"/>
      <c r="O67" s="426" t="s">
        <v>58</v>
      </c>
      <c r="P67" s="427"/>
      <c r="Q67" s="428" t="s">
        <v>58</v>
      </c>
      <c r="R67" s="429"/>
      <c r="S67" s="428" t="s">
        <v>58</v>
      </c>
      <c r="T67" s="429"/>
      <c r="U67" s="428" t="s">
        <v>58</v>
      </c>
      <c r="V67" s="429"/>
      <c r="W67" s="428" t="s">
        <v>58</v>
      </c>
      <c r="X67" s="429"/>
      <c r="Y67" s="428" t="s">
        <v>58</v>
      </c>
      <c r="Z67" s="429"/>
      <c r="AA67" s="428" t="s">
        <v>58</v>
      </c>
      <c r="AB67" s="43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81" t="s">
        <v>59</v>
      </c>
      <c r="B68" s="482"/>
      <c r="C68" s="34">
        <v>4</v>
      </c>
      <c r="D68" s="35" t="s">
        <v>60</v>
      </c>
      <c r="E68" s="414" t="s">
        <v>160</v>
      </c>
      <c r="F68" s="415"/>
      <c r="G68" s="432" t="s">
        <v>58</v>
      </c>
      <c r="H68" s="377"/>
      <c r="I68" s="432" t="s">
        <v>58</v>
      </c>
      <c r="J68" s="377"/>
      <c r="K68" s="432" t="s">
        <v>58</v>
      </c>
      <c r="L68" s="377"/>
      <c r="M68" s="414" t="s">
        <v>160</v>
      </c>
      <c r="N68" s="415"/>
      <c r="O68" s="426" t="s">
        <v>58</v>
      </c>
      <c r="P68" s="427"/>
      <c r="Q68" s="432" t="s">
        <v>58</v>
      </c>
      <c r="R68" s="377"/>
      <c r="S68" s="432" t="s">
        <v>58</v>
      </c>
      <c r="T68" s="377"/>
      <c r="U68" s="432" t="s">
        <v>58</v>
      </c>
      <c r="V68" s="377"/>
      <c r="W68" s="432" t="s">
        <v>58</v>
      </c>
      <c r="X68" s="377"/>
      <c r="Y68" s="432" t="s">
        <v>58</v>
      </c>
      <c r="Z68" s="377"/>
      <c r="AA68" s="432" t="s">
        <v>58</v>
      </c>
      <c r="AB68" s="433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51"/>
      <c r="B69" s="452"/>
      <c r="C69" s="36">
        <v>4</v>
      </c>
      <c r="D69" s="37" t="s">
        <v>61</v>
      </c>
      <c r="E69" s="423" t="s">
        <v>160</v>
      </c>
      <c r="F69" s="423"/>
      <c r="G69" s="426" t="s">
        <v>58</v>
      </c>
      <c r="H69" s="427"/>
      <c r="I69" s="426" t="s">
        <v>58</v>
      </c>
      <c r="J69" s="427"/>
      <c r="K69" s="426" t="s">
        <v>58</v>
      </c>
      <c r="L69" s="427"/>
      <c r="M69" s="414" t="s">
        <v>160</v>
      </c>
      <c r="N69" s="415"/>
      <c r="O69" s="426" t="s">
        <v>58</v>
      </c>
      <c r="P69" s="427"/>
      <c r="Q69" s="426" t="s">
        <v>58</v>
      </c>
      <c r="R69" s="427"/>
      <c r="S69" s="426" t="s">
        <v>58</v>
      </c>
      <c r="T69" s="427"/>
      <c r="U69" s="426" t="s">
        <v>58</v>
      </c>
      <c r="V69" s="427"/>
      <c r="W69" s="426" t="s">
        <v>58</v>
      </c>
      <c r="X69" s="427"/>
      <c r="Y69" s="426" t="s">
        <v>58</v>
      </c>
      <c r="Z69" s="427"/>
      <c r="AA69" s="426" t="s">
        <v>58</v>
      </c>
      <c r="AB69" s="430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51"/>
      <c r="B70" s="452"/>
      <c r="C70" s="36">
        <v>1</v>
      </c>
      <c r="D70" s="37" t="s">
        <v>62</v>
      </c>
      <c r="E70" s="435" t="s">
        <v>58</v>
      </c>
      <c r="F70" s="427"/>
      <c r="G70" s="426" t="s">
        <v>58</v>
      </c>
      <c r="H70" s="427"/>
      <c r="I70" s="426" t="s">
        <v>58</v>
      </c>
      <c r="J70" s="427"/>
      <c r="K70" s="426" t="s">
        <v>58</v>
      </c>
      <c r="L70" s="427"/>
      <c r="M70" s="426" t="s">
        <v>58</v>
      </c>
      <c r="N70" s="427"/>
      <c r="O70" s="426" t="s">
        <v>58</v>
      </c>
      <c r="P70" s="427"/>
      <c r="Q70" s="426" t="s">
        <v>58</v>
      </c>
      <c r="R70" s="427"/>
      <c r="S70" s="426" t="s">
        <v>58</v>
      </c>
      <c r="T70" s="427"/>
      <c r="U70" s="426" t="s">
        <v>58</v>
      </c>
      <c r="V70" s="427"/>
      <c r="W70" s="426" t="s">
        <v>58</v>
      </c>
      <c r="X70" s="427"/>
      <c r="Y70" s="426" t="s">
        <v>58</v>
      </c>
      <c r="Z70" s="427"/>
      <c r="AA70" s="426" t="s">
        <v>58</v>
      </c>
      <c r="AB70" s="430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51"/>
      <c r="B71" s="452"/>
      <c r="C71" s="36">
        <v>4</v>
      </c>
      <c r="D71" s="37" t="s">
        <v>63</v>
      </c>
      <c r="E71" s="414" t="s">
        <v>160</v>
      </c>
      <c r="F71" s="415"/>
      <c r="G71" s="426" t="s">
        <v>58</v>
      </c>
      <c r="H71" s="427"/>
      <c r="I71" s="426" t="s">
        <v>58</v>
      </c>
      <c r="J71" s="427"/>
      <c r="K71" s="426" t="s">
        <v>58</v>
      </c>
      <c r="L71" s="427"/>
      <c r="M71" s="414" t="s">
        <v>160</v>
      </c>
      <c r="N71" s="415"/>
      <c r="O71" s="426" t="s">
        <v>58</v>
      </c>
      <c r="P71" s="427"/>
      <c r="Q71" s="426" t="s">
        <v>58</v>
      </c>
      <c r="R71" s="427"/>
      <c r="S71" s="426" t="s">
        <v>58</v>
      </c>
      <c r="T71" s="427"/>
      <c r="U71" s="426" t="s">
        <v>58</v>
      </c>
      <c r="V71" s="427"/>
      <c r="W71" s="426" t="s">
        <v>58</v>
      </c>
      <c r="X71" s="427"/>
      <c r="Y71" s="426" t="s">
        <v>58</v>
      </c>
      <c r="Z71" s="427"/>
      <c r="AA71" s="426" t="s">
        <v>58</v>
      </c>
      <c r="AB71" s="430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51"/>
      <c r="B72" s="452"/>
      <c r="C72" s="36">
        <v>2</v>
      </c>
      <c r="D72" s="37" t="s">
        <v>64</v>
      </c>
      <c r="E72" s="414" t="s">
        <v>160</v>
      </c>
      <c r="F72" s="415"/>
      <c r="G72" s="426" t="s">
        <v>58</v>
      </c>
      <c r="H72" s="427"/>
      <c r="I72" s="426" t="s">
        <v>58</v>
      </c>
      <c r="J72" s="427"/>
      <c r="K72" s="426" t="s">
        <v>58</v>
      </c>
      <c r="L72" s="427"/>
      <c r="M72" s="426" t="s">
        <v>58</v>
      </c>
      <c r="N72" s="427"/>
      <c r="O72" s="426" t="s">
        <v>58</v>
      </c>
      <c r="P72" s="427"/>
      <c r="Q72" s="426" t="s">
        <v>58</v>
      </c>
      <c r="R72" s="427"/>
      <c r="S72" s="426" t="s">
        <v>58</v>
      </c>
      <c r="T72" s="427"/>
      <c r="U72" s="426" t="s">
        <v>58</v>
      </c>
      <c r="V72" s="427"/>
      <c r="W72" s="426" t="s">
        <v>58</v>
      </c>
      <c r="X72" s="427"/>
      <c r="Y72" s="426" t="s">
        <v>58</v>
      </c>
      <c r="Z72" s="427"/>
      <c r="AA72" s="426" t="s">
        <v>58</v>
      </c>
      <c r="AB72" s="430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83"/>
      <c r="B73" s="484"/>
      <c r="C73" s="36">
        <v>4</v>
      </c>
      <c r="D73" s="37" t="s">
        <v>65</v>
      </c>
      <c r="E73" s="414" t="s">
        <v>160</v>
      </c>
      <c r="F73" s="415"/>
      <c r="G73" s="426" t="s">
        <v>58</v>
      </c>
      <c r="H73" s="427"/>
      <c r="I73" s="426" t="s">
        <v>58</v>
      </c>
      <c r="J73" s="427"/>
      <c r="K73" s="426" t="s">
        <v>58</v>
      </c>
      <c r="L73" s="427"/>
      <c r="M73" s="414" t="s">
        <v>160</v>
      </c>
      <c r="N73" s="415"/>
      <c r="O73" s="426" t="s">
        <v>58</v>
      </c>
      <c r="P73" s="427"/>
      <c r="Q73" s="426" t="s">
        <v>58</v>
      </c>
      <c r="R73" s="427"/>
      <c r="S73" s="426" t="s">
        <v>58</v>
      </c>
      <c r="T73" s="427"/>
      <c r="U73" s="426" t="s">
        <v>58</v>
      </c>
      <c r="V73" s="427"/>
      <c r="W73" s="426" t="s">
        <v>58</v>
      </c>
      <c r="X73" s="427"/>
      <c r="Y73" s="426" t="s">
        <v>58</v>
      </c>
      <c r="Z73" s="427"/>
      <c r="AA73" s="426" t="s">
        <v>58</v>
      </c>
      <c r="AB73" s="430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85" t="s">
        <v>66</v>
      </c>
      <c r="B74" s="486"/>
      <c r="C74" s="34">
        <f>SUM(C63:C67)</f>
        <v>10</v>
      </c>
      <c r="D74" s="150" t="s">
        <v>165</v>
      </c>
      <c r="E74" s="426" t="s">
        <v>58</v>
      </c>
      <c r="F74" s="427"/>
      <c r="G74" s="426" t="s">
        <v>58</v>
      </c>
      <c r="H74" s="427"/>
      <c r="I74" s="426" t="s">
        <v>58</v>
      </c>
      <c r="J74" s="427"/>
      <c r="K74" s="426" t="s">
        <v>58</v>
      </c>
      <c r="L74" s="427"/>
      <c r="M74" s="414" t="s">
        <v>261</v>
      </c>
      <c r="N74" s="415"/>
      <c r="O74" s="426" t="s">
        <v>58</v>
      </c>
      <c r="P74" s="427"/>
      <c r="Q74" s="426" t="s">
        <v>58</v>
      </c>
      <c r="R74" s="427"/>
      <c r="S74" s="426" t="s">
        <v>58</v>
      </c>
      <c r="T74" s="427"/>
      <c r="U74" s="426" t="s">
        <v>58</v>
      </c>
      <c r="V74" s="427"/>
      <c r="W74" s="426" t="s">
        <v>58</v>
      </c>
      <c r="X74" s="427"/>
      <c r="Y74" s="426" t="s">
        <v>58</v>
      </c>
      <c r="Z74" s="427"/>
      <c r="AA74" s="426" t="s">
        <v>58</v>
      </c>
      <c r="AB74" s="430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7" thickBot="1" x14ac:dyDescent="0.45">
      <c r="A77" s="476" t="s">
        <v>184</v>
      </c>
      <c r="B77" s="476"/>
      <c r="C77" s="476"/>
      <c r="D77" s="476"/>
      <c r="E77" s="476"/>
      <c r="F77" s="476"/>
      <c r="G77" s="476"/>
      <c r="H77" s="476"/>
      <c r="I77" s="476"/>
      <c r="J77" s="476"/>
      <c r="K77" s="476"/>
      <c r="L77" s="476"/>
      <c r="M77" s="476"/>
      <c r="N77" s="476"/>
      <c r="O77" s="476"/>
      <c r="P77" s="476"/>
      <c r="Q77" s="476"/>
      <c r="R77" s="476"/>
      <c r="S77" s="476"/>
      <c r="T77" s="476"/>
      <c r="U77" s="476"/>
      <c r="V77" s="476"/>
      <c r="W77" s="476"/>
      <c r="X77" s="476"/>
      <c r="Y77" s="476"/>
      <c r="Z77" s="476"/>
      <c r="AA77" s="476"/>
      <c r="AB77" s="476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21" t="s">
        <v>179</v>
      </c>
      <c r="B78" s="421" t="s">
        <v>33</v>
      </c>
      <c r="C78" s="421" t="s">
        <v>38</v>
      </c>
      <c r="D78" s="434"/>
      <c r="E78" s="459" t="s">
        <v>39</v>
      </c>
      <c r="F78" s="434"/>
      <c r="G78" s="459" t="s">
        <v>40</v>
      </c>
      <c r="H78" s="434"/>
      <c r="I78" s="459" t="s">
        <v>41</v>
      </c>
      <c r="J78" s="434"/>
      <c r="K78" s="459" t="s">
        <v>42</v>
      </c>
      <c r="L78" s="434"/>
      <c r="M78" s="459" t="s">
        <v>43</v>
      </c>
      <c r="N78" s="434"/>
      <c r="O78" s="459" t="s">
        <v>44</v>
      </c>
      <c r="P78" s="434"/>
      <c r="Q78" s="459" t="s">
        <v>45</v>
      </c>
      <c r="R78" s="434"/>
      <c r="S78" s="459" t="s">
        <v>46</v>
      </c>
      <c r="T78" s="434"/>
      <c r="U78" s="459" t="s">
        <v>47</v>
      </c>
      <c r="V78" s="434"/>
      <c r="W78" s="459" t="s">
        <v>48</v>
      </c>
      <c r="X78" s="434"/>
      <c r="Y78" s="459" t="s">
        <v>49</v>
      </c>
      <c r="Z78" s="434"/>
      <c r="AA78" s="459" t="s">
        <v>50</v>
      </c>
      <c r="AB78" s="434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22"/>
      <c r="B79" s="422"/>
      <c r="C79" s="421" t="s">
        <v>52</v>
      </c>
      <c r="D79" s="421" t="s">
        <v>51</v>
      </c>
      <c r="E79" s="418">
        <v>0.05</v>
      </c>
      <c r="F79" s="434"/>
      <c r="G79" s="418">
        <v>0.05</v>
      </c>
      <c r="H79" s="418"/>
      <c r="I79" s="418">
        <v>0.05</v>
      </c>
      <c r="J79" s="434"/>
      <c r="K79" s="418">
        <v>7.0000000000000007E-2</v>
      </c>
      <c r="L79" s="418"/>
      <c r="M79" s="418">
        <v>0.1</v>
      </c>
      <c r="N79" s="434"/>
      <c r="O79" s="418">
        <v>0.15</v>
      </c>
      <c r="P79" s="418"/>
      <c r="Q79" s="418">
        <v>7.0000000000000007E-2</v>
      </c>
      <c r="R79" s="434"/>
      <c r="S79" s="418">
        <v>7.0000000000000007E-2</v>
      </c>
      <c r="T79" s="418"/>
      <c r="U79" s="418">
        <v>7.0000000000000007E-2</v>
      </c>
      <c r="V79" s="434"/>
      <c r="W79" s="418">
        <v>7.0000000000000007E-2</v>
      </c>
      <c r="X79" s="418"/>
      <c r="Y79" s="418">
        <v>0.1</v>
      </c>
      <c r="Z79" s="434"/>
      <c r="AA79" s="418">
        <v>0.15</v>
      </c>
      <c r="AB79" s="418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22"/>
      <c r="B80" s="422"/>
      <c r="C80" s="434"/>
      <c r="D80" s="434"/>
      <c r="E80" s="172" t="s">
        <v>52</v>
      </c>
      <c r="F80" s="172" t="s">
        <v>51</v>
      </c>
      <c r="G80" s="172" t="s">
        <v>52</v>
      </c>
      <c r="H80" s="172" t="s">
        <v>51</v>
      </c>
      <c r="I80" s="172" t="s">
        <v>52</v>
      </c>
      <c r="J80" s="172" t="s">
        <v>51</v>
      </c>
      <c r="K80" s="172" t="s">
        <v>52</v>
      </c>
      <c r="L80" s="172" t="s">
        <v>51</v>
      </c>
      <c r="M80" s="172" t="s">
        <v>52</v>
      </c>
      <c r="N80" s="172" t="s">
        <v>51</v>
      </c>
      <c r="O80" s="172" t="s">
        <v>52</v>
      </c>
      <c r="P80" s="172" t="s">
        <v>51</v>
      </c>
      <c r="Q80" s="172" t="s">
        <v>52</v>
      </c>
      <c r="R80" s="172" t="s">
        <v>51</v>
      </c>
      <c r="S80" s="172" t="s">
        <v>52</v>
      </c>
      <c r="T80" s="172" t="s">
        <v>51</v>
      </c>
      <c r="U80" s="172" t="s">
        <v>52</v>
      </c>
      <c r="V80" s="172" t="s">
        <v>51</v>
      </c>
      <c r="W80" s="172" t="s">
        <v>52</v>
      </c>
      <c r="X80" s="172" t="s">
        <v>51</v>
      </c>
      <c r="Y80" s="172" t="s">
        <v>52</v>
      </c>
      <c r="Z80" s="172" t="s">
        <v>51</v>
      </c>
      <c r="AA80" s="172" t="s">
        <v>52</v>
      </c>
      <c r="AB80" s="172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73" t="s">
        <v>177</v>
      </c>
      <c r="B81" s="174">
        <f>Hipótesis!C37</f>
        <v>90000</v>
      </c>
      <c r="C81" s="208">
        <f>E81+G81+I81+K81+M81+O81+Q81+S81+U81+W81+Y81+AA81</f>
        <v>9</v>
      </c>
      <c r="D81" s="207">
        <f>B81*C81</f>
        <v>810000</v>
      </c>
      <c r="E81" s="209"/>
      <c r="F81" s="207">
        <f>B81*E81</f>
        <v>0</v>
      </c>
      <c r="G81" s="209">
        <v>0</v>
      </c>
      <c r="H81" s="207">
        <f>B81*G81</f>
        <v>0</v>
      </c>
      <c r="I81" s="209">
        <v>0</v>
      </c>
      <c r="J81" s="207">
        <f t="shared" ref="J81" si="27">F81*I81</f>
        <v>0</v>
      </c>
      <c r="K81" s="209">
        <v>1</v>
      </c>
      <c r="L81" s="207">
        <f>K81*B81</f>
        <v>90000</v>
      </c>
      <c r="M81" s="209">
        <v>1</v>
      </c>
      <c r="N81" s="207">
        <f>M81*B81</f>
        <v>90000</v>
      </c>
      <c r="O81" s="209">
        <v>1</v>
      </c>
      <c r="P81" s="207">
        <f>O81*B81</f>
        <v>90000</v>
      </c>
      <c r="Q81" s="209">
        <v>1</v>
      </c>
      <c r="R81" s="207">
        <f>$B$81*Q81</f>
        <v>90000</v>
      </c>
      <c r="S81" s="209">
        <v>1</v>
      </c>
      <c r="T81" s="207">
        <f>S81*B81</f>
        <v>90000</v>
      </c>
      <c r="U81" s="209">
        <v>1</v>
      </c>
      <c r="V81" s="207">
        <f t="shared" ref="V81:V83" si="28">R81*U81</f>
        <v>90000</v>
      </c>
      <c r="W81" s="209">
        <v>1</v>
      </c>
      <c r="X81" s="207">
        <f t="shared" ref="X81:X83" si="29">R81*W81</f>
        <v>90000</v>
      </c>
      <c r="Y81" s="209">
        <v>1</v>
      </c>
      <c r="Z81" s="207">
        <f>B81*Y81</f>
        <v>90000</v>
      </c>
      <c r="AA81" s="209">
        <v>1</v>
      </c>
      <c r="AB81" s="207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75" t="s">
        <v>178</v>
      </c>
      <c r="B82" s="176">
        <f>Hipótesis!C38</f>
        <v>100000</v>
      </c>
      <c r="C82" s="211">
        <f>E82+G82+I82+K82+M82+O82+Q82+S82+U82+W82+Y82+AA82</f>
        <v>18</v>
      </c>
      <c r="D82" s="210">
        <f>B82*C82</f>
        <v>1800000</v>
      </c>
      <c r="E82" s="211">
        <v>1</v>
      </c>
      <c r="F82" s="212">
        <f>B82*E82</f>
        <v>100000</v>
      </c>
      <c r="G82" s="211">
        <v>1</v>
      </c>
      <c r="H82" s="212">
        <f>B82*G82</f>
        <v>100000</v>
      </c>
      <c r="I82" s="211">
        <v>1</v>
      </c>
      <c r="J82" s="212">
        <f>B82*I82</f>
        <v>100000</v>
      </c>
      <c r="K82" s="211">
        <v>1</v>
      </c>
      <c r="L82" s="212">
        <f>K82*$B$82</f>
        <v>100000</v>
      </c>
      <c r="M82" s="211">
        <v>2</v>
      </c>
      <c r="N82" s="212">
        <f>M82*$B$82</f>
        <v>200000</v>
      </c>
      <c r="O82" s="211">
        <v>3</v>
      </c>
      <c r="P82" s="212">
        <f t="shared" ref="P82" si="30">O82*$B$82</f>
        <v>300000</v>
      </c>
      <c r="Q82" s="211">
        <v>1</v>
      </c>
      <c r="R82" s="212">
        <f>Q82*B82</f>
        <v>100000</v>
      </c>
      <c r="S82" s="211">
        <v>1</v>
      </c>
      <c r="T82" s="212">
        <f>B82*S82</f>
        <v>100000</v>
      </c>
      <c r="U82" s="211">
        <v>1</v>
      </c>
      <c r="V82" s="212">
        <f t="shared" si="28"/>
        <v>100000</v>
      </c>
      <c r="W82" s="211">
        <v>1</v>
      </c>
      <c r="X82" s="212">
        <f t="shared" si="29"/>
        <v>100000</v>
      </c>
      <c r="Y82" s="211">
        <v>2</v>
      </c>
      <c r="Z82" s="212">
        <f>$B$82*Y82</f>
        <v>200000</v>
      </c>
      <c r="AA82" s="211">
        <v>3</v>
      </c>
      <c r="AB82" s="212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77" t="s">
        <v>35</v>
      </c>
      <c r="B83" s="178">
        <f>Hipótesis!C39</f>
        <v>110000</v>
      </c>
      <c r="C83" s="214">
        <f>E83+G83+I83+K83+M83+O83+Q83+S83+U83+W83+Y83+AA83</f>
        <v>14</v>
      </c>
      <c r="D83" s="213">
        <f>B83*C83</f>
        <v>1540000</v>
      </c>
      <c r="E83" s="215">
        <v>1</v>
      </c>
      <c r="F83" s="216">
        <f>B83*E83</f>
        <v>110000</v>
      </c>
      <c r="G83" s="215">
        <v>1</v>
      </c>
      <c r="H83" s="216">
        <f>B83*G83</f>
        <v>110000</v>
      </c>
      <c r="I83" s="215">
        <v>1</v>
      </c>
      <c r="J83" s="216">
        <f>I83*$B$83</f>
        <v>110000</v>
      </c>
      <c r="K83" s="215">
        <v>1</v>
      </c>
      <c r="L83" s="216">
        <f>K83*$B$83</f>
        <v>110000</v>
      </c>
      <c r="M83" s="215">
        <v>1</v>
      </c>
      <c r="N83" s="216">
        <f>B83*M83</f>
        <v>110000</v>
      </c>
      <c r="O83" s="215">
        <v>2</v>
      </c>
      <c r="P83" s="216">
        <f>B83*O83</f>
        <v>220000</v>
      </c>
      <c r="Q83" s="215">
        <v>1</v>
      </c>
      <c r="R83" s="216">
        <f>$B$83*Q83</f>
        <v>110000</v>
      </c>
      <c r="S83" s="215">
        <v>1</v>
      </c>
      <c r="T83" s="216">
        <f>$B$83*S83</f>
        <v>110000</v>
      </c>
      <c r="U83" s="215">
        <v>1</v>
      </c>
      <c r="V83" s="216">
        <f t="shared" si="28"/>
        <v>110000</v>
      </c>
      <c r="W83" s="215">
        <v>1</v>
      </c>
      <c r="X83" s="216">
        <f t="shared" si="29"/>
        <v>110000</v>
      </c>
      <c r="Y83" s="215">
        <v>1</v>
      </c>
      <c r="Z83" s="216">
        <f t="shared" ref="Z83" si="31">V83*Y83</f>
        <v>110000</v>
      </c>
      <c r="AA83" s="215">
        <v>2</v>
      </c>
      <c r="AB83" s="216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74" t="s">
        <v>53</v>
      </c>
      <c r="B84" s="422"/>
      <c r="C84" s="242">
        <f t="shared" ref="C84:J84" si="33">SUM(C81:C83)</f>
        <v>41</v>
      </c>
      <c r="D84" s="243">
        <f t="shared" si="33"/>
        <v>4150000</v>
      </c>
      <c r="E84" s="242">
        <f t="shared" si="33"/>
        <v>2</v>
      </c>
      <c r="F84" s="243">
        <f t="shared" si="33"/>
        <v>210000</v>
      </c>
      <c r="G84" s="242">
        <f t="shared" si="33"/>
        <v>2</v>
      </c>
      <c r="H84" s="243">
        <f t="shared" si="33"/>
        <v>210000</v>
      </c>
      <c r="I84" s="242">
        <f t="shared" si="33"/>
        <v>2</v>
      </c>
      <c r="J84" s="243">
        <f t="shared" si="33"/>
        <v>210000</v>
      </c>
      <c r="K84" s="242">
        <f t="shared" ref="K84:Z84" si="34">SUM(K81:K83)</f>
        <v>3</v>
      </c>
      <c r="L84" s="243">
        <f t="shared" si="34"/>
        <v>300000</v>
      </c>
      <c r="M84" s="242">
        <f t="shared" si="34"/>
        <v>4</v>
      </c>
      <c r="N84" s="243">
        <f t="shared" si="34"/>
        <v>400000</v>
      </c>
      <c r="O84" s="242">
        <f t="shared" si="34"/>
        <v>6</v>
      </c>
      <c r="P84" s="243">
        <f t="shared" si="34"/>
        <v>610000</v>
      </c>
      <c r="Q84" s="242">
        <f t="shared" si="34"/>
        <v>3</v>
      </c>
      <c r="R84" s="243">
        <f t="shared" si="34"/>
        <v>300000</v>
      </c>
      <c r="S84" s="242">
        <f t="shared" si="34"/>
        <v>3</v>
      </c>
      <c r="T84" s="243">
        <f t="shared" si="34"/>
        <v>300000</v>
      </c>
      <c r="U84" s="242">
        <f t="shared" si="34"/>
        <v>3</v>
      </c>
      <c r="V84" s="243">
        <f t="shared" si="34"/>
        <v>300000</v>
      </c>
      <c r="W84" s="242">
        <f t="shared" si="34"/>
        <v>3</v>
      </c>
      <c r="X84" s="243">
        <f t="shared" si="34"/>
        <v>300000</v>
      </c>
      <c r="Y84" s="242">
        <f t="shared" si="34"/>
        <v>4</v>
      </c>
      <c r="Z84" s="243">
        <f t="shared" si="34"/>
        <v>400000</v>
      </c>
      <c r="AA84" s="242">
        <f>SUM(AA81:AA83)</f>
        <v>6</v>
      </c>
      <c r="AB84" s="243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05" t="s">
        <v>187</v>
      </c>
      <c r="B85" s="406"/>
      <c r="C85" s="407"/>
      <c r="D85" s="219">
        <f t="shared" ref="D85:D87" si="36">SUM(F85+H85+J85+L85+N85+P85+R85+T85+V85+X85+Z85+AB85)</f>
        <v>23760000</v>
      </c>
      <c r="E85" s="220">
        <f>E81+AA54</f>
        <v>18</v>
      </c>
      <c r="F85" s="221">
        <f>E85*$B$81</f>
        <v>1620000</v>
      </c>
      <c r="G85" s="220">
        <f>G81+E85</f>
        <v>18</v>
      </c>
      <c r="H85" s="221">
        <f t="shared" ref="H85" si="37">(G85+G81)*$B$81</f>
        <v>1620000</v>
      </c>
      <c r="I85" s="220">
        <f t="shared" ref="I85:I87" si="38">I81+G85</f>
        <v>18</v>
      </c>
      <c r="J85" s="221">
        <f t="shared" ref="J85" si="39">(I85+I81)*$B$81</f>
        <v>1620000</v>
      </c>
      <c r="K85" s="220">
        <f t="shared" ref="K85:K87" si="40">K81+I85</f>
        <v>19</v>
      </c>
      <c r="L85" s="221">
        <f t="shared" ref="L85" si="41">(K85+K81)*$B$81</f>
        <v>1800000</v>
      </c>
      <c r="M85" s="220">
        <f t="shared" ref="M85:M87" si="42">M81+K85</f>
        <v>20</v>
      </c>
      <c r="N85" s="221">
        <f>M85*$B$81</f>
        <v>1800000</v>
      </c>
      <c r="O85" s="220">
        <f t="shared" ref="O85" si="43">O81+M85</f>
        <v>21</v>
      </c>
      <c r="P85" s="221">
        <f t="shared" ref="P85:T85" si="44">(O85+O81)*$B$81</f>
        <v>1980000</v>
      </c>
      <c r="Q85" s="220">
        <f t="shared" ref="Q85" si="45">Q81+O85</f>
        <v>22</v>
      </c>
      <c r="R85" s="221">
        <f t="shared" ref="R85" si="46">Q85*$B$81</f>
        <v>1980000</v>
      </c>
      <c r="S85" s="220">
        <f t="shared" ref="S85" si="47">S81+Q85</f>
        <v>23</v>
      </c>
      <c r="T85" s="221">
        <f t="shared" si="44"/>
        <v>2160000</v>
      </c>
      <c r="U85" s="220">
        <f t="shared" ref="U85" si="48">U81+S85</f>
        <v>24</v>
      </c>
      <c r="V85" s="221">
        <f t="shared" ref="V85" si="49">U85*$B$81</f>
        <v>2160000</v>
      </c>
      <c r="W85" s="220">
        <f t="shared" ref="W85" si="50">W81+U85</f>
        <v>25</v>
      </c>
      <c r="X85" s="221">
        <f>W85*$B$81</f>
        <v>2250000</v>
      </c>
      <c r="Y85" s="220">
        <f t="shared" ref="Y85" si="51">Y81+W85</f>
        <v>26</v>
      </c>
      <c r="Z85" s="221">
        <f t="shared" ref="Z85" si="52">Y85*$B$81</f>
        <v>2340000</v>
      </c>
      <c r="AA85" s="220">
        <f t="shared" ref="AA85" si="53">AA81+Y85</f>
        <v>27</v>
      </c>
      <c r="AB85" s="221">
        <f>(AA85)*$B$81</f>
        <v>2430000</v>
      </c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</row>
    <row r="86" spans="1:43" ht="16.5" thickBot="1" x14ac:dyDescent="0.3">
      <c r="A86" s="408" t="s">
        <v>188</v>
      </c>
      <c r="B86" s="409"/>
      <c r="C86" s="410"/>
      <c r="D86" s="223">
        <f t="shared" si="36"/>
        <v>53600000</v>
      </c>
      <c r="E86" s="224">
        <f>E82+AA55</f>
        <v>37</v>
      </c>
      <c r="F86" s="225">
        <f>E86*B82</f>
        <v>3700000</v>
      </c>
      <c r="G86" s="224">
        <f>G82+E86</f>
        <v>38</v>
      </c>
      <c r="H86" s="225">
        <f>(G86)*$B$82</f>
        <v>3800000</v>
      </c>
      <c r="I86" s="224">
        <f t="shared" si="38"/>
        <v>39</v>
      </c>
      <c r="J86" s="225">
        <f>(I86)*$B$82</f>
        <v>3900000</v>
      </c>
      <c r="K86" s="224">
        <f t="shared" si="40"/>
        <v>40</v>
      </c>
      <c r="L86" s="225">
        <f>(K86)*$B$82</f>
        <v>4000000</v>
      </c>
      <c r="M86" s="224">
        <f t="shared" si="42"/>
        <v>42</v>
      </c>
      <c r="N86" s="225">
        <f>(M86)*$B$82</f>
        <v>4200000</v>
      </c>
      <c r="O86" s="224">
        <f t="shared" ref="O86:O87" si="54">O82+M86</f>
        <v>45</v>
      </c>
      <c r="P86" s="225">
        <f>(O86)*$B$82</f>
        <v>4500000</v>
      </c>
      <c r="Q86" s="224">
        <f t="shared" ref="Q86:Q87" si="55">Q82+O86</f>
        <v>46</v>
      </c>
      <c r="R86" s="225">
        <f>(Q86)*$B$82</f>
        <v>4600000</v>
      </c>
      <c r="S86" s="224">
        <f t="shared" ref="S86:S87" si="56">S82+Q86</f>
        <v>47</v>
      </c>
      <c r="T86" s="225">
        <f>(S86)*$B$82</f>
        <v>4700000</v>
      </c>
      <c r="U86" s="224">
        <f t="shared" ref="U86:U87" si="57">U82+S86</f>
        <v>48</v>
      </c>
      <c r="V86" s="225">
        <f>(U86)*$B$82</f>
        <v>4800000</v>
      </c>
      <c r="W86" s="224">
        <f t="shared" ref="W86:W87" si="58">W82+U86</f>
        <v>49</v>
      </c>
      <c r="X86" s="225">
        <f>(W86)*$B$82</f>
        <v>4900000</v>
      </c>
      <c r="Y86" s="224">
        <f t="shared" ref="Y86:Y87" si="59">Y82+W86</f>
        <v>51</v>
      </c>
      <c r="Z86" s="225">
        <f>(Y86)*$B$82</f>
        <v>5100000</v>
      </c>
      <c r="AA86" s="224">
        <f t="shared" ref="AA86:AA87" si="60">AA82+Y86</f>
        <v>54</v>
      </c>
      <c r="AB86" s="225">
        <f>(AA86)*$B$82</f>
        <v>5400000</v>
      </c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</row>
    <row r="87" spans="1:43" ht="16.5" thickBot="1" x14ac:dyDescent="0.3">
      <c r="A87" s="411" t="s">
        <v>189</v>
      </c>
      <c r="B87" s="412"/>
      <c r="C87" s="413"/>
      <c r="D87" s="227">
        <f t="shared" si="36"/>
        <v>46420000</v>
      </c>
      <c r="E87" s="228">
        <f>E83+AA56</f>
        <v>29</v>
      </c>
      <c r="F87" s="229">
        <f>E87*$B$83</f>
        <v>3190000</v>
      </c>
      <c r="G87" s="228">
        <f>G83+E87</f>
        <v>30</v>
      </c>
      <c r="H87" s="229">
        <f>G87*$B$83</f>
        <v>3300000</v>
      </c>
      <c r="I87" s="228">
        <f t="shared" si="38"/>
        <v>31</v>
      </c>
      <c r="J87" s="229">
        <f t="shared" ref="J87" si="61">I87*$B$83</f>
        <v>3410000</v>
      </c>
      <c r="K87" s="228">
        <f t="shared" si="40"/>
        <v>32</v>
      </c>
      <c r="L87" s="229">
        <f t="shared" ref="L87" si="62">K87*$B$83</f>
        <v>3520000</v>
      </c>
      <c r="M87" s="228">
        <f t="shared" si="42"/>
        <v>33</v>
      </c>
      <c r="N87" s="229">
        <f t="shared" ref="N87" si="63">M87*$B$83</f>
        <v>3630000</v>
      </c>
      <c r="O87" s="228">
        <f t="shared" si="54"/>
        <v>35</v>
      </c>
      <c r="P87" s="229">
        <f t="shared" ref="P87" si="64">O87*$B$83</f>
        <v>3850000</v>
      </c>
      <c r="Q87" s="228">
        <f t="shared" si="55"/>
        <v>36</v>
      </c>
      <c r="R87" s="229">
        <f t="shared" ref="R87" si="65">Q87*$B$83</f>
        <v>3960000</v>
      </c>
      <c r="S87" s="228">
        <f t="shared" si="56"/>
        <v>37</v>
      </c>
      <c r="T87" s="229">
        <f t="shared" ref="T87" si="66">S87*$B$83</f>
        <v>4070000</v>
      </c>
      <c r="U87" s="228">
        <f t="shared" si="57"/>
        <v>38</v>
      </c>
      <c r="V87" s="229">
        <f t="shared" ref="V87" si="67">U87*$B$83</f>
        <v>4180000</v>
      </c>
      <c r="W87" s="228">
        <f t="shared" si="58"/>
        <v>39</v>
      </c>
      <c r="X87" s="229">
        <f t="shared" ref="X87" si="68">W87*$B$83</f>
        <v>4290000</v>
      </c>
      <c r="Y87" s="228">
        <f t="shared" si="59"/>
        <v>40</v>
      </c>
      <c r="Z87" s="229">
        <f t="shared" ref="Z87" si="69">Y87*$B$83</f>
        <v>4400000</v>
      </c>
      <c r="AA87" s="228">
        <f t="shared" si="60"/>
        <v>42</v>
      </c>
      <c r="AB87" s="229">
        <f t="shared" ref="AB87" si="70">AA87*$B$83</f>
        <v>4620000</v>
      </c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</row>
    <row r="88" spans="1:43" ht="15.75" customHeight="1" thickBot="1" x14ac:dyDescent="0.3">
      <c r="A88" s="419" t="s">
        <v>159</v>
      </c>
      <c r="B88" s="420"/>
      <c r="C88" s="231">
        <f>C84+C57</f>
        <v>123</v>
      </c>
      <c r="D88" s="232">
        <f>SUM(F88+H88+J88+L88+N88+P88+R88+T88+V88+X88+Z88+AB88)</f>
        <v>123780000</v>
      </c>
      <c r="E88" s="233">
        <f t="shared" ref="E88:Z88" si="71">SUM(E85:E87)</f>
        <v>84</v>
      </c>
      <c r="F88" s="234">
        <f t="shared" si="71"/>
        <v>8510000</v>
      </c>
      <c r="G88" s="233">
        <f t="shared" si="71"/>
        <v>86</v>
      </c>
      <c r="H88" s="234">
        <f t="shared" si="71"/>
        <v>8720000</v>
      </c>
      <c r="I88" s="233">
        <f t="shared" si="71"/>
        <v>88</v>
      </c>
      <c r="J88" s="234">
        <f t="shared" si="71"/>
        <v>8930000</v>
      </c>
      <c r="K88" s="233">
        <f t="shared" si="71"/>
        <v>91</v>
      </c>
      <c r="L88" s="234">
        <f t="shared" si="71"/>
        <v>9320000</v>
      </c>
      <c r="M88" s="233">
        <f t="shared" si="71"/>
        <v>95</v>
      </c>
      <c r="N88" s="234">
        <f t="shared" si="71"/>
        <v>9630000</v>
      </c>
      <c r="O88" s="233">
        <f t="shared" si="71"/>
        <v>101</v>
      </c>
      <c r="P88" s="234">
        <f t="shared" si="71"/>
        <v>10330000</v>
      </c>
      <c r="Q88" s="233">
        <f t="shared" si="71"/>
        <v>104</v>
      </c>
      <c r="R88" s="234">
        <f t="shared" si="71"/>
        <v>10540000</v>
      </c>
      <c r="S88" s="233">
        <f t="shared" si="71"/>
        <v>107</v>
      </c>
      <c r="T88" s="234">
        <f t="shared" si="71"/>
        <v>10930000</v>
      </c>
      <c r="U88" s="233">
        <f t="shared" si="71"/>
        <v>110</v>
      </c>
      <c r="V88" s="234">
        <f t="shared" si="71"/>
        <v>11140000</v>
      </c>
      <c r="W88" s="233">
        <f t="shared" si="71"/>
        <v>113</v>
      </c>
      <c r="X88" s="234">
        <f t="shared" si="71"/>
        <v>11440000</v>
      </c>
      <c r="Y88" s="233">
        <f t="shared" si="71"/>
        <v>117</v>
      </c>
      <c r="Z88" s="234">
        <f t="shared" si="71"/>
        <v>11840000</v>
      </c>
      <c r="AA88" s="233">
        <f t="shared" ref="AA88" si="72">SUM(AA85:AA87)</f>
        <v>123</v>
      </c>
      <c r="AB88" s="234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476" t="s">
        <v>185</v>
      </c>
      <c r="B90" s="476"/>
      <c r="C90" s="476"/>
      <c r="D90" s="476"/>
      <c r="E90" s="476"/>
      <c r="F90" s="476"/>
      <c r="G90" s="476"/>
      <c r="H90" s="476"/>
      <c r="I90" s="476"/>
      <c r="J90" s="476"/>
      <c r="K90" s="476"/>
      <c r="L90" s="476"/>
      <c r="M90" s="476"/>
      <c r="N90" s="476"/>
      <c r="O90" s="476"/>
      <c r="P90" s="476"/>
      <c r="Q90" s="476"/>
      <c r="R90" s="476"/>
      <c r="S90" s="476"/>
      <c r="T90" s="476"/>
      <c r="U90" s="476"/>
      <c r="V90" s="476"/>
      <c r="W90" s="476"/>
      <c r="X90" s="476"/>
      <c r="Y90" s="476"/>
      <c r="Z90" s="476"/>
      <c r="AA90" s="476"/>
      <c r="AB90" s="476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56" t="s">
        <v>54</v>
      </c>
      <c r="B91" s="477" t="s">
        <v>204</v>
      </c>
      <c r="C91" s="477"/>
      <c r="D91" s="477"/>
      <c r="E91" s="477"/>
      <c r="F91" s="477"/>
      <c r="G91" s="477"/>
      <c r="H91" s="477"/>
      <c r="I91" s="477"/>
      <c r="J91" s="477"/>
      <c r="K91" s="477"/>
      <c r="L91" s="477"/>
      <c r="M91" s="477"/>
      <c r="N91" s="477"/>
      <c r="O91" s="477"/>
      <c r="P91" s="477"/>
      <c r="Q91" s="477"/>
      <c r="R91" s="477"/>
      <c r="S91" s="477"/>
      <c r="T91" s="477"/>
      <c r="U91" s="477"/>
      <c r="V91" s="477"/>
      <c r="W91" s="477"/>
      <c r="X91" s="477"/>
      <c r="Y91" s="477"/>
      <c r="Z91" s="477"/>
      <c r="AA91" s="477"/>
      <c r="AB91" s="477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496" t="s">
        <v>55</v>
      </c>
      <c r="B92" s="422"/>
      <c r="C92" s="475" t="s">
        <v>222</v>
      </c>
      <c r="D92" s="422"/>
      <c r="E92" s="497" t="s">
        <v>223</v>
      </c>
      <c r="F92" s="422"/>
      <c r="G92" s="422"/>
      <c r="H92" s="422"/>
      <c r="I92" s="422"/>
      <c r="J92" s="422"/>
      <c r="K92" s="422"/>
      <c r="L92" s="422"/>
      <c r="M92" s="422"/>
      <c r="N92" s="422"/>
      <c r="O92" s="422"/>
      <c r="P92" s="422"/>
      <c r="Q92" s="422"/>
      <c r="R92" s="422"/>
      <c r="S92" s="422"/>
      <c r="T92" s="422"/>
      <c r="U92" s="422"/>
      <c r="V92" s="422"/>
      <c r="W92" s="422"/>
      <c r="X92" s="422"/>
      <c r="Y92" s="422"/>
      <c r="Z92" s="422"/>
      <c r="AA92" s="422"/>
      <c r="AB92" s="422"/>
    </row>
    <row r="93" spans="1:43" ht="15.75" customHeight="1" thickBot="1" x14ac:dyDescent="0.3">
      <c r="A93" s="422"/>
      <c r="B93" s="422"/>
      <c r="C93" s="158" t="s">
        <v>52</v>
      </c>
      <c r="D93" s="158" t="s">
        <v>55</v>
      </c>
      <c r="E93" s="459" t="s">
        <v>39</v>
      </c>
      <c r="F93" s="422"/>
      <c r="G93" s="459" t="s">
        <v>40</v>
      </c>
      <c r="H93" s="422"/>
      <c r="I93" s="459" t="s">
        <v>41</v>
      </c>
      <c r="J93" s="422"/>
      <c r="K93" s="459" t="s">
        <v>42</v>
      </c>
      <c r="L93" s="422"/>
      <c r="M93" s="459" t="s">
        <v>43</v>
      </c>
      <c r="N93" s="422"/>
      <c r="O93" s="459" t="s">
        <v>44</v>
      </c>
      <c r="P93" s="422"/>
      <c r="Q93" s="459" t="s">
        <v>45</v>
      </c>
      <c r="R93" s="422"/>
      <c r="S93" s="459" t="s">
        <v>46</v>
      </c>
      <c r="T93" s="422"/>
      <c r="U93" s="459" t="s">
        <v>47</v>
      </c>
      <c r="V93" s="422"/>
      <c r="W93" s="459" t="s">
        <v>48</v>
      </c>
      <c r="X93" s="422"/>
      <c r="Y93" s="459" t="s">
        <v>49</v>
      </c>
      <c r="Z93" s="422"/>
      <c r="AA93" s="459" t="s">
        <v>50</v>
      </c>
      <c r="AB93" s="422"/>
    </row>
    <row r="94" spans="1:43" ht="15.75" customHeight="1" thickBot="1" x14ac:dyDescent="0.3">
      <c r="A94" s="401" t="s">
        <v>57</v>
      </c>
      <c r="B94" s="402"/>
      <c r="C94" s="244">
        <f>'Anexo capacidad operativa'!A42</f>
        <v>3</v>
      </c>
      <c r="D94" s="245" t="str">
        <f>'Anexo capacidad operativa'!B42</f>
        <v>Desarrollador</v>
      </c>
      <c r="E94" s="399" t="s">
        <v>58</v>
      </c>
      <c r="F94" s="400"/>
      <c r="G94" s="399" t="s">
        <v>58</v>
      </c>
      <c r="H94" s="400"/>
      <c r="I94" s="399" t="s">
        <v>58</v>
      </c>
      <c r="J94" s="400"/>
      <c r="K94" s="399" t="s">
        <v>58</v>
      </c>
      <c r="L94" s="400"/>
      <c r="M94" s="399" t="s">
        <v>58</v>
      </c>
      <c r="N94" s="400"/>
      <c r="O94" s="399" t="s">
        <v>58</v>
      </c>
      <c r="P94" s="400"/>
      <c r="Q94" s="399" t="s">
        <v>58</v>
      </c>
      <c r="R94" s="400"/>
      <c r="S94" s="399" t="s">
        <v>58</v>
      </c>
      <c r="T94" s="400"/>
      <c r="U94" s="399" t="s">
        <v>58</v>
      </c>
      <c r="V94" s="400"/>
      <c r="W94" s="399" t="s">
        <v>58</v>
      </c>
      <c r="X94" s="400"/>
      <c r="Y94" s="399" t="s">
        <v>58</v>
      </c>
      <c r="Z94" s="400"/>
      <c r="AA94" s="399" t="s">
        <v>58</v>
      </c>
      <c r="AB94" s="400"/>
    </row>
    <row r="95" spans="1:43" ht="15.75" customHeight="1" thickBot="1" x14ac:dyDescent="0.3">
      <c r="A95" s="403"/>
      <c r="B95" s="404"/>
      <c r="C95" s="244">
        <f>'Anexo capacidad operativa'!A43</f>
        <v>1</v>
      </c>
      <c r="D95" s="246" t="str">
        <f>'Anexo capacidad operativa'!B43</f>
        <v>Gerente de servicios</v>
      </c>
      <c r="E95" s="399" t="s">
        <v>58</v>
      </c>
      <c r="F95" s="400"/>
      <c r="G95" s="399" t="s">
        <v>58</v>
      </c>
      <c r="H95" s="400"/>
      <c r="I95" s="399" t="s">
        <v>58</v>
      </c>
      <c r="J95" s="400"/>
      <c r="K95" s="399" t="s">
        <v>58</v>
      </c>
      <c r="L95" s="400"/>
      <c r="M95" s="399" t="s">
        <v>58</v>
      </c>
      <c r="N95" s="400"/>
      <c r="O95" s="399" t="s">
        <v>58</v>
      </c>
      <c r="P95" s="400"/>
      <c r="Q95" s="399" t="s">
        <v>58</v>
      </c>
      <c r="R95" s="400"/>
      <c r="S95" s="399" t="s">
        <v>58</v>
      </c>
      <c r="T95" s="400"/>
      <c r="U95" s="399" t="s">
        <v>58</v>
      </c>
      <c r="V95" s="400"/>
      <c r="W95" s="399" t="s">
        <v>58</v>
      </c>
      <c r="X95" s="400"/>
      <c r="Y95" s="399" t="s">
        <v>58</v>
      </c>
      <c r="Z95" s="400"/>
      <c r="AA95" s="399" t="s">
        <v>58</v>
      </c>
      <c r="AB95" s="400"/>
    </row>
    <row r="96" spans="1:43" ht="15.75" customHeight="1" thickBot="1" x14ac:dyDescent="0.3">
      <c r="A96" s="403"/>
      <c r="B96" s="404"/>
      <c r="C96" s="244">
        <f>'Anexo capacidad operativa'!A44</f>
        <v>1</v>
      </c>
      <c r="D96" s="246" t="str">
        <f>'Anexo capacidad operativa'!B44</f>
        <v>Empleado de tecnologia</v>
      </c>
      <c r="E96" s="399" t="s">
        <v>58</v>
      </c>
      <c r="F96" s="400"/>
      <c r="G96" s="399" t="s">
        <v>58</v>
      </c>
      <c r="H96" s="400"/>
      <c r="I96" s="399" t="s">
        <v>58</v>
      </c>
      <c r="J96" s="400"/>
      <c r="K96" s="399" t="s">
        <v>58</v>
      </c>
      <c r="L96" s="400"/>
      <c r="M96" s="399" t="s">
        <v>58</v>
      </c>
      <c r="N96" s="400"/>
      <c r="O96" s="399" t="s">
        <v>58</v>
      </c>
      <c r="P96" s="400"/>
      <c r="Q96" s="399" t="s">
        <v>58</v>
      </c>
      <c r="R96" s="400"/>
      <c r="S96" s="399" t="s">
        <v>58</v>
      </c>
      <c r="T96" s="400"/>
      <c r="U96" s="399" t="s">
        <v>58</v>
      </c>
      <c r="V96" s="400"/>
      <c r="W96" s="399" t="s">
        <v>58</v>
      </c>
      <c r="X96" s="400"/>
      <c r="Y96" s="399" t="s">
        <v>58</v>
      </c>
      <c r="Z96" s="400"/>
      <c r="AA96" s="399" t="s">
        <v>58</v>
      </c>
      <c r="AB96" s="400"/>
    </row>
    <row r="97" spans="1:28" ht="15.75" customHeight="1" thickBot="1" x14ac:dyDescent="0.3">
      <c r="A97" s="403"/>
      <c r="B97" s="404"/>
      <c r="C97" s="244">
        <f>'Anexo capacidad operativa'!A45</f>
        <v>3</v>
      </c>
      <c r="D97" s="246" t="str">
        <f>'Anexo capacidad operativa'!B45</f>
        <v>Tester</v>
      </c>
      <c r="E97" s="399" t="s">
        <v>58</v>
      </c>
      <c r="F97" s="400"/>
      <c r="G97" s="399" t="s">
        <v>58</v>
      </c>
      <c r="H97" s="400"/>
      <c r="I97" s="399" t="s">
        <v>58</v>
      </c>
      <c r="J97" s="400"/>
      <c r="K97" s="399" t="s">
        <v>58</v>
      </c>
      <c r="L97" s="400"/>
      <c r="M97" s="399" t="s">
        <v>58</v>
      </c>
      <c r="N97" s="400"/>
      <c r="O97" s="414" t="s">
        <v>160</v>
      </c>
      <c r="P97" s="415"/>
      <c r="Q97" s="399" t="s">
        <v>58</v>
      </c>
      <c r="R97" s="400"/>
      <c r="S97" s="399" t="s">
        <v>58</v>
      </c>
      <c r="T97" s="400"/>
      <c r="U97" s="399" t="s">
        <v>58</v>
      </c>
      <c r="V97" s="400"/>
      <c r="W97" s="399" t="s">
        <v>58</v>
      </c>
      <c r="X97" s="400"/>
      <c r="Y97" s="399" t="s">
        <v>58</v>
      </c>
      <c r="Z97" s="400"/>
      <c r="AA97" s="399" t="s">
        <v>58</v>
      </c>
      <c r="AB97" s="400"/>
    </row>
    <row r="98" spans="1:28" ht="15.75" customHeight="1" thickBot="1" x14ac:dyDescent="0.3">
      <c r="A98" s="403"/>
      <c r="B98" s="404"/>
      <c r="C98" s="244">
        <f>'Anexo capacidad operativa'!A46</f>
        <v>3</v>
      </c>
      <c r="D98" s="246" t="str">
        <f>'Anexo capacidad operativa'!B46</f>
        <v>Empleado administrativo de ventas</v>
      </c>
      <c r="E98" s="399" t="s">
        <v>58</v>
      </c>
      <c r="F98" s="399"/>
      <c r="G98" s="399" t="s">
        <v>58</v>
      </c>
      <c r="H98" s="399"/>
      <c r="I98" s="399" t="s">
        <v>58</v>
      </c>
      <c r="J98" s="399"/>
      <c r="K98" s="399" t="s">
        <v>58</v>
      </c>
      <c r="L98" s="399"/>
      <c r="M98" s="399" t="s">
        <v>58</v>
      </c>
      <c r="N98" s="399"/>
      <c r="O98" s="399" t="s">
        <v>58</v>
      </c>
      <c r="P98" s="399"/>
      <c r="Q98" s="399" t="s">
        <v>58</v>
      </c>
      <c r="R98" s="399"/>
      <c r="S98" s="399" t="s">
        <v>58</v>
      </c>
      <c r="T98" s="399"/>
      <c r="U98" s="399" t="s">
        <v>58</v>
      </c>
      <c r="V98" s="399"/>
      <c r="W98" s="399" t="s">
        <v>58</v>
      </c>
      <c r="X98" s="399"/>
      <c r="Y98" s="399" t="s">
        <v>58</v>
      </c>
      <c r="Z98" s="399"/>
      <c r="AA98" s="399" t="s">
        <v>58</v>
      </c>
      <c r="AB98" s="399"/>
    </row>
    <row r="99" spans="1:28" ht="15.75" thickBot="1" x14ac:dyDescent="0.3">
      <c r="A99" s="498" t="s">
        <v>59</v>
      </c>
      <c r="B99" s="422"/>
      <c r="C99" s="244">
        <v>6</v>
      </c>
      <c r="D99" s="246" t="s">
        <v>60</v>
      </c>
      <c r="E99" s="399" t="s">
        <v>58</v>
      </c>
      <c r="F99" s="400"/>
      <c r="G99" s="399" t="s">
        <v>58</v>
      </c>
      <c r="H99" s="400"/>
      <c r="I99" s="399" t="s">
        <v>58</v>
      </c>
      <c r="J99" s="400"/>
      <c r="K99" s="399" t="s">
        <v>58</v>
      </c>
      <c r="L99" s="400"/>
      <c r="M99" s="414" t="s">
        <v>160</v>
      </c>
      <c r="N99" s="415"/>
      <c r="O99" s="424" t="s">
        <v>58</v>
      </c>
      <c r="P99" s="425"/>
      <c r="Q99" s="424" t="s">
        <v>58</v>
      </c>
      <c r="R99" s="425"/>
      <c r="S99" s="399" t="s">
        <v>58</v>
      </c>
      <c r="T99" s="400"/>
      <c r="U99" s="399" t="s">
        <v>58</v>
      </c>
      <c r="V99" s="400"/>
      <c r="W99" s="399" t="s">
        <v>58</v>
      </c>
      <c r="X99" s="400"/>
      <c r="Y99" s="414" t="s">
        <v>160</v>
      </c>
      <c r="Z99" s="415"/>
      <c r="AA99" s="399" t="s">
        <v>58</v>
      </c>
      <c r="AB99" s="400"/>
    </row>
    <row r="100" spans="1:28" ht="15.75" thickBot="1" x14ac:dyDescent="0.3">
      <c r="A100" s="422"/>
      <c r="B100" s="422"/>
      <c r="C100" s="244">
        <v>6</v>
      </c>
      <c r="D100" s="246" t="s">
        <v>61</v>
      </c>
      <c r="E100" s="399" t="s">
        <v>58</v>
      </c>
      <c r="F100" s="400"/>
      <c r="G100" s="399" t="s">
        <v>58</v>
      </c>
      <c r="H100" s="400"/>
      <c r="I100" s="399" t="s">
        <v>58</v>
      </c>
      <c r="J100" s="400"/>
      <c r="K100" s="399" t="s">
        <v>58</v>
      </c>
      <c r="L100" s="400"/>
      <c r="M100" s="423" t="s">
        <v>160</v>
      </c>
      <c r="N100" s="423"/>
      <c r="O100" s="424" t="s">
        <v>58</v>
      </c>
      <c r="P100" s="425"/>
      <c r="Q100" s="424" t="s">
        <v>58</v>
      </c>
      <c r="R100" s="425"/>
      <c r="S100" s="399" t="s">
        <v>58</v>
      </c>
      <c r="T100" s="400"/>
      <c r="U100" s="399" t="s">
        <v>58</v>
      </c>
      <c r="V100" s="400"/>
      <c r="W100" s="399" t="s">
        <v>58</v>
      </c>
      <c r="X100" s="400"/>
      <c r="Y100" s="414" t="s">
        <v>160</v>
      </c>
      <c r="Z100" s="415"/>
      <c r="AA100" s="399" t="s">
        <v>58</v>
      </c>
      <c r="AB100" s="400"/>
    </row>
    <row r="101" spans="1:28" ht="15.75" thickBot="1" x14ac:dyDescent="0.3">
      <c r="A101" s="422"/>
      <c r="B101" s="422"/>
      <c r="C101" s="244">
        <v>1</v>
      </c>
      <c r="D101" s="246" t="s">
        <v>62</v>
      </c>
      <c r="E101" s="399" t="s">
        <v>58</v>
      </c>
      <c r="F101" s="400"/>
      <c r="G101" s="399" t="s">
        <v>58</v>
      </c>
      <c r="H101" s="400"/>
      <c r="I101" s="399" t="s">
        <v>58</v>
      </c>
      <c r="J101" s="400"/>
      <c r="K101" s="399" t="s">
        <v>58</v>
      </c>
      <c r="L101" s="400"/>
      <c r="M101" s="435" t="s">
        <v>58</v>
      </c>
      <c r="N101" s="427"/>
      <c r="O101" s="399" t="s">
        <v>58</v>
      </c>
      <c r="P101" s="400"/>
      <c r="Q101" s="399" t="s">
        <v>58</v>
      </c>
      <c r="R101" s="400"/>
      <c r="S101" s="399" t="s">
        <v>58</v>
      </c>
      <c r="T101" s="400"/>
      <c r="U101" s="399" t="s">
        <v>58</v>
      </c>
      <c r="V101" s="400"/>
      <c r="W101" s="399" t="s">
        <v>58</v>
      </c>
      <c r="X101" s="400"/>
      <c r="Y101" s="426" t="s">
        <v>58</v>
      </c>
      <c r="Z101" s="427"/>
      <c r="AA101" s="399" t="s">
        <v>58</v>
      </c>
      <c r="AB101" s="400"/>
    </row>
    <row r="102" spans="1:28" ht="15.75" thickBot="1" x14ac:dyDescent="0.3">
      <c r="A102" s="422"/>
      <c r="B102" s="422"/>
      <c r="C102" s="244">
        <v>6</v>
      </c>
      <c r="D102" s="246" t="s">
        <v>63</v>
      </c>
      <c r="E102" s="399" t="s">
        <v>58</v>
      </c>
      <c r="F102" s="400"/>
      <c r="G102" s="399" t="s">
        <v>58</v>
      </c>
      <c r="H102" s="400"/>
      <c r="I102" s="399" t="s">
        <v>58</v>
      </c>
      <c r="J102" s="400"/>
      <c r="K102" s="399" t="s">
        <v>58</v>
      </c>
      <c r="L102" s="400"/>
      <c r="M102" s="414" t="s">
        <v>160</v>
      </c>
      <c r="N102" s="415"/>
      <c r="O102" s="399" t="s">
        <v>58</v>
      </c>
      <c r="P102" s="400"/>
      <c r="Q102" s="399" t="s">
        <v>58</v>
      </c>
      <c r="R102" s="400"/>
      <c r="S102" s="399" t="s">
        <v>58</v>
      </c>
      <c r="T102" s="400"/>
      <c r="U102" s="399" t="s">
        <v>58</v>
      </c>
      <c r="V102" s="400"/>
      <c r="W102" s="399" t="s">
        <v>58</v>
      </c>
      <c r="X102" s="400"/>
      <c r="Y102" s="414" t="s">
        <v>160</v>
      </c>
      <c r="Z102" s="415"/>
      <c r="AA102" s="399" t="s">
        <v>58</v>
      </c>
      <c r="AB102" s="400"/>
    </row>
    <row r="103" spans="1:28" ht="15.75" thickBot="1" x14ac:dyDescent="0.3">
      <c r="A103" s="422"/>
      <c r="B103" s="422"/>
      <c r="C103" s="244">
        <v>3</v>
      </c>
      <c r="D103" s="246" t="s">
        <v>64</v>
      </c>
      <c r="E103" s="399" t="s">
        <v>58</v>
      </c>
      <c r="F103" s="400"/>
      <c r="G103" s="399" t="s">
        <v>58</v>
      </c>
      <c r="H103" s="400"/>
      <c r="I103" s="399" t="s">
        <v>58</v>
      </c>
      <c r="J103" s="400"/>
      <c r="K103" s="399" t="s">
        <v>58</v>
      </c>
      <c r="L103" s="400"/>
      <c r="M103" s="414" t="s">
        <v>160</v>
      </c>
      <c r="N103" s="415"/>
      <c r="O103" s="399" t="s">
        <v>58</v>
      </c>
      <c r="P103" s="400"/>
      <c r="Q103" s="399" t="s">
        <v>58</v>
      </c>
      <c r="R103" s="400"/>
      <c r="S103" s="399" t="s">
        <v>58</v>
      </c>
      <c r="T103" s="400"/>
      <c r="U103" s="399" t="s">
        <v>58</v>
      </c>
      <c r="V103" s="400"/>
      <c r="W103" s="399" t="s">
        <v>58</v>
      </c>
      <c r="X103" s="400"/>
      <c r="Y103" s="426" t="s">
        <v>58</v>
      </c>
      <c r="Z103" s="427"/>
      <c r="AA103" s="399" t="s">
        <v>58</v>
      </c>
      <c r="AB103" s="400"/>
    </row>
    <row r="104" spans="1:28" ht="15.75" thickBot="1" x14ac:dyDescent="0.3">
      <c r="A104" s="422"/>
      <c r="B104" s="422"/>
      <c r="C104" s="244">
        <v>6</v>
      </c>
      <c r="D104" s="246" t="s">
        <v>65</v>
      </c>
      <c r="E104" s="399" t="s">
        <v>58</v>
      </c>
      <c r="F104" s="400"/>
      <c r="G104" s="399" t="s">
        <v>58</v>
      </c>
      <c r="H104" s="400"/>
      <c r="I104" s="399" t="s">
        <v>58</v>
      </c>
      <c r="J104" s="400"/>
      <c r="K104" s="399" t="s">
        <v>58</v>
      </c>
      <c r="L104" s="400"/>
      <c r="M104" s="414" t="s">
        <v>160</v>
      </c>
      <c r="N104" s="415"/>
      <c r="O104" s="399" t="s">
        <v>58</v>
      </c>
      <c r="P104" s="400"/>
      <c r="Q104" s="399" t="s">
        <v>58</v>
      </c>
      <c r="R104" s="400"/>
      <c r="S104" s="399" t="s">
        <v>58</v>
      </c>
      <c r="T104" s="400"/>
      <c r="U104" s="399" t="s">
        <v>58</v>
      </c>
      <c r="V104" s="400"/>
      <c r="W104" s="399" t="s">
        <v>58</v>
      </c>
      <c r="X104" s="400"/>
      <c r="Y104" s="414" t="s">
        <v>160</v>
      </c>
      <c r="Z104" s="415"/>
      <c r="AA104" s="399" t="s">
        <v>58</v>
      </c>
      <c r="AB104" s="400"/>
    </row>
    <row r="105" spans="1:28" ht="25.5" customHeight="1" thickBot="1" x14ac:dyDescent="0.25">
      <c r="A105" s="498" t="s">
        <v>66</v>
      </c>
      <c r="B105" s="498"/>
      <c r="C105" s="244">
        <f>SUM(C94:C98)</f>
        <v>11</v>
      </c>
      <c r="D105" s="247" t="s">
        <v>165</v>
      </c>
      <c r="E105" s="399" t="s">
        <v>58</v>
      </c>
      <c r="F105" s="400"/>
      <c r="G105" s="399" t="s">
        <v>58</v>
      </c>
      <c r="H105" s="400"/>
      <c r="I105" s="399" t="s">
        <v>58</v>
      </c>
      <c r="J105" s="400"/>
      <c r="K105" s="399" t="s">
        <v>58</v>
      </c>
      <c r="L105" s="400"/>
      <c r="M105" s="399" t="s">
        <v>58</v>
      </c>
      <c r="N105" s="400"/>
      <c r="O105" s="423" t="s">
        <v>160</v>
      </c>
      <c r="P105" s="423"/>
      <c r="Q105" s="399" t="s">
        <v>58</v>
      </c>
      <c r="R105" s="400"/>
      <c r="S105" s="399" t="s">
        <v>58</v>
      </c>
      <c r="T105" s="400"/>
      <c r="U105" s="399" t="s">
        <v>58</v>
      </c>
      <c r="V105" s="400"/>
      <c r="W105" s="399" t="s">
        <v>58</v>
      </c>
      <c r="X105" s="400"/>
      <c r="Y105" s="399" t="s">
        <v>58</v>
      </c>
      <c r="Z105" s="400"/>
      <c r="AA105" s="399" t="s">
        <v>58</v>
      </c>
      <c r="AB105" s="400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7:V67"/>
    <mergeCell ref="U66:V66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E38:F38"/>
    <mergeCell ref="S38:T38"/>
    <mergeCell ref="Q39:R39"/>
    <mergeCell ref="S39:T39"/>
    <mergeCell ref="AA43:AB43"/>
    <mergeCell ref="G43:H43"/>
    <mergeCell ref="I43:J43"/>
    <mergeCell ref="U42:V42"/>
    <mergeCell ref="W42:X42"/>
    <mergeCell ref="Y42:Z42"/>
    <mergeCell ref="AA42:AB42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U41:V41"/>
    <mergeCell ref="Y41:Z41"/>
    <mergeCell ref="M42:N42"/>
    <mergeCell ref="O42:P42"/>
    <mergeCell ref="Q42:R42"/>
    <mergeCell ref="Q43:R43"/>
    <mergeCell ref="S43:T43"/>
    <mergeCell ref="U43:V43"/>
    <mergeCell ref="W43:X43"/>
    <mergeCell ref="Y43:Z43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E43:F43"/>
    <mergeCell ref="S42:T42"/>
    <mergeCell ref="E42:F42"/>
    <mergeCell ref="G42:H42"/>
    <mergeCell ref="I42:J42"/>
    <mergeCell ref="K42:L42"/>
    <mergeCell ref="K43:L43"/>
    <mergeCell ref="M43:N43"/>
    <mergeCell ref="O43:P43"/>
    <mergeCell ref="I47:J47"/>
    <mergeCell ref="AA78:AB78"/>
    <mergeCell ref="I78:J78"/>
    <mergeCell ref="K78:L78"/>
    <mergeCell ref="AA63:AB63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G47:H47"/>
    <mergeCell ref="A61:B62"/>
    <mergeCell ref="C61:D61"/>
    <mergeCell ref="E61:AB61"/>
    <mergeCell ref="E62:F62"/>
    <mergeCell ref="G62:H62"/>
    <mergeCell ref="O48:P48"/>
    <mergeCell ref="Q48:R48"/>
    <mergeCell ref="S48:T48"/>
    <mergeCell ref="Y48:Z48"/>
    <mergeCell ref="I48:J48"/>
    <mergeCell ref="K48:L48"/>
    <mergeCell ref="M48:N48"/>
    <mergeCell ref="A46:AB46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W48:X48"/>
    <mergeCell ref="U47:V47"/>
    <mergeCell ref="U48:V48"/>
    <mergeCell ref="K47:L47"/>
    <mergeCell ref="U63:V63"/>
    <mergeCell ref="W63:X63"/>
    <mergeCell ref="Y63:Z63"/>
    <mergeCell ref="E65:F65"/>
    <mergeCell ref="G65:H65"/>
    <mergeCell ref="I65:J65"/>
    <mergeCell ref="K65:L65"/>
    <mergeCell ref="M65:N65"/>
    <mergeCell ref="C79:C80"/>
    <mergeCell ref="Y78:Z7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W67:X67"/>
    <mergeCell ref="A63:B67"/>
    <mergeCell ref="E63:F63"/>
    <mergeCell ref="G63:H63"/>
    <mergeCell ref="I63:J63"/>
    <mergeCell ref="K63:L63"/>
    <mergeCell ref="M63:N63"/>
    <mergeCell ref="O63:P63"/>
    <mergeCell ref="Q63:R63"/>
    <mergeCell ref="S63:T63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zoomScale="115" zoomScaleNormal="115" workbookViewId="0">
      <pane ySplit="1" topLeftCell="A34" activePane="bottomLeft" state="frozen"/>
      <selection pane="bottomLeft" activeCell="E20" sqref="E20:F20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6" ht="83.25" customHeight="1" x14ac:dyDescent="0.25">
      <c r="A1" s="128"/>
      <c r="B1" s="151"/>
      <c r="C1" s="152"/>
      <c r="D1" s="128"/>
      <c r="E1" s="152" t="s">
        <v>70</v>
      </c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516" t="s">
        <v>71</v>
      </c>
      <c r="B3" s="373"/>
      <c r="C3" s="373"/>
      <c r="D3" s="373"/>
      <c r="E3" s="374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">
      <c r="A4" s="517" t="s">
        <v>182</v>
      </c>
      <c r="B4" s="471"/>
      <c r="C4" s="471"/>
      <c r="D4" s="471"/>
      <c r="E4" s="47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45">
      <c r="A6" s="516" t="s">
        <v>72</v>
      </c>
      <c r="B6" s="373"/>
      <c r="C6" s="374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thickBot="1" x14ac:dyDescent="0.3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">
      <c r="A13" s="518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">
      <c r="A14" s="519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25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25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45">
      <c r="A19" s="515" t="s">
        <v>156</v>
      </c>
      <c r="B19" s="373"/>
      <c r="C19" s="373"/>
      <c r="D19" s="373"/>
      <c r="E19" s="37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20"/>
      <c r="AB19" s="520"/>
    </row>
    <row r="20" spans="1:28" ht="15.75" customHeight="1" x14ac:dyDescent="0.2">
      <c r="A20" s="505" t="s">
        <v>157</v>
      </c>
      <c r="B20" s="506"/>
      <c r="C20" s="509" t="s">
        <v>39</v>
      </c>
      <c r="D20" s="510"/>
      <c r="E20" s="511" t="s">
        <v>40</v>
      </c>
      <c r="F20" s="512"/>
      <c r="G20" s="513" t="s">
        <v>41</v>
      </c>
      <c r="H20" s="514"/>
      <c r="I20" s="513" t="s">
        <v>42</v>
      </c>
      <c r="J20" s="514"/>
      <c r="K20" s="513" t="s">
        <v>43</v>
      </c>
      <c r="L20" s="514"/>
      <c r="M20" s="513" t="s">
        <v>44</v>
      </c>
      <c r="N20" s="514"/>
      <c r="O20" s="513" t="s">
        <v>45</v>
      </c>
      <c r="P20" s="514"/>
      <c r="Q20" s="513" t="s">
        <v>46</v>
      </c>
      <c r="R20" s="514"/>
      <c r="S20" s="513" t="s">
        <v>47</v>
      </c>
      <c r="T20" s="514"/>
      <c r="U20" s="513" t="s">
        <v>48</v>
      </c>
      <c r="V20" s="514"/>
      <c r="W20" s="513" t="s">
        <v>49</v>
      </c>
      <c r="X20" s="514"/>
      <c r="Y20" s="513" t="s">
        <v>50</v>
      </c>
      <c r="Z20" s="514"/>
      <c r="AA20" s="520"/>
      <c r="AB20" s="520"/>
    </row>
    <row r="21" spans="1:28" ht="31.5" customHeight="1" thickBot="1" x14ac:dyDescent="0.25">
      <c r="A21" s="507"/>
      <c r="B21" s="508"/>
      <c r="C21" s="153" t="s">
        <v>155</v>
      </c>
      <c r="D21" s="154" t="s">
        <v>87</v>
      </c>
      <c r="E21" s="153" t="s">
        <v>155</v>
      </c>
      <c r="F21" s="154" t="s">
        <v>87</v>
      </c>
      <c r="G21" s="153" t="s">
        <v>155</v>
      </c>
      <c r="H21" s="154" t="s">
        <v>87</v>
      </c>
      <c r="I21" s="153" t="s">
        <v>155</v>
      </c>
      <c r="J21" s="154" t="s">
        <v>87</v>
      </c>
      <c r="K21" s="153" t="s">
        <v>155</v>
      </c>
      <c r="L21" s="154" t="s">
        <v>87</v>
      </c>
      <c r="M21" s="153" t="s">
        <v>155</v>
      </c>
      <c r="N21" s="154" t="s">
        <v>87</v>
      </c>
      <c r="O21" s="153" t="s">
        <v>155</v>
      </c>
      <c r="P21" s="154" t="s">
        <v>87</v>
      </c>
      <c r="Q21" s="153" t="s">
        <v>155</v>
      </c>
      <c r="R21" s="154" t="s">
        <v>87</v>
      </c>
      <c r="S21" s="153" t="s">
        <v>155</v>
      </c>
      <c r="T21" s="154" t="s">
        <v>87</v>
      </c>
      <c r="U21" s="153" t="s">
        <v>155</v>
      </c>
      <c r="V21" s="154" t="s">
        <v>87</v>
      </c>
      <c r="W21" s="154" t="s">
        <v>155</v>
      </c>
      <c r="X21" s="154" t="s">
        <v>87</v>
      </c>
      <c r="Y21" s="153" t="s">
        <v>155</v>
      </c>
      <c r="Z21" s="154" t="s">
        <v>87</v>
      </c>
      <c r="AA21" s="520"/>
      <c r="AB21" s="520"/>
    </row>
    <row r="22" spans="1:28" x14ac:dyDescent="0.25">
      <c r="A22" s="30">
        <v>2</v>
      </c>
      <c r="B22" s="31" t="s">
        <v>214</v>
      </c>
      <c r="C22" s="109">
        <v>2</v>
      </c>
      <c r="D22" s="109">
        <f>C22*$B$14</f>
        <v>353.33333333333331</v>
      </c>
      <c r="E22" s="109">
        <v>2</v>
      </c>
      <c r="F22" s="109">
        <f t="shared" ref="F22" si="0">E22*$B$14</f>
        <v>353.33333333333331</v>
      </c>
      <c r="G22" s="109">
        <v>2</v>
      </c>
      <c r="H22" s="109">
        <f t="shared" ref="H22" si="1">G22*$B$14</f>
        <v>353.33333333333331</v>
      </c>
      <c r="I22" s="109">
        <v>2</v>
      </c>
      <c r="J22" s="109">
        <f t="shared" ref="J22" si="2">I22*$B$14</f>
        <v>353.33333333333331</v>
      </c>
      <c r="K22" s="109">
        <v>2</v>
      </c>
      <c r="L22" s="109">
        <f t="shared" ref="L22" si="3">K22*$B$14</f>
        <v>353.33333333333331</v>
      </c>
      <c r="M22" s="109">
        <v>2</v>
      </c>
      <c r="N22" s="109">
        <f t="shared" ref="N22" si="4">M22*$B$14</f>
        <v>353.33333333333331</v>
      </c>
      <c r="O22" s="109">
        <v>2</v>
      </c>
      <c r="P22" s="109">
        <f t="shared" ref="P22" si="5">O22*$B$14</f>
        <v>353.33333333333331</v>
      </c>
      <c r="Q22" s="109">
        <v>2</v>
      </c>
      <c r="R22" s="109">
        <f t="shared" ref="R22" si="6">Q22*$B$14</f>
        <v>353.33333333333331</v>
      </c>
      <c r="S22" s="109">
        <v>2</v>
      </c>
      <c r="T22" s="109">
        <f t="shared" ref="T22" si="7">S22*$B$14</f>
        <v>353.33333333333331</v>
      </c>
      <c r="U22" s="109">
        <v>2</v>
      </c>
      <c r="V22" s="109">
        <f t="shared" ref="V22" si="8">U22*$B$14</f>
        <v>353.33333333333331</v>
      </c>
      <c r="W22" s="109">
        <v>2</v>
      </c>
      <c r="X22" s="109">
        <f t="shared" ref="X22" si="9">W22*$B$14</f>
        <v>353.33333333333331</v>
      </c>
      <c r="Y22" s="109">
        <v>2</v>
      </c>
      <c r="Z22" s="109">
        <f t="shared" ref="Z22" si="10">Y22*$B$14</f>
        <v>353.33333333333331</v>
      </c>
      <c r="AA22" s="520"/>
      <c r="AB22" s="520"/>
    </row>
    <row r="23" spans="1:28" x14ac:dyDescent="0.25">
      <c r="A23" s="32">
        <v>1</v>
      </c>
      <c r="B23" s="33" t="s">
        <v>181</v>
      </c>
      <c r="C23" s="109">
        <v>1</v>
      </c>
      <c r="D23" s="109">
        <f t="shared" ref="D23:D26" si="11">C23*$B$14</f>
        <v>176.66666666666666</v>
      </c>
      <c r="E23" s="109">
        <v>1</v>
      </c>
      <c r="F23" s="109">
        <f t="shared" ref="F23" si="12">E23*$B$14</f>
        <v>176.66666666666666</v>
      </c>
      <c r="G23" s="109">
        <v>1</v>
      </c>
      <c r="H23" s="109">
        <f t="shared" ref="H23" si="13">G23*$B$14</f>
        <v>176.66666666666666</v>
      </c>
      <c r="I23" s="109">
        <v>1</v>
      </c>
      <c r="J23" s="109">
        <f t="shared" ref="J23" si="14">I23*$B$14</f>
        <v>176.66666666666666</v>
      </c>
      <c r="K23" s="109">
        <v>1</v>
      </c>
      <c r="L23" s="109">
        <f t="shared" ref="L23" si="15">K23*$B$14</f>
        <v>176.66666666666666</v>
      </c>
      <c r="M23" s="109">
        <v>1</v>
      </c>
      <c r="N23" s="109">
        <f t="shared" ref="N23" si="16">M23*$B$14</f>
        <v>176.66666666666666</v>
      </c>
      <c r="O23" s="109">
        <v>1</v>
      </c>
      <c r="P23" s="109">
        <f t="shared" ref="P23" si="17">O23*$B$14</f>
        <v>176.66666666666666</v>
      </c>
      <c r="Q23" s="109">
        <v>1</v>
      </c>
      <c r="R23" s="109">
        <f t="shared" ref="R23" si="18">Q23*$B$14</f>
        <v>176.66666666666666</v>
      </c>
      <c r="S23" s="109">
        <v>1</v>
      </c>
      <c r="T23" s="109">
        <f t="shared" ref="T23" si="19">S23*$B$14</f>
        <v>176.66666666666666</v>
      </c>
      <c r="U23" s="109">
        <v>1</v>
      </c>
      <c r="V23" s="109">
        <f t="shared" ref="V23" si="20">U23*$B$14</f>
        <v>176.66666666666666</v>
      </c>
      <c r="W23" s="109">
        <v>1</v>
      </c>
      <c r="X23" s="109">
        <f t="shared" ref="X23" si="21">W23*$B$14</f>
        <v>176.66666666666666</v>
      </c>
      <c r="Y23" s="109">
        <v>1</v>
      </c>
      <c r="Z23" s="109">
        <f t="shared" ref="Z23" si="22">Y23*$B$14</f>
        <v>176.66666666666666</v>
      </c>
      <c r="AA23" s="520"/>
      <c r="AB23" s="520"/>
    </row>
    <row r="24" spans="1:28" x14ac:dyDescent="0.25">
      <c r="A24" s="32">
        <v>1</v>
      </c>
      <c r="B24" s="33" t="s">
        <v>255</v>
      </c>
      <c r="C24" s="109">
        <v>1</v>
      </c>
      <c r="D24" s="109">
        <f t="shared" si="11"/>
        <v>176.66666666666666</v>
      </c>
      <c r="E24" s="109">
        <v>1</v>
      </c>
      <c r="F24" s="109">
        <f t="shared" ref="F24" si="23">E24*$B$14</f>
        <v>176.66666666666666</v>
      </c>
      <c r="G24" s="109">
        <v>1</v>
      </c>
      <c r="H24" s="109">
        <f t="shared" ref="H24" si="24">G24*$B$14</f>
        <v>176.66666666666666</v>
      </c>
      <c r="I24" s="109">
        <v>1</v>
      </c>
      <c r="J24" s="109">
        <f t="shared" ref="J24" si="25">I24*$B$14</f>
        <v>176.66666666666666</v>
      </c>
      <c r="K24" s="109">
        <v>1</v>
      </c>
      <c r="L24" s="109">
        <f t="shared" ref="L24" si="26">K24*$B$14</f>
        <v>176.66666666666666</v>
      </c>
      <c r="M24" s="109">
        <v>1</v>
      </c>
      <c r="N24" s="109">
        <f t="shared" ref="N24" si="27">M24*$B$14</f>
        <v>176.66666666666666</v>
      </c>
      <c r="O24" s="109">
        <v>1</v>
      </c>
      <c r="P24" s="109">
        <f t="shared" ref="P24" si="28">O24*$B$14</f>
        <v>176.66666666666666</v>
      </c>
      <c r="Q24" s="109">
        <v>1</v>
      </c>
      <c r="R24" s="109">
        <f t="shared" ref="R24" si="29">Q24*$B$14</f>
        <v>176.66666666666666</v>
      </c>
      <c r="S24" s="109">
        <v>1</v>
      </c>
      <c r="T24" s="109">
        <f t="shared" ref="T24" si="30">S24*$B$14</f>
        <v>176.66666666666666</v>
      </c>
      <c r="U24" s="109">
        <v>1</v>
      </c>
      <c r="V24" s="109">
        <f t="shared" ref="V24" si="31">U24*$B$14</f>
        <v>176.66666666666666</v>
      </c>
      <c r="W24" s="109">
        <v>1</v>
      </c>
      <c r="X24" s="109">
        <f t="shared" ref="X24" si="32">W24*$B$14</f>
        <v>176.66666666666666</v>
      </c>
      <c r="Y24" s="109">
        <v>1</v>
      </c>
      <c r="Z24" s="109">
        <f t="shared" ref="Z24" si="33">Y24*$B$14</f>
        <v>176.66666666666666</v>
      </c>
      <c r="AA24" s="520"/>
      <c r="AB24" s="520"/>
    </row>
    <row r="25" spans="1:28" x14ac:dyDescent="0.25">
      <c r="A25" s="32">
        <v>1</v>
      </c>
      <c r="B25" s="33" t="s">
        <v>256</v>
      </c>
      <c r="C25" s="109">
        <v>1</v>
      </c>
      <c r="D25" s="109">
        <f t="shared" si="11"/>
        <v>176.66666666666666</v>
      </c>
      <c r="E25" s="109">
        <v>1</v>
      </c>
      <c r="F25" s="109">
        <f t="shared" ref="F25" si="34">E25*$B$14</f>
        <v>176.66666666666666</v>
      </c>
      <c r="G25" s="109">
        <v>1</v>
      </c>
      <c r="H25" s="109">
        <f t="shared" ref="H25" si="35">G25*$B$14</f>
        <v>176.66666666666666</v>
      </c>
      <c r="I25" s="109">
        <v>1</v>
      </c>
      <c r="J25" s="109">
        <f t="shared" ref="J25" si="36">I25*$B$14</f>
        <v>176.66666666666666</v>
      </c>
      <c r="K25" s="109">
        <v>1</v>
      </c>
      <c r="L25" s="109">
        <f t="shared" ref="L25" si="37">K25*$B$14</f>
        <v>176.66666666666666</v>
      </c>
      <c r="M25" s="109">
        <v>1</v>
      </c>
      <c r="N25" s="109">
        <f t="shared" ref="N25" si="38">M25*$B$14</f>
        <v>176.66666666666666</v>
      </c>
      <c r="O25" s="109">
        <v>1</v>
      </c>
      <c r="P25" s="109">
        <f t="shared" ref="P25" si="39">O25*$B$14</f>
        <v>176.66666666666666</v>
      </c>
      <c r="Q25" s="109">
        <v>1</v>
      </c>
      <c r="R25" s="109">
        <f t="shared" ref="R25:R26" si="40">Q25*$B$14</f>
        <v>176.66666666666666</v>
      </c>
      <c r="S25" s="109">
        <v>1</v>
      </c>
      <c r="T25" s="109">
        <f t="shared" ref="T25:T26" si="41">S25*$B$14</f>
        <v>176.66666666666666</v>
      </c>
      <c r="U25" s="109">
        <v>1</v>
      </c>
      <c r="V25" s="109">
        <f t="shared" ref="V25:V26" si="42">U25*$B$14</f>
        <v>176.66666666666666</v>
      </c>
      <c r="W25" s="109">
        <v>1</v>
      </c>
      <c r="X25" s="109">
        <f t="shared" ref="X25:X26" si="43">W25*$B$14</f>
        <v>176.66666666666666</v>
      </c>
      <c r="Y25" s="109">
        <v>1</v>
      </c>
      <c r="Z25" s="109">
        <f t="shared" ref="Z25:Z26" si="44">Y25*$B$14</f>
        <v>176.66666666666666</v>
      </c>
      <c r="AA25" s="520"/>
      <c r="AB25" s="520"/>
    </row>
    <row r="26" spans="1:28" x14ac:dyDescent="0.25">
      <c r="A26" s="108">
        <v>2</v>
      </c>
      <c r="B26" s="33" t="s">
        <v>257</v>
      </c>
      <c r="C26" s="109">
        <v>1</v>
      </c>
      <c r="D26" s="109">
        <f t="shared" si="11"/>
        <v>176.66666666666666</v>
      </c>
      <c r="E26" s="109">
        <v>1</v>
      </c>
      <c r="F26" s="109">
        <f t="shared" ref="F26" si="45">E26*$B$14</f>
        <v>176.66666666666666</v>
      </c>
      <c r="G26" s="109">
        <v>1</v>
      </c>
      <c r="H26" s="109">
        <f t="shared" ref="H26" si="46">G26*$B$14</f>
        <v>176.66666666666666</v>
      </c>
      <c r="I26" s="109">
        <v>1</v>
      </c>
      <c r="J26" s="109">
        <f t="shared" ref="J26" si="47">I26*$B$14</f>
        <v>176.66666666666666</v>
      </c>
      <c r="K26" s="109">
        <v>1</v>
      </c>
      <c r="L26" s="109">
        <f t="shared" ref="L26" si="48">K26*$B$14</f>
        <v>176.66666666666666</v>
      </c>
      <c r="M26" s="109">
        <v>1</v>
      </c>
      <c r="N26" s="109">
        <f t="shared" ref="N26" si="49">M26*$B$14</f>
        <v>176.66666666666666</v>
      </c>
      <c r="O26" s="111">
        <v>2</v>
      </c>
      <c r="P26" s="111">
        <f t="shared" ref="P26" si="50">O26*$B$14</f>
        <v>353.33333333333331</v>
      </c>
      <c r="Q26" s="111">
        <v>2</v>
      </c>
      <c r="R26" s="111">
        <f t="shared" si="40"/>
        <v>353.33333333333331</v>
      </c>
      <c r="S26" s="111">
        <v>2</v>
      </c>
      <c r="T26" s="111">
        <f t="shared" si="41"/>
        <v>353.33333333333331</v>
      </c>
      <c r="U26" s="111">
        <v>2</v>
      </c>
      <c r="V26" s="111">
        <f t="shared" si="42"/>
        <v>353.33333333333331</v>
      </c>
      <c r="W26" s="111">
        <v>2</v>
      </c>
      <c r="X26" s="111">
        <f t="shared" si="43"/>
        <v>353.33333333333331</v>
      </c>
      <c r="Y26" s="111">
        <v>2</v>
      </c>
      <c r="Z26" s="111">
        <f t="shared" si="44"/>
        <v>353.33333333333331</v>
      </c>
      <c r="AA26" s="520"/>
      <c r="AB26" s="520"/>
    </row>
    <row r="27" spans="1:28" ht="9.75" customHeight="1" x14ac:dyDescent="0.2"/>
    <row r="28" spans="1:28" ht="9" customHeight="1" thickBot="1" x14ac:dyDescent="0.25"/>
    <row r="29" spans="1:28" ht="27" thickBot="1" x14ac:dyDescent="0.45">
      <c r="A29" s="515" t="s">
        <v>156</v>
      </c>
      <c r="B29" s="373"/>
      <c r="C29" s="373"/>
      <c r="D29" s="373"/>
      <c r="E29" s="37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">
      <c r="A30" s="505" t="s">
        <v>158</v>
      </c>
      <c r="B30" s="506"/>
      <c r="C30" s="509" t="s">
        <v>39</v>
      </c>
      <c r="D30" s="510"/>
      <c r="E30" s="511" t="s">
        <v>40</v>
      </c>
      <c r="F30" s="512"/>
      <c r="G30" s="513" t="s">
        <v>41</v>
      </c>
      <c r="H30" s="514"/>
      <c r="I30" s="513" t="s">
        <v>42</v>
      </c>
      <c r="J30" s="514"/>
      <c r="K30" s="513" t="s">
        <v>43</v>
      </c>
      <c r="L30" s="514"/>
      <c r="M30" s="513" t="s">
        <v>44</v>
      </c>
      <c r="N30" s="514"/>
      <c r="O30" s="513" t="s">
        <v>45</v>
      </c>
      <c r="P30" s="514"/>
      <c r="Q30" s="513" t="s">
        <v>46</v>
      </c>
      <c r="R30" s="514"/>
      <c r="S30" s="513" t="s">
        <v>47</v>
      </c>
      <c r="T30" s="514"/>
      <c r="U30" s="513" t="s">
        <v>48</v>
      </c>
      <c r="V30" s="514"/>
      <c r="W30" s="513" t="s">
        <v>49</v>
      </c>
      <c r="X30" s="514"/>
      <c r="Y30" s="513" t="s">
        <v>50</v>
      </c>
      <c r="Z30" s="514"/>
    </row>
    <row r="31" spans="1:28" ht="30.75" thickBot="1" x14ac:dyDescent="0.25">
      <c r="A31" s="507"/>
      <c r="B31" s="508"/>
      <c r="C31" s="153" t="s">
        <v>155</v>
      </c>
      <c r="D31" s="154" t="s">
        <v>87</v>
      </c>
      <c r="E31" s="153" t="s">
        <v>155</v>
      </c>
      <c r="F31" s="154" t="s">
        <v>87</v>
      </c>
      <c r="G31" s="153" t="s">
        <v>155</v>
      </c>
      <c r="H31" s="154" t="s">
        <v>87</v>
      </c>
      <c r="I31" s="153" t="s">
        <v>155</v>
      </c>
      <c r="J31" s="154" t="s">
        <v>87</v>
      </c>
      <c r="K31" s="153" t="s">
        <v>155</v>
      </c>
      <c r="L31" s="154" t="s">
        <v>87</v>
      </c>
      <c r="M31" s="153" t="s">
        <v>155</v>
      </c>
      <c r="N31" s="154" t="s">
        <v>87</v>
      </c>
      <c r="O31" s="153" t="s">
        <v>155</v>
      </c>
      <c r="P31" s="154" t="s">
        <v>87</v>
      </c>
      <c r="Q31" s="154" t="s">
        <v>155</v>
      </c>
      <c r="R31" s="154" t="s">
        <v>87</v>
      </c>
      <c r="S31" s="153" t="s">
        <v>155</v>
      </c>
      <c r="T31" s="154" t="s">
        <v>87</v>
      </c>
      <c r="U31" s="153" t="s">
        <v>155</v>
      </c>
      <c r="V31" s="154" t="s">
        <v>87</v>
      </c>
      <c r="W31" s="153" t="s">
        <v>155</v>
      </c>
      <c r="X31" s="154" t="s">
        <v>87</v>
      </c>
      <c r="Y31" s="153" t="s">
        <v>155</v>
      </c>
      <c r="Z31" s="154" t="s">
        <v>87</v>
      </c>
    </row>
    <row r="32" spans="1:28" ht="15.75" customHeight="1" x14ac:dyDescent="0.25">
      <c r="A32" s="322">
        <v>3</v>
      </c>
      <c r="B32" s="31" t="s">
        <v>214</v>
      </c>
      <c r="C32" s="109">
        <v>2</v>
      </c>
      <c r="D32" s="109">
        <f>C32*$B$14</f>
        <v>353.33333333333331</v>
      </c>
      <c r="E32" s="109">
        <v>2</v>
      </c>
      <c r="F32" s="109">
        <f t="shared" ref="F32:F36" si="51">E32*$B$14</f>
        <v>353.33333333333331</v>
      </c>
      <c r="G32" s="109">
        <v>2</v>
      </c>
      <c r="H32" s="109">
        <f t="shared" ref="H32:H36" si="52">G32*$B$14</f>
        <v>353.33333333333331</v>
      </c>
      <c r="I32" s="109">
        <v>2</v>
      </c>
      <c r="J32" s="109">
        <f t="shared" ref="J32:J36" si="53">I32*$B$14</f>
        <v>353.33333333333331</v>
      </c>
      <c r="K32" s="109">
        <v>2</v>
      </c>
      <c r="L32" s="109">
        <f t="shared" ref="L32:L36" si="54">K32*$B$14</f>
        <v>353.33333333333331</v>
      </c>
      <c r="M32" s="111">
        <v>3</v>
      </c>
      <c r="N32" s="111">
        <f t="shared" ref="N32:N36" si="55">M32*$B$14</f>
        <v>530</v>
      </c>
      <c r="O32" s="111">
        <v>3</v>
      </c>
      <c r="P32" s="111">
        <f t="shared" ref="P32:P36" si="56">O32*$B$14</f>
        <v>530</v>
      </c>
      <c r="Q32" s="111">
        <v>3</v>
      </c>
      <c r="R32" s="111">
        <f t="shared" ref="R32:R36" si="57">Q32*$B$14</f>
        <v>530</v>
      </c>
      <c r="S32" s="111">
        <v>3</v>
      </c>
      <c r="T32" s="111">
        <f t="shared" ref="T32:T36" si="58">S32*$B$14</f>
        <v>530</v>
      </c>
      <c r="U32" s="111">
        <v>3</v>
      </c>
      <c r="V32" s="111">
        <f t="shared" ref="V32:V36" si="59">U32*$B$14</f>
        <v>530</v>
      </c>
      <c r="W32" s="111">
        <v>3</v>
      </c>
      <c r="X32" s="111">
        <f t="shared" ref="X32:X36" si="60">W32*$B$14</f>
        <v>530</v>
      </c>
      <c r="Y32" s="111">
        <v>3</v>
      </c>
      <c r="Z32" s="111">
        <f t="shared" ref="Z32:Z36" si="61">Y32*$B$14</f>
        <v>530</v>
      </c>
    </row>
    <row r="33" spans="1:26" ht="15.75" customHeight="1" x14ac:dyDescent="0.25">
      <c r="A33" s="32">
        <v>1</v>
      </c>
      <c r="B33" s="33" t="s">
        <v>181</v>
      </c>
      <c r="C33" s="109">
        <v>1</v>
      </c>
      <c r="D33" s="109">
        <f t="shared" ref="D33:D36" si="62">C33*$B$14</f>
        <v>176.66666666666666</v>
      </c>
      <c r="E33" s="109">
        <v>1</v>
      </c>
      <c r="F33" s="109">
        <f t="shared" si="51"/>
        <v>176.66666666666666</v>
      </c>
      <c r="G33" s="109">
        <v>1</v>
      </c>
      <c r="H33" s="109">
        <f t="shared" si="52"/>
        <v>176.66666666666666</v>
      </c>
      <c r="I33" s="109">
        <v>1</v>
      </c>
      <c r="J33" s="109">
        <f t="shared" si="53"/>
        <v>176.66666666666666</v>
      </c>
      <c r="K33" s="109">
        <v>1</v>
      </c>
      <c r="L33" s="109">
        <f t="shared" si="54"/>
        <v>176.66666666666666</v>
      </c>
      <c r="M33" s="109">
        <v>1</v>
      </c>
      <c r="N33" s="109">
        <f t="shared" si="55"/>
        <v>176.66666666666666</v>
      </c>
      <c r="O33" s="109">
        <v>1</v>
      </c>
      <c r="P33" s="109">
        <f t="shared" si="56"/>
        <v>176.66666666666666</v>
      </c>
      <c r="Q33" s="109">
        <v>1</v>
      </c>
      <c r="R33" s="109">
        <f t="shared" si="57"/>
        <v>176.66666666666666</v>
      </c>
      <c r="S33" s="109">
        <v>1</v>
      </c>
      <c r="T33" s="109">
        <f t="shared" si="58"/>
        <v>176.66666666666666</v>
      </c>
      <c r="U33" s="109">
        <v>1</v>
      </c>
      <c r="V33" s="109">
        <f t="shared" si="59"/>
        <v>176.66666666666666</v>
      </c>
      <c r="W33" s="109">
        <v>1</v>
      </c>
      <c r="X33" s="109">
        <f t="shared" si="60"/>
        <v>176.66666666666666</v>
      </c>
      <c r="Y33" s="109">
        <v>1</v>
      </c>
      <c r="Z33" s="109">
        <f t="shared" si="61"/>
        <v>176.66666666666666</v>
      </c>
    </row>
    <row r="34" spans="1:26" ht="14.25" customHeight="1" x14ac:dyDescent="0.25">
      <c r="A34" s="32">
        <v>1</v>
      </c>
      <c r="B34" s="33" t="s">
        <v>255</v>
      </c>
      <c r="C34" s="109">
        <v>1</v>
      </c>
      <c r="D34" s="109">
        <f t="shared" si="62"/>
        <v>176.66666666666666</v>
      </c>
      <c r="E34" s="109">
        <v>1</v>
      </c>
      <c r="F34" s="109">
        <f t="shared" si="51"/>
        <v>176.66666666666666</v>
      </c>
      <c r="G34" s="109">
        <v>1</v>
      </c>
      <c r="H34" s="109">
        <f t="shared" si="52"/>
        <v>176.66666666666666</v>
      </c>
      <c r="I34" s="109">
        <v>1</v>
      </c>
      <c r="J34" s="109">
        <f t="shared" si="53"/>
        <v>176.66666666666666</v>
      </c>
      <c r="K34" s="109">
        <v>1</v>
      </c>
      <c r="L34" s="109">
        <f t="shared" si="54"/>
        <v>176.66666666666666</v>
      </c>
      <c r="M34" s="109">
        <v>1</v>
      </c>
      <c r="N34" s="109">
        <f t="shared" si="55"/>
        <v>176.66666666666666</v>
      </c>
      <c r="O34" s="109">
        <v>1</v>
      </c>
      <c r="P34" s="109">
        <f t="shared" si="56"/>
        <v>176.66666666666666</v>
      </c>
      <c r="Q34" s="109">
        <v>1</v>
      </c>
      <c r="R34" s="109">
        <f t="shared" si="57"/>
        <v>176.66666666666666</v>
      </c>
      <c r="S34" s="109">
        <v>1</v>
      </c>
      <c r="T34" s="109">
        <f t="shared" si="58"/>
        <v>176.66666666666666</v>
      </c>
      <c r="U34" s="109">
        <v>1</v>
      </c>
      <c r="V34" s="109">
        <f t="shared" si="59"/>
        <v>176.66666666666666</v>
      </c>
      <c r="W34" s="109">
        <v>1</v>
      </c>
      <c r="X34" s="109">
        <f t="shared" si="60"/>
        <v>176.66666666666666</v>
      </c>
      <c r="Y34" s="109">
        <v>1</v>
      </c>
      <c r="Z34" s="109">
        <f t="shared" si="61"/>
        <v>176.66666666666666</v>
      </c>
    </row>
    <row r="35" spans="1:26" ht="15.75" customHeight="1" x14ac:dyDescent="0.25">
      <c r="A35" s="108">
        <v>2</v>
      </c>
      <c r="B35" s="33" t="s">
        <v>256</v>
      </c>
      <c r="C35" s="109">
        <v>1</v>
      </c>
      <c r="D35" s="109">
        <f t="shared" si="62"/>
        <v>176.66666666666666</v>
      </c>
      <c r="E35" s="109">
        <v>1</v>
      </c>
      <c r="F35" s="109">
        <f t="shared" si="51"/>
        <v>176.66666666666666</v>
      </c>
      <c r="G35" s="109">
        <v>1</v>
      </c>
      <c r="H35" s="109">
        <f t="shared" si="52"/>
        <v>176.66666666666666</v>
      </c>
      <c r="I35" s="109">
        <v>1</v>
      </c>
      <c r="J35" s="109">
        <f t="shared" si="53"/>
        <v>176.66666666666666</v>
      </c>
      <c r="K35" s="109">
        <v>1</v>
      </c>
      <c r="L35" s="109">
        <f t="shared" si="54"/>
        <v>176.66666666666666</v>
      </c>
      <c r="M35" s="111">
        <v>2</v>
      </c>
      <c r="N35" s="111">
        <f t="shared" si="55"/>
        <v>353.33333333333331</v>
      </c>
      <c r="O35" s="111">
        <v>2</v>
      </c>
      <c r="P35" s="111">
        <f t="shared" si="56"/>
        <v>353.33333333333331</v>
      </c>
      <c r="Q35" s="111">
        <v>2</v>
      </c>
      <c r="R35" s="111">
        <f t="shared" si="57"/>
        <v>353.33333333333331</v>
      </c>
      <c r="S35" s="111">
        <v>2</v>
      </c>
      <c r="T35" s="111">
        <f t="shared" si="58"/>
        <v>353.33333333333331</v>
      </c>
      <c r="U35" s="111">
        <v>2</v>
      </c>
      <c r="V35" s="111">
        <f t="shared" si="59"/>
        <v>353.33333333333331</v>
      </c>
      <c r="W35" s="111">
        <v>2</v>
      </c>
      <c r="X35" s="111">
        <f t="shared" si="60"/>
        <v>353.33333333333331</v>
      </c>
      <c r="Y35" s="111">
        <v>2</v>
      </c>
      <c r="Z35" s="111">
        <f t="shared" si="61"/>
        <v>353.33333333333331</v>
      </c>
    </row>
    <row r="36" spans="1:26" ht="15.75" customHeight="1" x14ac:dyDescent="0.25">
      <c r="A36" s="108">
        <v>3</v>
      </c>
      <c r="B36" s="33" t="s">
        <v>257</v>
      </c>
      <c r="C36" s="109">
        <v>2</v>
      </c>
      <c r="D36" s="109">
        <f t="shared" si="62"/>
        <v>353.33333333333331</v>
      </c>
      <c r="E36" s="109">
        <v>2</v>
      </c>
      <c r="F36" s="109">
        <f t="shared" si="51"/>
        <v>353.33333333333331</v>
      </c>
      <c r="G36" s="109">
        <v>2</v>
      </c>
      <c r="H36" s="109">
        <f t="shared" si="52"/>
        <v>353.33333333333331</v>
      </c>
      <c r="I36" s="109">
        <v>2</v>
      </c>
      <c r="J36" s="109">
        <f t="shared" si="53"/>
        <v>353.33333333333331</v>
      </c>
      <c r="K36" s="109">
        <v>2</v>
      </c>
      <c r="L36" s="109">
        <f t="shared" si="54"/>
        <v>353.33333333333331</v>
      </c>
      <c r="M36" s="111">
        <v>3</v>
      </c>
      <c r="N36" s="111">
        <f t="shared" si="55"/>
        <v>530</v>
      </c>
      <c r="O36" s="111">
        <v>3</v>
      </c>
      <c r="P36" s="111">
        <f t="shared" si="56"/>
        <v>530</v>
      </c>
      <c r="Q36" s="111">
        <v>3</v>
      </c>
      <c r="R36" s="111">
        <f t="shared" si="57"/>
        <v>530</v>
      </c>
      <c r="S36" s="111">
        <v>3</v>
      </c>
      <c r="T36" s="111">
        <f t="shared" si="58"/>
        <v>530</v>
      </c>
      <c r="U36" s="111">
        <v>3</v>
      </c>
      <c r="V36" s="111">
        <f t="shared" si="59"/>
        <v>530</v>
      </c>
      <c r="W36" s="111">
        <v>3</v>
      </c>
      <c r="X36" s="111">
        <f t="shared" si="60"/>
        <v>530</v>
      </c>
      <c r="Y36" s="111">
        <v>3</v>
      </c>
      <c r="Z36" s="111">
        <f t="shared" si="61"/>
        <v>530</v>
      </c>
    </row>
    <row r="37" spans="1:26" x14ac:dyDescent="0.25">
      <c r="A37" s="164"/>
      <c r="B37" s="165"/>
    </row>
    <row r="38" spans="1:26" ht="15.75" thickBot="1" x14ac:dyDescent="0.3">
      <c r="A38" s="164"/>
      <c r="B38" s="165"/>
    </row>
    <row r="39" spans="1:26" ht="27" thickBot="1" x14ac:dyDescent="0.45">
      <c r="A39" s="515" t="s">
        <v>156</v>
      </c>
      <c r="B39" s="373"/>
      <c r="C39" s="373"/>
      <c r="D39" s="373"/>
      <c r="E39" s="374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">
      <c r="A40" s="505" t="s">
        <v>186</v>
      </c>
      <c r="B40" s="506"/>
      <c r="C40" s="509" t="s">
        <v>39</v>
      </c>
      <c r="D40" s="510"/>
      <c r="E40" s="511" t="s">
        <v>40</v>
      </c>
      <c r="F40" s="512"/>
      <c r="G40" s="513" t="s">
        <v>41</v>
      </c>
      <c r="H40" s="514"/>
      <c r="I40" s="513" t="s">
        <v>42</v>
      </c>
      <c r="J40" s="514"/>
      <c r="K40" s="513" t="s">
        <v>43</v>
      </c>
      <c r="L40" s="514"/>
      <c r="M40" s="513" t="s">
        <v>44</v>
      </c>
      <c r="N40" s="514"/>
      <c r="O40" s="513" t="s">
        <v>45</v>
      </c>
      <c r="P40" s="514"/>
      <c r="Q40" s="513" t="s">
        <v>46</v>
      </c>
      <c r="R40" s="514"/>
      <c r="S40" s="513" t="s">
        <v>47</v>
      </c>
      <c r="T40" s="514"/>
      <c r="U40" s="513" t="s">
        <v>48</v>
      </c>
      <c r="V40" s="514"/>
      <c r="W40" s="513" t="s">
        <v>49</v>
      </c>
      <c r="X40" s="514"/>
      <c r="Y40" s="513" t="s">
        <v>50</v>
      </c>
      <c r="Z40" s="514"/>
    </row>
    <row r="41" spans="1:26" ht="30.75" thickBot="1" x14ac:dyDescent="0.25">
      <c r="A41" s="507"/>
      <c r="B41" s="508"/>
      <c r="C41" s="153" t="s">
        <v>155</v>
      </c>
      <c r="D41" s="154" t="s">
        <v>87</v>
      </c>
      <c r="E41" s="153" t="s">
        <v>155</v>
      </c>
      <c r="F41" s="154" t="s">
        <v>87</v>
      </c>
      <c r="G41" s="153" t="s">
        <v>155</v>
      </c>
      <c r="H41" s="154" t="s">
        <v>87</v>
      </c>
      <c r="I41" s="153" t="s">
        <v>155</v>
      </c>
      <c r="J41" s="154" t="s">
        <v>87</v>
      </c>
      <c r="K41" s="153" t="s">
        <v>155</v>
      </c>
      <c r="L41" s="154" t="s">
        <v>87</v>
      </c>
      <c r="M41" s="153" t="s">
        <v>155</v>
      </c>
      <c r="N41" s="154" t="s">
        <v>87</v>
      </c>
      <c r="O41" s="153" t="s">
        <v>155</v>
      </c>
      <c r="P41" s="154" t="s">
        <v>87</v>
      </c>
      <c r="Q41" s="153" t="s">
        <v>155</v>
      </c>
      <c r="R41" s="154" t="s">
        <v>87</v>
      </c>
      <c r="S41" s="153" t="s">
        <v>155</v>
      </c>
      <c r="T41" s="154" t="s">
        <v>87</v>
      </c>
      <c r="U41" s="153" t="s">
        <v>155</v>
      </c>
      <c r="V41" s="154" t="s">
        <v>87</v>
      </c>
      <c r="W41" s="153" t="s">
        <v>155</v>
      </c>
      <c r="X41" s="154" t="s">
        <v>87</v>
      </c>
      <c r="Y41" s="153" t="s">
        <v>155</v>
      </c>
      <c r="Z41" s="154" t="s">
        <v>87</v>
      </c>
    </row>
    <row r="42" spans="1:26" ht="15.75" customHeight="1" x14ac:dyDescent="0.25">
      <c r="A42" s="323">
        <v>3</v>
      </c>
      <c r="B42" s="31" t="s">
        <v>214</v>
      </c>
      <c r="C42" s="109">
        <v>3</v>
      </c>
      <c r="D42" s="109">
        <f t="shared" ref="D42" si="63">C42*$B$14</f>
        <v>530</v>
      </c>
      <c r="E42" s="109">
        <v>3</v>
      </c>
      <c r="F42" s="109">
        <f t="shared" ref="F42" si="64">E42*$B$14</f>
        <v>530</v>
      </c>
      <c r="G42" s="109">
        <v>3</v>
      </c>
      <c r="H42" s="109">
        <f t="shared" ref="H42" si="65">G42*$B$14</f>
        <v>530</v>
      </c>
      <c r="I42" s="109">
        <v>3</v>
      </c>
      <c r="J42" s="109">
        <f t="shared" ref="J42" si="66">I42*$B$14</f>
        <v>530</v>
      </c>
      <c r="K42" s="109">
        <v>3</v>
      </c>
      <c r="L42" s="109">
        <f t="shared" ref="L42" si="67">K42*$B$14</f>
        <v>530</v>
      </c>
      <c r="M42" s="109">
        <v>3</v>
      </c>
      <c r="N42" s="109">
        <f t="shared" ref="N42" si="68">M42*$B$14</f>
        <v>530</v>
      </c>
      <c r="O42" s="109">
        <v>3</v>
      </c>
      <c r="P42" s="109">
        <f t="shared" ref="P42" si="69">O42*$B$14</f>
        <v>530</v>
      </c>
      <c r="Q42" s="109">
        <v>3</v>
      </c>
      <c r="R42" s="109">
        <f t="shared" ref="R42:R46" si="70">Q42*$B$14</f>
        <v>530</v>
      </c>
      <c r="S42" s="109">
        <v>3</v>
      </c>
      <c r="T42" s="109">
        <f t="shared" ref="T42:T46" si="71">S42*$B$14</f>
        <v>530</v>
      </c>
      <c r="U42" s="109">
        <v>3</v>
      </c>
      <c r="V42" s="109">
        <f t="shared" ref="V42:V46" si="72">U42*$B$14</f>
        <v>530</v>
      </c>
      <c r="W42" s="109">
        <v>3</v>
      </c>
      <c r="X42" s="109">
        <f t="shared" ref="X42:X46" si="73">W42*$B$14</f>
        <v>530</v>
      </c>
      <c r="Y42" s="109">
        <v>3</v>
      </c>
      <c r="Z42" s="109">
        <f t="shared" ref="Z42:Z46" si="74">Y42*$B$14</f>
        <v>530</v>
      </c>
    </row>
    <row r="43" spans="1:26" ht="15.75" customHeight="1" x14ac:dyDescent="0.25">
      <c r="A43" s="32">
        <v>1</v>
      </c>
      <c r="B43" s="33" t="s">
        <v>181</v>
      </c>
      <c r="C43" s="109">
        <v>1</v>
      </c>
      <c r="D43" s="109">
        <f t="shared" ref="D43:D46" si="75">C43*$B$14</f>
        <v>176.66666666666666</v>
      </c>
      <c r="E43" s="109">
        <v>1</v>
      </c>
      <c r="F43" s="109">
        <f t="shared" ref="F43:F46" si="76">E43*$B$14</f>
        <v>176.66666666666666</v>
      </c>
      <c r="G43" s="109">
        <v>1</v>
      </c>
      <c r="H43" s="109">
        <f t="shared" ref="H43:H46" si="77">G43*$B$14</f>
        <v>176.66666666666666</v>
      </c>
      <c r="I43" s="109">
        <v>1</v>
      </c>
      <c r="J43" s="109">
        <f t="shared" ref="J43:J46" si="78">I43*$B$14</f>
        <v>176.66666666666666</v>
      </c>
      <c r="K43" s="109">
        <v>1</v>
      </c>
      <c r="L43" s="109">
        <f t="shared" ref="L43:L46" si="79">K43*$B$14</f>
        <v>176.66666666666666</v>
      </c>
      <c r="M43" s="109">
        <v>1</v>
      </c>
      <c r="N43" s="109">
        <f t="shared" ref="N43:N46" si="80">M43*$B$14</f>
        <v>176.66666666666666</v>
      </c>
      <c r="O43" s="109">
        <v>1</v>
      </c>
      <c r="P43" s="109">
        <f t="shared" ref="P43:P46" si="81">O43*$B$14</f>
        <v>176.66666666666666</v>
      </c>
      <c r="Q43" s="109">
        <v>1</v>
      </c>
      <c r="R43" s="109">
        <f t="shared" si="70"/>
        <v>176.66666666666666</v>
      </c>
      <c r="S43" s="109">
        <v>1</v>
      </c>
      <c r="T43" s="109">
        <f t="shared" si="71"/>
        <v>176.66666666666666</v>
      </c>
      <c r="U43" s="109">
        <v>1</v>
      </c>
      <c r="V43" s="109">
        <f t="shared" si="72"/>
        <v>176.66666666666666</v>
      </c>
      <c r="W43" s="109">
        <v>1</v>
      </c>
      <c r="X43" s="109">
        <f t="shared" si="73"/>
        <v>176.66666666666666</v>
      </c>
      <c r="Y43" s="109">
        <v>1</v>
      </c>
      <c r="Z43" s="109">
        <f t="shared" si="74"/>
        <v>176.66666666666666</v>
      </c>
    </row>
    <row r="44" spans="1:26" ht="14.25" customHeight="1" x14ac:dyDescent="0.25">
      <c r="A44" s="32">
        <v>1</v>
      </c>
      <c r="B44" s="33" t="s">
        <v>255</v>
      </c>
      <c r="C44" s="109">
        <v>1</v>
      </c>
      <c r="D44" s="109">
        <f t="shared" si="75"/>
        <v>176.66666666666666</v>
      </c>
      <c r="E44" s="109">
        <v>1</v>
      </c>
      <c r="F44" s="109">
        <f t="shared" si="76"/>
        <v>176.66666666666666</v>
      </c>
      <c r="G44" s="109">
        <v>1</v>
      </c>
      <c r="H44" s="109">
        <f t="shared" si="77"/>
        <v>176.66666666666666</v>
      </c>
      <c r="I44" s="109">
        <v>1</v>
      </c>
      <c r="J44" s="109">
        <f t="shared" si="78"/>
        <v>176.66666666666666</v>
      </c>
      <c r="K44" s="109">
        <v>1</v>
      </c>
      <c r="L44" s="109">
        <f t="shared" si="79"/>
        <v>176.66666666666666</v>
      </c>
      <c r="M44" s="109">
        <v>1</v>
      </c>
      <c r="N44" s="109">
        <f t="shared" si="80"/>
        <v>176.66666666666666</v>
      </c>
      <c r="O44" s="109">
        <v>1</v>
      </c>
      <c r="P44" s="109">
        <f t="shared" si="81"/>
        <v>176.66666666666666</v>
      </c>
      <c r="Q44" s="109">
        <v>1</v>
      </c>
      <c r="R44" s="109">
        <f t="shared" si="70"/>
        <v>176.66666666666666</v>
      </c>
      <c r="S44" s="109">
        <v>1</v>
      </c>
      <c r="T44" s="109">
        <f t="shared" si="71"/>
        <v>176.66666666666666</v>
      </c>
      <c r="U44" s="109">
        <v>1</v>
      </c>
      <c r="V44" s="109">
        <f t="shared" si="72"/>
        <v>176.66666666666666</v>
      </c>
      <c r="W44" s="109">
        <v>1</v>
      </c>
      <c r="X44" s="109">
        <f t="shared" si="73"/>
        <v>176.66666666666666</v>
      </c>
      <c r="Y44" s="109">
        <v>1</v>
      </c>
      <c r="Z44" s="109">
        <f t="shared" si="74"/>
        <v>176.66666666666666</v>
      </c>
    </row>
    <row r="45" spans="1:26" ht="15.75" customHeight="1" x14ac:dyDescent="0.25">
      <c r="A45" s="108">
        <v>3</v>
      </c>
      <c r="B45" s="33" t="s">
        <v>256</v>
      </c>
      <c r="C45" s="109">
        <v>2</v>
      </c>
      <c r="D45" s="109">
        <f t="shared" si="75"/>
        <v>353.33333333333331</v>
      </c>
      <c r="E45" s="109">
        <v>2</v>
      </c>
      <c r="F45" s="109">
        <f t="shared" si="76"/>
        <v>353.33333333333331</v>
      </c>
      <c r="G45" s="109">
        <v>2</v>
      </c>
      <c r="H45" s="109">
        <f t="shared" si="77"/>
        <v>353.33333333333331</v>
      </c>
      <c r="I45" s="109">
        <v>2</v>
      </c>
      <c r="J45" s="109">
        <f t="shared" si="78"/>
        <v>353.33333333333331</v>
      </c>
      <c r="K45" s="109">
        <v>2</v>
      </c>
      <c r="L45" s="109">
        <f t="shared" si="79"/>
        <v>353.33333333333331</v>
      </c>
      <c r="M45" s="111">
        <v>3</v>
      </c>
      <c r="N45" s="111">
        <f t="shared" si="80"/>
        <v>530</v>
      </c>
      <c r="O45" s="111">
        <v>3</v>
      </c>
      <c r="P45" s="111">
        <f t="shared" si="81"/>
        <v>530</v>
      </c>
      <c r="Q45" s="111">
        <v>3</v>
      </c>
      <c r="R45" s="111">
        <f t="shared" si="70"/>
        <v>530</v>
      </c>
      <c r="S45" s="111">
        <v>3</v>
      </c>
      <c r="T45" s="111">
        <f t="shared" si="71"/>
        <v>530</v>
      </c>
      <c r="U45" s="111">
        <v>3</v>
      </c>
      <c r="V45" s="111">
        <f t="shared" si="72"/>
        <v>530</v>
      </c>
      <c r="W45" s="111">
        <v>3</v>
      </c>
      <c r="X45" s="111">
        <f t="shared" si="73"/>
        <v>530</v>
      </c>
      <c r="Y45" s="111">
        <v>3</v>
      </c>
      <c r="Z45" s="111">
        <f t="shared" si="74"/>
        <v>530</v>
      </c>
    </row>
    <row r="46" spans="1:26" ht="15.75" customHeight="1" x14ac:dyDescent="0.25">
      <c r="A46" s="32">
        <v>3</v>
      </c>
      <c r="B46" s="33" t="s">
        <v>257</v>
      </c>
      <c r="C46" s="109">
        <v>3</v>
      </c>
      <c r="D46" s="109">
        <f t="shared" si="75"/>
        <v>530</v>
      </c>
      <c r="E46" s="109">
        <v>3</v>
      </c>
      <c r="F46" s="109">
        <f t="shared" si="76"/>
        <v>530</v>
      </c>
      <c r="G46" s="109">
        <v>3</v>
      </c>
      <c r="H46" s="109">
        <f t="shared" si="77"/>
        <v>530</v>
      </c>
      <c r="I46" s="109">
        <v>3</v>
      </c>
      <c r="J46" s="109">
        <f t="shared" si="78"/>
        <v>530</v>
      </c>
      <c r="K46" s="109">
        <v>3</v>
      </c>
      <c r="L46" s="109">
        <f t="shared" si="79"/>
        <v>530</v>
      </c>
      <c r="M46" s="109">
        <v>3</v>
      </c>
      <c r="N46" s="109">
        <f t="shared" si="80"/>
        <v>530</v>
      </c>
      <c r="O46" s="109">
        <v>3</v>
      </c>
      <c r="P46" s="109">
        <f t="shared" si="81"/>
        <v>530</v>
      </c>
      <c r="Q46" s="109">
        <v>3</v>
      </c>
      <c r="R46" s="109">
        <f t="shared" si="70"/>
        <v>530</v>
      </c>
      <c r="S46" s="109">
        <v>3</v>
      </c>
      <c r="T46" s="109">
        <f t="shared" si="71"/>
        <v>530</v>
      </c>
      <c r="U46" s="109">
        <v>3</v>
      </c>
      <c r="V46" s="109">
        <f t="shared" si="72"/>
        <v>530</v>
      </c>
      <c r="W46" s="109">
        <v>3</v>
      </c>
      <c r="X46" s="109">
        <f t="shared" si="73"/>
        <v>530</v>
      </c>
      <c r="Y46" s="109">
        <v>3</v>
      </c>
      <c r="Z46" s="109">
        <f t="shared" si="74"/>
        <v>530</v>
      </c>
    </row>
    <row r="47" spans="1:26" ht="15.75" customHeight="1" x14ac:dyDescent="0.2"/>
    <row r="48" spans="1:26" ht="15.75" customHeight="1" x14ac:dyDescent="0.2"/>
    <row r="49" spans="1:20" ht="15.75" customHeight="1" x14ac:dyDescent="0.2"/>
    <row r="50" spans="1:20" ht="15.75" customHeight="1" x14ac:dyDescent="0.2"/>
    <row r="51" spans="1:20" ht="15.75" customHeight="1" x14ac:dyDescent="0.2"/>
    <row r="52" spans="1:20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"/>
    <row r="60" spans="1:20" ht="15.75" customHeight="1" x14ac:dyDescent="0.2"/>
    <row r="61" spans="1:20" ht="15.75" customHeight="1" x14ac:dyDescent="0.2"/>
    <row r="62" spans="1:20" ht="15.75" customHeight="1" x14ac:dyDescent="0.2"/>
    <row r="63" spans="1:20" ht="15.75" customHeight="1" x14ac:dyDescent="0.2"/>
    <row r="64" spans="1:2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K40:L40"/>
    <mergeCell ref="M40:N40"/>
    <mergeCell ref="O40:P40"/>
    <mergeCell ref="Q40:R40"/>
    <mergeCell ref="S40:T4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39:E39"/>
    <mergeCell ref="W30:X30"/>
    <mergeCell ref="A40:B41"/>
    <mergeCell ref="C40:D40"/>
    <mergeCell ref="E40:F40"/>
    <mergeCell ref="G40:H40"/>
    <mergeCell ref="I40:J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4" activePane="bottomLeft" state="frozen"/>
      <selection pane="bottomLeft" activeCell="I40" sqref="I4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67"/>
      <c r="B1" s="167"/>
      <c r="C1" s="167"/>
      <c r="D1" s="167"/>
      <c r="E1" s="168" t="s">
        <v>12</v>
      </c>
      <c r="F1" s="167"/>
      <c r="G1" s="169"/>
      <c r="H1" s="169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21" t="s">
        <v>190</v>
      </c>
      <c r="C15" s="522"/>
      <c r="D15" s="522"/>
      <c r="E15" s="523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86" t="s">
        <v>32</v>
      </c>
      <c r="C16" s="187" t="s">
        <v>90</v>
      </c>
      <c r="D16" s="187" t="s">
        <v>91</v>
      </c>
      <c r="E16" s="188" t="s">
        <v>227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83" t="str">
        <f>Hipótesis!B37</f>
        <v>Inicial</v>
      </c>
      <c r="C17" s="184">
        <f>'Proy. ventas'!D23</f>
        <v>4050000</v>
      </c>
      <c r="D17" s="184">
        <f>'Proy. ventas'!D54</f>
        <v>12960000</v>
      </c>
      <c r="E17" s="185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63" t="str">
        <f>Hipótesis!B38</f>
        <v>Normal</v>
      </c>
      <c r="C18" s="64">
        <f>'Proy. ventas'!D24</f>
        <v>10400000</v>
      </c>
      <c r="D18" s="179">
        <f>'Proy. ventas'!D55</f>
        <v>32000000</v>
      </c>
      <c r="E18" s="181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65" t="str">
        <f>Hipótesis!B39</f>
        <v>Premium</v>
      </c>
      <c r="C19" s="66">
        <f>'Proy. ventas'!D25</f>
        <v>9460000</v>
      </c>
      <c r="D19" s="180">
        <f>'Proy. ventas'!D56</f>
        <v>27940000</v>
      </c>
      <c r="E19" s="182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26" activePane="bottomLeft" state="frozen"/>
      <selection pane="bottomLeft" activeCell="E37" sqref="E37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7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189"/>
      <c r="B1" s="189"/>
      <c r="C1" s="189"/>
      <c r="D1" s="189"/>
      <c r="E1" s="189"/>
      <c r="F1" s="190" t="s">
        <v>13</v>
      </c>
      <c r="G1" s="191"/>
      <c r="H1" s="191"/>
      <c r="I1" s="189"/>
      <c r="J1" s="189"/>
      <c r="K1" s="189"/>
      <c r="L1" s="189"/>
      <c r="M1" s="189"/>
      <c r="N1" s="189"/>
      <c r="O1" s="189"/>
      <c r="P1" s="189"/>
      <c r="Q1" s="189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26" t="s">
        <v>92</v>
      </c>
      <c r="E3" s="469"/>
      <c r="F3" s="41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x14ac:dyDescent="0.25">
      <c r="A4" s="1"/>
      <c r="B4" s="1"/>
      <c r="C4" s="1"/>
      <c r="D4" s="192">
        <v>2022</v>
      </c>
      <c r="E4" s="170">
        <v>2023</v>
      </c>
      <c r="F4" s="193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ht="15.75" thickBot="1" x14ac:dyDescent="0.3">
      <c r="A5" s="1"/>
      <c r="B5" s="1"/>
      <c r="C5" s="1"/>
      <c r="D5" s="24">
        <f>P15</f>
        <v>11450400</v>
      </c>
      <c r="E5" s="25">
        <f>P24</f>
        <v>6950400</v>
      </c>
      <c r="F5" s="26">
        <f>P33</f>
        <v>7250400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x14ac:dyDescent="0.25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24" t="s">
        <v>97</v>
      </c>
      <c r="C9" s="422"/>
      <c r="D9" s="422"/>
      <c r="E9" s="422"/>
      <c r="F9" s="422"/>
      <c r="G9" s="422"/>
      <c r="H9" s="422"/>
      <c r="I9" s="422"/>
      <c r="J9" s="422"/>
      <c r="K9" s="422"/>
      <c r="L9" s="422"/>
      <c r="M9" s="422"/>
      <c r="N9" s="422"/>
      <c r="O9" s="422"/>
      <c r="P9" s="422"/>
      <c r="Q9" s="422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25" t="s">
        <v>93</v>
      </c>
      <c r="C10" s="422"/>
      <c r="D10" s="194" t="s">
        <v>39</v>
      </c>
      <c r="E10" s="194" t="s">
        <v>40</v>
      </c>
      <c r="F10" s="194" t="s">
        <v>41</v>
      </c>
      <c r="G10" s="194" t="s">
        <v>42</v>
      </c>
      <c r="H10" s="194" t="s">
        <v>43</v>
      </c>
      <c r="I10" s="194" t="s">
        <v>44</v>
      </c>
      <c r="J10" s="194" t="s">
        <v>45</v>
      </c>
      <c r="K10" s="194" t="s">
        <v>46</v>
      </c>
      <c r="L10" s="194" t="s">
        <v>47</v>
      </c>
      <c r="M10" s="194" t="s">
        <v>48</v>
      </c>
      <c r="N10" s="194" t="s">
        <v>49</v>
      </c>
      <c r="O10" s="194" t="s">
        <v>50</v>
      </c>
      <c r="P10" s="194" t="s">
        <v>94</v>
      </c>
      <c r="Q10" s="194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96" t="s">
        <v>243</v>
      </c>
      <c r="C11" s="197" t="s">
        <v>161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5">
        <f t="shared" ref="P11:P14" si="1">SUM(D11:O11)</f>
        <v>50400</v>
      </c>
      <c r="Q11" s="198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107"/>
      <c r="B12" s="196" t="s">
        <v>244</v>
      </c>
      <c r="C12" s="197" t="s">
        <v>245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5">
        <f>SUM(D12:O12)</f>
        <v>600000</v>
      </c>
      <c r="Q12" s="200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25.5" customHeight="1" thickBot="1" x14ac:dyDescent="0.3">
      <c r="A13" s="1"/>
      <c r="B13" s="199" t="s">
        <v>234</v>
      </c>
      <c r="C13" s="197" t="s">
        <v>163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5">
        <f t="shared" ref="P13" si="4">SUM(D13:O13)</f>
        <v>6000000</v>
      </c>
      <c r="Q13" s="200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99" t="s">
        <v>96</v>
      </c>
      <c r="C14" s="197" t="s">
        <v>162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5">
        <f t="shared" si="1"/>
        <v>4800000</v>
      </c>
      <c r="Q14" s="200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97"/>
      <c r="C15" s="201" t="s">
        <v>30</v>
      </c>
      <c r="D15" s="195">
        <f t="shared" ref="D15:P15" si="6">SUM(D11:D14)</f>
        <v>954200</v>
      </c>
      <c r="E15" s="195">
        <f t="shared" si="6"/>
        <v>954200</v>
      </c>
      <c r="F15" s="195">
        <f t="shared" si="6"/>
        <v>954200</v>
      </c>
      <c r="G15" s="195">
        <f t="shared" si="6"/>
        <v>954200</v>
      </c>
      <c r="H15" s="195">
        <f t="shared" si="6"/>
        <v>954200</v>
      </c>
      <c r="I15" s="195">
        <f t="shared" si="6"/>
        <v>954200</v>
      </c>
      <c r="J15" s="195">
        <f t="shared" si="6"/>
        <v>954200</v>
      </c>
      <c r="K15" s="195">
        <f t="shared" si="6"/>
        <v>954200</v>
      </c>
      <c r="L15" s="195">
        <f t="shared" si="6"/>
        <v>954200</v>
      </c>
      <c r="M15" s="195">
        <f t="shared" si="6"/>
        <v>954200</v>
      </c>
      <c r="N15" s="195">
        <f t="shared" si="6"/>
        <v>954200</v>
      </c>
      <c r="O15" s="195">
        <f t="shared" si="6"/>
        <v>954200</v>
      </c>
      <c r="P15" s="71">
        <f t="shared" si="6"/>
        <v>11450400</v>
      </c>
      <c r="Q15" s="197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63"/>
      <c r="B16" s="163"/>
      <c r="C16" s="163"/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24" t="s">
        <v>98</v>
      </c>
      <c r="C18" s="422"/>
      <c r="D18" s="422"/>
      <c r="E18" s="422"/>
      <c r="F18" s="422"/>
      <c r="G18" s="422"/>
      <c r="H18" s="422"/>
      <c r="I18" s="422"/>
      <c r="J18" s="422"/>
      <c r="K18" s="422"/>
      <c r="L18" s="422"/>
      <c r="M18" s="422"/>
      <c r="N18" s="422"/>
      <c r="O18" s="422"/>
      <c r="P18" s="422"/>
      <c r="Q18" s="422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25" t="s">
        <v>93</v>
      </c>
      <c r="C19" s="422"/>
      <c r="D19" s="194" t="s">
        <v>39</v>
      </c>
      <c r="E19" s="194" t="s">
        <v>40</v>
      </c>
      <c r="F19" s="194" t="s">
        <v>41</v>
      </c>
      <c r="G19" s="194" t="s">
        <v>42</v>
      </c>
      <c r="H19" s="194" t="s">
        <v>43</v>
      </c>
      <c r="I19" s="194" t="s">
        <v>44</v>
      </c>
      <c r="J19" s="194" t="s">
        <v>45</v>
      </c>
      <c r="K19" s="194" t="s">
        <v>46</v>
      </c>
      <c r="L19" s="194" t="s">
        <v>47</v>
      </c>
      <c r="M19" s="194" t="s">
        <v>48</v>
      </c>
      <c r="N19" s="194" t="s">
        <v>49</v>
      </c>
      <c r="O19" s="194" t="s">
        <v>50</v>
      </c>
      <c r="P19" s="194" t="s">
        <v>94</v>
      </c>
      <c r="Q19" s="194" t="s">
        <v>95</v>
      </c>
      <c r="R19" s="163"/>
      <c r="S19" s="163"/>
      <c r="T19" s="163"/>
      <c r="U19" s="163"/>
      <c r="V19" s="163"/>
      <c r="W19" s="163"/>
      <c r="X19" s="163"/>
      <c r="Y19" s="163"/>
      <c r="Z19" s="163"/>
    </row>
    <row r="20" spans="1:26" ht="15.75" customHeight="1" thickBot="1" x14ac:dyDescent="0.3">
      <c r="A20" s="1"/>
      <c r="B20" s="196" t="s">
        <v>243</v>
      </c>
      <c r="C20" s="197" t="s">
        <v>161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5">
        <f t="shared" ref="P20" si="8">SUM(D20:O20)</f>
        <v>50400</v>
      </c>
      <c r="Q20" s="198"/>
      <c r="R20" s="163"/>
      <c r="S20" s="163"/>
      <c r="T20" s="163"/>
      <c r="U20" s="163"/>
      <c r="V20" s="163"/>
      <c r="W20" s="163"/>
      <c r="X20" s="163"/>
      <c r="Y20" s="163"/>
      <c r="Z20" s="163"/>
    </row>
    <row r="21" spans="1:26" ht="15.75" customHeight="1" thickBot="1" x14ac:dyDescent="0.3">
      <c r="A21" s="1"/>
      <c r="B21" s="196" t="s">
        <v>244</v>
      </c>
      <c r="C21" s="197" t="s">
        <v>245</v>
      </c>
      <c r="D21" s="73">
        <f>$C$43</f>
        <v>75000</v>
      </c>
      <c r="E21" s="73">
        <f t="shared" ref="E21:O21" si="9">$C$43</f>
        <v>75000</v>
      </c>
      <c r="F21" s="73">
        <f t="shared" si="9"/>
        <v>75000</v>
      </c>
      <c r="G21" s="73">
        <f t="shared" si="9"/>
        <v>75000</v>
      </c>
      <c r="H21" s="73">
        <f t="shared" si="9"/>
        <v>75000</v>
      </c>
      <c r="I21" s="73">
        <f t="shared" si="9"/>
        <v>75000</v>
      </c>
      <c r="J21" s="73">
        <f t="shared" si="9"/>
        <v>75000</v>
      </c>
      <c r="K21" s="73">
        <f t="shared" si="9"/>
        <v>75000</v>
      </c>
      <c r="L21" s="73">
        <f t="shared" si="9"/>
        <v>75000</v>
      </c>
      <c r="M21" s="73">
        <f t="shared" si="9"/>
        <v>75000</v>
      </c>
      <c r="N21" s="73">
        <f t="shared" si="9"/>
        <v>75000</v>
      </c>
      <c r="O21" s="73">
        <f t="shared" si="9"/>
        <v>75000</v>
      </c>
      <c r="P21" s="195">
        <f>SUM(D21:O21)</f>
        <v>900000</v>
      </c>
      <c r="Q21" s="200"/>
      <c r="R21" s="163"/>
      <c r="S21" s="163"/>
      <c r="T21" s="163"/>
      <c r="U21" s="163"/>
      <c r="V21" s="163"/>
      <c r="W21" s="163"/>
      <c r="X21" s="163"/>
      <c r="Y21" s="163"/>
      <c r="Z21" s="163"/>
    </row>
    <row r="22" spans="1:26" ht="15.75" customHeight="1" thickBot="1" x14ac:dyDescent="0.3">
      <c r="A22" s="1"/>
      <c r="B22" s="199" t="s">
        <v>234</v>
      </c>
      <c r="C22" s="197" t="s">
        <v>163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5">
        <f t="shared" ref="P22:P23" si="11">SUM(D22:O22)</f>
        <v>3600000</v>
      </c>
      <c r="Q22" s="200"/>
      <c r="R22" s="163"/>
      <c r="S22" s="163"/>
      <c r="T22" s="163"/>
      <c r="U22" s="163"/>
      <c r="V22" s="163"/>
      <c r="W22" s="163"/>
      <c r="X22" s="163"/>
      <c r="Y22" s="163"/>
      <c r="Z22" s="163"/>
    </row>
    <row r="23" spans="1:26" ht="15.75" customHeight="1" thickBot="1" x14ac:dyDescent="0.3">
      <c r="A23" s="1"/>
      <c r="B23" s="199" t="s">
        <v>96</v>
      </c>
      <c r="C23" s="197" t="s">
        <v>162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5">
        <f t="shared" si="11"/>
        <v>2400000</v>
      </c>
      <c r="Q23" s="200"/>
      <c r="R23" s="163"/>
      <c r="S23" s="163"/>
      <c r="T23" s="163"/>
      <c r="U23" s="163"/>
      <c r="V23" s="163"/>
      <c r="W23" s="163"/>
      <c r="X23" s="163"/>
      <c r="Y23" s="163"/>
      <c r="Z23" s="163"/>
    </row>
    <row r="24" spans="1:26" ht="15.75" customHeight="1" thickBot="1" x14ac:dyDescent="0.3">
      <c r="A24" s="1"/>
      <c r="B24" s="197"/>
      <c r="C24" s="201" t="s">
        <v>30</v>
      </c>
      <c r="D24" s="195">
        <f t="shared" ref="D24:P24" si="13">SUM(D20:D23)</f>
        <v>579200</v>
      </c>
      <c r="E24" s="195">
        <f t="shared" si="13"/>
        <v>579200</v>
      </c>
      <c r="F24" s="195">
        <f t="shared" si="13"/>
        <v>579200</v>
      </c>
      <c r="G24" s="195">
        <f t="shared" si="13"/>
        <v>579200</v>
      </c>
      <c r="H24" s="195">
        <f t="shared" si="13"/>
        <v>579200</v>
      </c>
      <c r="I24" s="195">
        <f t="shared" si="13"/>
        <v>579200</v>
      </c>
      <c r="J24" s="195">
        <f t="shared" si="13"/>
        <v>579200</v>
      </c>
      <c r="K24" s="195">
        <f t="shared" si="13"/>
        <v>579200</v>
      </c>
      <c r="L24" s="195">
        <f t="shared" si="13"/>
        <v>579200</v>
      </c>
      <c r="M24" s="195">
        <f t="shared" si="13"/>
        <v>579200</v>
      </c>
      <c r="N24" s="195">
        <f t="shared" si="13"/>
        <v>579200</v>
      </c>
      <c r="O24" s="195">
        <f t="shared" si="13"/>
        <v>579200</v>
      </c>
      <c r="P24" s="71">
        <f t="shared" si="13"/>
        <v>6950400</v>
      </c>
      <c r="Q24" s="197"/>
      <c r="R24" s="163"/>
      <c r="S24" s="163"/>
      <c r="T24" s="163"/>
      <c r="U24" s="163"/>
      <c r="V24" s="163"/>
      <c r="W24" s="163"/>
      <c r="X24" s="163"/>
      <c r="Y24" s="163"/>
      <c r="Z24" s="163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spans="1:26" ht="30.75" customHeight="1" thickBot="1" x14ac:dyDescent="0.45">
      <c r="A27" s="1"/>
      <c r="B27" s="524" t="s">
        <v>191</v>
      </c>
      <c r="C27" s="422"/>
      <c r="D27" s="422"/>
      <c r="E27" s="422"/>
      <c r="F27" s="422"/>
      <c r="G27" s="422"/>
      <c r="H27" s="422"/>
      <c r="I27" s="422"/>
      <c r="J27" s="422"/>
      <c r="K27" s="422"/>
      <c r="L27" s="422"/>
      <c r="M27" s="422"/>
      <c r="N27" s="422"/>
      <c r="O27" s="422"/>
      <c r="P27" s="422"/>
      <c r="Q27" s="422"/>
      <c r="R27" s="163"/>
      <c r="S27" s="163"/>
      <c r="T27" s="163"/>
      <c r="U27" s="163"/>
      <c r="V27" s="163"/>
      <c r="W27" s="163"/>
      <c r="X27" s="163"/>
      <c r="Y27" s="163"/>
      <c r="Z27" s="163"/>
    </row>
    <row r="28" spans="1:26" ht="15.75" customHeight="1" thickBot="1" x14ac:dyDescent="0.3">
      <c r="A28" s="1"/>
      <c r="B28" s="525" t="s">
        <v>93</v>
      </c>
      <c r="C28" s="422"/>
      <c r="D28" s="194" t="s">
        <v>39</v>
      </c>
      <c r="E28" s="194" t="s">
        <v>40</v>
      </c>
      <c r="F28" s="194" t="s">
        <v>41</v>
      </c>
      <c r="G28" s="194" t="s">
        <v>42</v>
      </c>
      <c r="H28" s="194" t="s">
        <v>43</v>
      </c>
      <c r="I28" s="194" t="s">
        <v>44</v>
      </c>
      <c r="J28" s="194" t="s">
        <v>45</v>
      </c>
      <c r="K28" s="194" t="s">
        <v>46</v>
      </c>
      <c r="L28" s="194" t="s">
        <v>47</v>
      </c>
      <c r="M28" s="194" t="s">
        <v>48</v>
      </c>
      <c r="N28" s="194" t="s">
        <v>49</v>
      </c>
      <c r="O28" s="194" t="s">
        <v>50</v>
      </c>
      <c r="P28" s="194" t="s">
        <v>94</v>
      </c>
      <c r="Q28" s="194" t="s">
        <v>95</v>
      </c>
      <c r="R28" s="163"/>
      <c r="S28" s="163"/>
      <c r="T28" s="163"/>
      <c r="U28" s="163"/>
      <c r="V28" s="163"/>
      <c r="W28" s="163"/>
      <c r="X28" s="163"/>
      <c r="Y28" s="163"/>
      <c r="Z28" s="163"/>
    </row>
    <row r="29" spans="1:26" ht="15.75" customHeight="1" thickBot="1" x14ac:dyDescent="0.3">
      <c r="A29" s="1"/>
      <c r="B29" s="196" t="s">
        <v>243</v>
      </c>
      <c r="C29" s="197" t="s">
        <v>161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5">
        <f t="shared" ref="P29" si="15">SUM(D29:O29)</f>
        <v>50400</v>
      </c>
      <c r="Q29" s="198"/>
      <c r="R29" s="163"/>
      <c r="S29" s="163"/>
      <c r="T29" s="163"/>
      <c r="U29" s="163"/>
      <c r="V29" s="163"/>
      <c r="W29" s="163"/>
      <c r="X29" s="163"/>
      <c r="Y29" s="163"/>
      <c r="Z29" s="163"/>
    </row>
    <row r="30" spans="1:26" ht="21" customHeight="1" thickBot="1" x14ac:dyDescent="0.3">
      <c r="A30" s="163"/>
      <c r="B30" s="196" t="s">
        <v>244</v>
      </c>
      <c r="C30" s="197" t="s">
        <v>245</v>
      </c>
      <c r="D30" s="73">
        <f>$C$44</f>
        <v>100000</v>
      </c>
      <c r="E30" s="73">
        <f t="shared" ref="E30:O30" si="16">$C$44</f>
        <v>100000</v>
      </c>
      <c r="F30" s="73">
        <f t="shared" si="16"/>
        <v>100000</v>
      </c>
      <c r="G30" s="73">
        <f t="shared" si="16"/>
        <v>100000</v>
      </c>
      <c r="H30" s="73">
        <f t="shared" si="16"/>
        <v>100000</v>
      </c>
      <c r="I30" s="73">
        <f t="shared" si="16"/>
        <v>100000</v>
      </c>
      <c r="J30" s="73">
        <f t="shared" si="16"/>
        <v>100000</v>
      </c>
      <c r="K30" s="73">
        <f t="shared" si="16"/>
        <v>100000</v>
      </c>
      <c r="L30" s="73">
        <f t="shared" si="16"/>
        <v>100000</v>
      </c>
      <c r="M30" s="73">
        <f t="shared" si="16"/>
        <v>100000</v>
      </c>
      <c r="N30" s="73">
        <f t="shared" si="16"/>
        <v>100000</v>
      </c>
      <c r="O30" s="73">
        <f t="shared" si="16"/>
        <v>100000</v>
      </c>
      <c r="P30" s="195">
        <f>SUM(D30:O30)</f>
        <v>1200000</v>
      </c>
      <c r="Q30" s="200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63"/>
      <c r="B31" s="199" t="s">
        <v>234</v>
      </c>
      <c r="C31" s="197" t="s">
        <v>163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5">
        <f t="shared" ref="P31:P32" si="18">SUM(D31:O31)</f>
        <v>3600000</v>
      </c>
      <c r="Q31" s="200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63"/>
      <c r="B32" s="199" t="s">
        <v>96</v>
      </c>
      <c r="C32" s="197" t="s">
        <v>162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5">
        <f t="shared" si="18"/>
        <v>2400000</v>
      </c>
      <c r="Q32" s="200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63"/>
      <c r="B33" s="197"/>
      <c r="C33" s="201" t="s">
        <v>30</v>
      </c>
      <c r="D33" s="195">
        <f t="shared" ref="D33:P33" si="20">SUM(D29:D32)</f>
        <v>604200</v>
      </c>
      <c r="E33" s="195">
        <f t="shared" si="20"/>
        <v>604200</v>
      </c>
      <c r="F33" s="195">
        <f t="shared" si="20"/>
        <v>604200</v>
      </c>
      <c r="G33" s="195">
        <f t="shared" si="20"/>
        <v>604200</v>
      </c>
      <c r="H33" s="195">
        <f t="shared" si="20"/>
        <v>604200</v>
      </c>
      <c r="I33" s="195">
        <f t="shared" si="20"/>
        <v>604200</v>
      </c>
      <c r="J33" s="195">
        <f t="shared" si="20"/>
        <v>604200</v>
      </c>
      <c r="K33" s="195">
        <f t="shared" si="20"/>
        <v>604200</v>
      </c>
      <c r="L33" s="195">
        <f t="shared" si="20"/>
        <v>604200</v>
      </c>
      <c r="M33" s="195">
        <f t="shared" si="20"/>
        <v>604200</v>
      </c>
      <c r="N33" s="195">
        <f t="shared" si="20"/>
        <v>604200</v>
      </c>
      <c r="O33" s="195">
        <f t="shared" si="20"/>
        <v>604200</v>
      </c>
      <c r="P33" s="71">
        <f t="shared" si="20"/>
        <v>7250400</v>
      </c>
      <c r="Q33" s="197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63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63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07"/>
      <c r="S35" s="107"/>
      <c r="T35" s="107"/>
      <c r="U35" s="107"/>
      <c r="V35" s="107"/>
      <c r="W35" s="107"/>
      <c r="X35" s="107"/>
      <c r="Y35" s="107"/>
      <c r="Z35" s="107"/>
    </row>
    <row r="36" spans="1:26" ht="15.75" customHeight="1" x14ac:dyDescent="0.25">
      <c r="A36" s="163"/>
      <c r="B36" s="303" t="s">
        <v>212</v>
      </c>
      <c r="C36" s="303" t="s">
        <v>100</v>
      </c>
      <c r="D36" s="163"/>
      <c r="E36" s="163"/>
      <c r="F36" s="163"/>
      <c r="G36" s="163"/>
      <c r="H36" s="163"/>
      <c r="I36" s="163"/>
      <c r="J36" s="163"/>
      <c r="K36" s="163"/>
      <c r="L36" s="163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A37" s="163"/>
      <c r="B37" s="248" t="s">
        <v>248</v>
      </c>
      <c r="C37" s="249">
        <v>4200</v>
      </c>
      <c r="D37" s="163"/>
      <c r="E37" s="163"/>
      <c r="F37" s="163"/>
      <c r="G37" s="163"/>
      <c r="H37" s="163"/>
      <c r="I37" s="163"/>
      <c r="J37" s="163"/>
      <c r="K37" s="163"/>
      <c r="L37" s="163"/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25">
      <c r="A38" s="163"/>
      <c r="B38" s="248" t="s">
        <v>247</v>
      </c>
      <c r="C38" s="249">
        <v>500000</v>
      </c>
      <c r="D38" s="163"/>
      <c r="E38" s="163"/>
      <c r="F38" s="163"/>
      <c r="G38" s="163"/>
      <c r="H38" s="107"/>
      <c r="I38" s="107"/>
      <c r="J38" s="107"/>
      <c r="K38" s="107"/>
      <c r="L38" s="107"/>
      <c r="M38" s="107"/>
      <c r="N38" s="107"/>
      <c r="O38" s="107"/>
      <c r="P38" s="107"/>
      <c r="Q38" s="163"/>
    </row>
    <row r="39" spans="1:26" ht="15.75" customHeight="1" x14ac:dyDescent="0.25">
      <c r="A39" s="163"/>
      <c r="B39" s="248" t="s">
        <v>246</v>
      </c>
      <c r="C39" s="249">
        <v>300000</v>
      </c>
      <c r="D39" s="163"/>
      <c r="E39" s="163"/>
      <c r="F39" s="163"/>
      <c r="G39" s="163"/>
      <c r="H39" s="163"/>
      <c r="I39" s="163"/>
      <c r="J39" s="163"/>
      <c r="K39" s="163"/>
      <c r="L39" s="163"/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25">
      <c r="A40" s="163"/>
      <c r="B40" s="248" t="s">
        <v>252</v>
      </c>
      <c r="C40" s="249">
        <f>400000</f>
        <v>400000</v>
      </c>
      <c r="D40" s="163"/>
      <c r="E40" s="163"/>
      <c r="F40" s="163"/>
      <c r="G40" s="163"/>
      <c r="H40" s="163"/>
      <c r="I40" s="163"/>
      <c r="J40" s="163"/>
      <c r="K40" s="163"/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25">
      <c r="A41" s="163"/>
      <c r="B41" s="248" t="s">
        <v>96</v>
      </c>
      <c r="C41" s="249">
        <f>200000</f>
        <v>200000</v>
      </c>
      <c r="D41" s="163"/>
      <c r="E41" s="163"/>
      <c r="F41" s="163"/>
      <c r="G41" s="163"/>
      <c r="H41" s="163"/>
      <c r="I41" s="163"/>
      <c r="J41" s="163"/>
      <c r="K41" s="163"/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25">
      <c r="A42" s="163"/>
      <c r="B42" s="248" t="s">
        <v>251</v>
      </c>
      <c r="C42" s="249">
        <v>50000</v>
      </c>
      <c r="D42" s="163"/>
      <c r="E42" s="163"/>
      <c r="F42" s="163"/>
      <c r="G42" s="163"/>
      <c r="H42" s="163"/>
      <c r="I42" s="163"/>
      <c r="J42" s="163"/>
      <c r="K42" s="163"/>
      <c r="L42" s="163"/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25">
      <c r="A43" s="163"/>
      <c r="B43" s="248" t="s">
        <v>249</v>
      </c>
      <c r="C43" s="249">
        <v>75000</v>
      </c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63"/>
      <c r="B44" s="248" t="s">
        <v>250</v>
      </c>
      <c r="C44" s="249">
        <v>100000</v>
      </c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3"/>
      <c r="C46" s="163"/>
      <c r="D46" s="163"/>
      <c r="E46" s="163"/>
      <c r="F46" s="163"/>
      <c r="G46" s="163"/>
      <c r="H46" s="16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28"/>
  <sheetViews>
    <sheetView topLeftCell="M1" zoomScale="70" zoomScaleNormal="70" workbookViewId="0">
      <pane ySplit="1" topLeftCell="A19" activePane="bottomLeft" state="frozen"/>
      <selection pane="bottomLeft" activeCell="D46" sqref="D46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7" customWidth="1"/>
    <col min="7" max="7" width="22.375" customWidth="1"/>
    <col min="8" max="8" width="16.87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89"/>
      <c r="B1" s="313"/>
      <c r="C1" s="189"/>
      <c r="D1" s="189"/>
      <c r="E1" s="189"/>
      <c r="F1" s="189"/>
      <c r="G1" s="190" t="s">
        <v>254</v>
      </c>
      <c r="H1" s="191"/>
      <c r="I1" s="191"/>
      <c r="J1" s="189"/>
      <c r="K1" s="189"/>
      <c r="L1" s="189"/>
      <c r="M1" s="189"/>
      <c r="N1" s="189"/>
      <c r="O1" s="189"/>
      <c r="P1" s="189"/>
      <c r="Q1" s="189"/>
      <c r="R1" s="189"/>
      <c r="S1" s="8"/>
      <c r="T1" s="8"/>
      <c r="U1" s="8"/>
      <c r="V1" s="8"/>
      <c r="W1" s="8"/>
      <c r="X1" s="8"/>
      <c r="Y1" s="8"/>
      <c r="Z1" s="8"/>
      <c r="AA1" s="8"/>
    </row>
    <row r="2" spans="1:27" ht="15.75" thickBot="1" x14ac:dyDescent="0.3">
      <c r="A2" s="1"/>
      <c r="B2" s="107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107"/>
      <c r="C3" s="1"/>
      <c r="D3" s="1"/>
      <c r="E3" s="526" t="s">
        <v>92</v>
      </c>
      <c r="F3" s="469"/>
      <c r="G3" s="41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x14ac:dyDescent="0.25">
      <c r="A4" s="1"/>
      <c r="B4" s="107"/>
      <c r="C4" s="1"/>
      <c r="D4" s="1"/>
      <c r="E4" s="192">
        <v>2022</v>
      </c>
      <c r="F4" s="170">
        <v>2023</v>
      </c>
      <c r="G4" s="193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ht="15.75" thickBot="1" x14ac:dyDescent="0.3">
      <c r="A5" s="1"/>
      <c r="B5" s="107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x14ac:dyDescent="0.25">
      <c r="A6" s="1"/>
      <c r="B6" s="107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x14ac:dyDescent="0.25">
      <c r="A7" s="1"/>
      <c r="B7" s="10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thickBot="1" x14ac:dyDescent="0.3">
      <c r="A8" s="1"/>
      <c r="B8" s="107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7" thickBot="1" x14ac:dyDescent="0.45">
      <c r="A9" s="1"/>
      <c r="B9" s="529" t="s">
        <v>97</v>
      </c>
      <c r="C9" s="530"/>
      <c r="D9" s="530"/>
      <c r="E9" s="530"/>
      <c r="F9" s="530"/>
      <c r="G9" s="530"/>
      <c r="H9" s="530"/>
      <c r="I9" s="530"/>
      <c r="J9" s="530"/>
      <c r="K9" s="530"/>
      <c r="L9" s="530"/>
      <c r="M9" s="530"/>
      <c r="N9" s="530"/>
      <c r="O9" s="530"/>
      <c r="P9" s="530"/>
      <c r="Q9" s="530"/>
      <c r="R9" s="531"/>
      <c r="S9" s="1"/>
      <c r="T9" s="1"/>
      <c r="U9" s="1"/>
      <c r="V9" s="1"/>
      <c r="W9" s="1"/>
      <c r="X9" s="1"/>
      <c r="Y9" s="1"/>
      <c r="Z9" s="1"/>
      <c r="AA9" s="1"/>
    </row>
    <row r="10" spans="1:27" ht="19.5" thickBot="1" x14ac:dyDescent="0.3">
      <c r="A10" s="1"/>
      <c r="B10" s="196" t="s">
        <v>52</v>
      </c>
      <c r="C10" s="535" t="s">
        <v>93</v>
      </c>
      <c r="D10" s="536"/>
      <c r="E10" s="314" t="s">
        <v>39</v>
      </c>
      <c r="F10" s="314" t="s">
        <v>40</v>
      </c>
      <c r="G10" s="314" t="s">
        <v>41</v>
      </c>
      <c r="H10" s="314" t="s">
        <v>42</v>
      </c>
      <c r="I10" s="314" t="s">
        <v>43</v>
      </c>
      <c r="J10" s="314" t="s">
        <v>44</v>
      </c>
      <c r="K10" s="314" t="s">
        <v>45</v>
      </c>
      <c r="L10" s="314" t="s">
        <v>46</v>
      </c>
      <c r="M10" s="314" t="s">
        <v>47</v>
      </c>
      <c r="N10" s="314" t="s">
        <v>48</v>
      </c>
      <c r="O10" s="314" t="s">
        <v>49</v>
      </c>
      <c r="P10" s="314" t="s">
        <v>50</v>
      </c>
      <c r="Q10" s="314" t="s">
        <v>94</v>
      </c>
      <c r="R10" s="314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">
      <c r="A11" s="107"/>
      <c r="B11" s="318">
        <v>2</v>
      </c>
      <c r="C11" s="196" t="s">
        <v>192</v>
      </c>
      <c r="D11" s="197" t="s">
        <v>197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19">
        <f>$D$43 * 2</f>
        <v>120000</v>
      </c>
      <c r="L11" s="330">
        <f t="shared" ref="L11:P11" si="1">$D$43 * 2</f>
        <v>120000</v>
      </c>
      <c r="M11" s="330">
        <f t="shared" si="1"/>
        <v>120000</v>
      </c>
      <c r="N11" s="330">
        <f t="shared" si="1"/>
        <v>120000</v>
      </c>
      <c r="O11" s="330">
        <f t="shared" si="1"/>
        <v>120000</v>
      </c>
      <c r="P11" s="330">
        <f t="shared" si="1"/>
        <v>120000</v>
      </c>
      <c r="Q11" s="195">
        <f t="shared" ref="Q11:Q15" si="2">SUM(E11:P11)</f>
        <v>1080000</v>
      </c>
      <c r="R11" s="197" t="s">
        <v>269</v>
      </c>
      <c r="S11" s="107"/>
      <c r="T11" s="107"/>
      <c r="U11" s="107"/>
      <c r="V11" s="107"/>
      <c r="W11" s="107"/>
      <c r="X11" s="107"/>
      <c r="Y11" s="107"/>
      <c r="Z11" s="107"/>
      <c r="AA11" s="107"/>
    </row>
    <row r="12" spans="1:27" ht="17.25" customHeight="1" thickBot="1" x14ac:dyDescent="0.3">
      <c r="A12" s="107"/>
      <c r="B12" s="318">
        <v>2</v>
      </c>
      <c r="C12" s="196" t="s">
        <v>193</v>
      </c>
      <c r="D12" s="197" t="s">
        <v>198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19">
        <f>$D$44 * 2</f>
        <v>40000</v>
      </c>
      <c r="L12" s="320">
        <f t="shared" ref="L12:P12" si="4">$D$44 * 2</f>
        <v>40000</v>
      </c>
      <c r="M12" s="320">
        <f t="shared" si="4"/>
        <v>40000</v>
      </c>
      <c r="N12" s="320">
        <f t="shared" si="4"/>
        <v>40000</v>
      </c>
      <c r="O12" s="320">
        <f t="shared" si="4"/>
        <v>40000</v>
      </c>
      <c r="P12" s="320">
        <f t="shared" si="4"/>
        <v>40000</v>
      </c>
      <c r="Q12" s="195">
        <f t="shared" si="2"/>
        <v>360000</v>
      </c>
      <c r="R12" s="197" t="s">
        <v>268</v>
      </c>
      <c r="S12" s="107"/>
      <c r="T12" s="107"/>
      <c r="U12" s="107"/>
      <c r="V12" s="107"/>
      <c r="W12" s="107"/>
      <c r="X12" s="107"/>
      <c r="Y12" s="107"/>
      <c r="Z12" s="107"/>
      <c r="AA12" s="107"/>
    </row>
    <row r="13" spans="1:27" ht="15.75" customHeight="1" thickBot="1" x14ac:dyDescent="0.3">
      <c r="A13" s="107"/>
      <c r="B13" s="318">
        <v>2</v>
      </c>
      <c r="C13" s="196" t="s">
        <v>194</v>
      </c>
      <c r="D13" s="197" t="s">
        <v>199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19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5">
        <f t="shared" si="2"/>
        <v>630000</v>
      </c>
      <c r="R13" s="197" t="s">
        <v>267</v>
      </c>
      <c r="S13" s="107"/>
      <c r="T13" s="107"/>
      <c r="U13" s="107"/>
      <c r="V13" s="107"/>
      <c r="W13" s="107"/>
      <c r="X13" s="107"/>
      <c r="Y13" s="107"/>
      <c r="Z13" s="107"/>
      <c r="AA13" s="107"/>
    </row>
    <row r="14" spans="1:27" ht="15.75" customHeight="1" thickBot="1" x14ac:dyDescent="0.3">
      <c r="A14" s="107"/>
      <c r="B14" s="318">
        <v>1</v>
      </c>
      <c r="C14" s="196" t="s">
        <v>195</v>
      </c>
      <c r="D14" s="197" t="s">
        <v>200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5">
        <f t="shared" si="2"/>
        <v>180000</v>
      </c>
      <c r="R14" s="197" t="s">
        <v>270</v>
      </c>
      <c r="S14" s="107"/>
      <c r="T14" s="107"/>
      <c r="U14" s="107"/>
      <c r="V14" s="107"/>
      <c r="W14" s="107"/>
      <c r="X14" s="107"/>
      <c r="Y14" s="107"/>
      <c r="Z14" s="107"/>
      <c r="AA14" s="107"/>
    </row>
    <row r="15" spans="1:27" ht="15.75" customHeight="1" thickBot="1" x14ac:dyDescent="0.3">
      <c r="A15" s="107"/>
      <c r="B15" s="318">
        <v>2</v>
      </c>
      <c r="C15" s="196" t="s">
        <v>196</v>
      </c>
      <c r="D15" s="197" t="s">
        <v>201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19">
        <f>$D$47 * 2</f>
        <v>160000</v>
      </c>
      <c r="L15" s="320">
        <f t="shared" ref="L15:P15" si="9">$D$47 * 2</f>
        <v>160000</v>
      </c>
      <c r="M15" s="320">
        <f t="shared" si="9"/>
        <v>160000</v>
      </c>
      <c r="N15" s="320">
        <f t="shared" si="9"/>
        <v>160000</v>
      </c>
      <c r="O15" s="320">
        <f t="shared" si="9"/>
        <v>160000</v>
      </c>
      <c r="P15" s="320">
        <f t="shared" si="9"/>
        <v>160000</v>
      </c>
      <c r="Q15" s="195">
        <f t="shared" si="2"/>
        <v>1440000</v>
      </c>
      <c r="R15" s="197" t="s">
        <v>271</v>
      </c>
      <c r="S15" s="107"/>
      <c r="T15" s="107"/>
      <c r="U15" s="107"/>
      <c r="V15" s="107"/>
      <c r="W15" s="107"/>
      <c r="X15" s="107"/>
      <c r="Y15" s="107"/>
      <c r="Z15" s="107"/>
      <c r="AA15" s="107"/>
    </row>
    <row r="16" spans="1:27" ht="15.75" customHeight="1" thickBot="1" x14ac:dyDescent="0.3">
      <c r="A16" s="1"/>
      <c r="B16" s="107"/>
      <c r="C16" s="315"/>
      <c r="D16" s="201" t="s">
        <v>30</v>
      </c>
      <c r="E16" s="195">
        <f t="shared" ref="E16:Q16" si="10">SUM(E11:E15)</f>
        <v>210000</v>
      </c>
      <c r="F16" s="195">
        <f t="shared" si="10"/>
        <v>210000</v>
      </c>
      <c r="G16" s="195">
        <f t="shared" si="10"/>
        <v>210000</v>
      </c>
      <c r="H16" s="195">
        <f t="shared" si="10"/>
        <v>210000</v>
      </c>
      <c r="I16" s="195">
        <f t="shared" si="10"/>
        <v>210000</v>
      </c>
      <c r="J16" s="195">
        <f t="shared" si="10"/>
        <v>210000</v>
      </c>
      <c r="K16" s="195">
        <f t="shared" si="10"/>
        <v>405000</v>
      </c>
      <c r="L16" s="195">
        <f t="shared" si="10"/>
        <v>405000</v>
      </c>
      <c r="M16" s="195">
        <f t="shared" si="10"/>
        <v>405000</v>
      </c>
      <c r="N16" s="195">
        <f t="shared" si="10"/>
        <v>405000</v>
      </c>
      <c r="O16" s="195">
        <f t="shared" si="10"/>
        <v>405000</v>
      </c>
      <c r="P16" s="195">
        <f t="shared" si="10"/>
        <v>405000</v>
      </c>
      <c r="Q16" s="71">
        <f t="shared" si="10"/>
        <v>3690000</v>
      </c>
      <c r="R16" s="197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A17" s="163"/>
      <c r="B17" s="163"/>
      <c r="C17" s="163"/>
      <c r="D17" s="163"/>
      <c r="E17" s="163"/>
      <c r="F17" s="163"/>
      <c r="G17" s="163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63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"/>
      <c r="T18" s="1"/>
      <c r="U18" s="1"/>
      <c r="V18" s="1"/>
      <c r="W18" s="1"/>
      <c r="X18" s="1"/>
      <c r="Y18" s="1"/>
      <c r="Z18" s="1"/>
      <c r="AA18" s="1"/>
    </row>
    <row r="19" spans="1:27" ht="27" thickBot="1" x14ac:dyDescent="0.45">
      <c r="A19" s="163"/>
      <c r="B19" s="532" t="s">
        <v>98</v>
      </c>
      <c r="C19" s="533"/>
      <c r="D19" s="533"/>
      <c r="E19" s="533"/>
      <c r="F19" s="533"/>
      <c r="G19" s="533"/>
      <c r="H19" s="533"/>
      <c r="I19" s="533"/>
      <c r="J19" s="533"/>
      <c r="K19" s="533"/>
      <c r="L19" s="533"/>
      <c r="M19" s="533"/>
      <c r="N19" s="533"/>
      <c r="O19" s="533"/>
      <c r="P19" s="533"/>
      <c r="Q19" s="533"/>
      <c r="R19" s="534"/>
      <c r="S19" s="1"/>
      <c r="T19" s="1"/>
      <c r="U19" s="1"/>
      <c r="V19" s="1"/>
      <c r="W19" s="1"/>
      <c r="X19" s="1"/>
      <c r="Y19" s="1"/>
      <c r="Z19" s="1"/>
      <c r="AA19" s="1"/>
    </row>
    <row r="20" spans="1:27" ht="19.5" thickBot="1" x14ac:dyDescent="0.3">
      <c r="A20" s="1"/>
      <c r="B20" s="196" t="s">
        <v>52</v>
      </c>
      <c r="C20" s="535" t="s">
        <v>93</v>
      </c>
      <c r="D20" s="536"/>
      <c r="E20" s="314" t="s">
        <v>39</v>
      </c>
      <c r="F20" s="314" t="s">
        <v>40</v>
      </c>
      <c r="G20" s="314" t="s">
        <v>41</v>
      </c>
      <c r="H20" s="314" t="s">
        <v>42</v>
      </c>
      <c r="I20" s="314" t="s">
        <v>43</v>
      </c>
      <c r="J20" s="314" t="s">
        <v>44</v>
      </c>
      <c r="K20" s="314" t="s">
        <v>45</v>
      </c>
      <c r="L20" s="314" t="s">
        <v>46</v>
      </c>
      <c r="M20" s="314" t="s">
        <v>47</v>
      </c>
      <c r="N20" s="314" t="s">
        <v>48</v>
      </c>
      <c r="O20" s="314" t="s">
        <v>49</v>
      </c>
      <c r="P20" s="314" t="s">
        <v>50</v>
      </c>
      <c r="Q20" s="314" t="s">
        <v>94</v>
      </c>
      <c r="R20" s="314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318">
        <v>4</v>
      </c>
      <c r="C21" s="196" t="s">
        <v>192</v>
      </c>
      <c r="D21" s="197" t="s">
        <v>197</v>
      </c>
      <c r="E21" s="319">
        <f>$D$43 * 3</f>
        <v>180000</v>
      </c>
      <c r="F21" s="320">
        <f t="shared" ref="F21:H21" si="11">$D$43 * 3</f>
        <v>180000</v>
      </c>
      <c r="G21" s="320">
        <f t="shared" si="11"/>
        <v>180000</v>
      </c>
      <c r="H21" s="320">
        <f t="shared" si="11"/>
        <v>180000</v>
      </c>
      <c r="I21" s="331">
        <f>$D$43 * 4</f>
        <v>240000</v>
      </c>
      <c r="J21" s="332">
        <f t="shared" ref="J21:P21" si="12">$D$43 * 4</f>
        <v>240000</v>
      </c>
      <c r="K21" s="332">
        <f t="shared" si="12"/>
        <v>240000</v>
      </c>
      <c r="L21" s="332">
        <f t="shared" si="12"/>
        <v>240000</v>
      </c>
      <c r="M21" s="332">
        <f t="shared" si="12"/>
        <v>240000</v>
      </c>
      <c r="N21" s="332">
        <f t="shared" si="12"/>
        <v>240000</v>
      </c>
      <c r="O21" s="332">
        <f t="shared" si="12"/>
        <v>240000</v>
      </c>
      <c r="P21" s="332">
        <f t="shared" si="12"/>
        <v>240000</v>
      </c>
      <c r="Q21" s="195">
        <f t="shared" ref="Q21:Q25" si="13">SUM(E21:P21)</f>
        <v>2640000</v>
      </c>
      <c r="R21" s="197" t="s">
        <v>269</v>
      </c>
      <c r="S21" s="163"/>
      <c r="T21" s="163"/>
      <c r="U21" s="163"/>
      <c r="V21" s="163"/>
    </row>
    <row r="22" spans="1:27" ht="15.75" customHeight="1" thickBot="1" x14ac:dyDescent="0.3">
      <c r="A22" s="1"/>
      <c r="B22" s="318">
        <v>4</v>
      </c>
      <c r="C22" s="196" t="s">
        <v>193</v>
      </c>
      <c r="D22" s="197" t="s">
        <v>198</v>
      </c>
      <c r="E22" s="319">
        <f>$D$44 * 3</f>
        <v>60000</v>
      </c>
      <c r="F22" s="320">
        <f t="shared" ref="F22:H22" si="14">$D$44 * 3</f>
        <v>60000</v>
      </c>
      <c r="G22" s="320">
        <f t="shared" si="14"/>
        <v>60000</v>
      </c>
      <c r="H22" s="320">
        <f t="shared" si="14"/>
        <v>60000</v>
      </c>
      <c r="I22" s="319">
        <f>$D$44 * 4</f>
        <v>80000</v>
      </c>
      <c r="J22" s="320">
        <f t="shared" ref="J22:K22" si="15">$D$44 * 4</f>
        <v>80000</v>
      </c>
      <c r="K22" s="320">
        <f t="shared" si="15"/>
        <v>80000</v>
      </c>
      <c r="L22" s="320">
        <f>$D$44 * 4</f>
        <v>80000</v>
      </c>
      <c r="M22" s="320">
        <f t="shared" ref="M22:P22" si="16">$D$44 * 4</f>
        <v>80000</v>
      </c>
      <c r="N22" s="320">
        <f t="shared" si="16"/>
        <v>80000</v>
      </c>
      <c r="O22" s="320">
        <f t="shared" si="16"/>
        <v>80000</v>
      </c>
      <c r="P22" s="320">
        <f t="shared" si="16"/>
        <v>80000</v>
      </c>
      <c r="Q22" s="195">
        <f t="shared" si="13"/>
        <v>880000</v>
      </c>
      <c r="R22" s="197" t="s">
        <v>268</v>
      </c>
      <c r="S22" s="163"/>
      <c r="T22" s="163"/>
      <c r="U22" s="163"/>
      <c r="V22" s="163"/>
    </row>
    <row r="23" spans="1:27" ht="15.75" customHeight="1" thickBot="1" x14ac:dyDescent="0.3">
      <c r="A23" s="1"/>
      <c r="B23" s="318">
        <v>4</v>
      </c>
      <c r="C23" s="196" t="s">
        <v>194</v>
      </c>
      <c r="D23" s="197" t="s">
        <v>199</v>
      </c>
      <c r="E23" s="319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19">
        <f>$D$45 * 4</f>
        <v>140000</v>
      </c>
      <c r="J23" s="329">
        <f t="shared" ref="J23:P23" si="18">$D$45 * 4</f>
        <v>140000</v>
      </c>
      <c r="K23" s="329">
        <f t="shared" si="18"/>
        <v>140000</v>
      </c>
      <c r="L23" s="329">
        <f t="shared" si="18"/>
        <v>140000</v>
      </c>
      <c r="M23" s="329">
        <f t="shared" si="18"/>
        <v>140000</v>
      </c>
      <c r="N23" s="329">
        <f t="shared" si="18"/>
        <v>140000</v>
      </c>
      <c r="O23" s="329">
        <f t="shared" si="18"/>
        <v>140000</v>
      </c>
      <c r="P23" s="329">
        <f t="shared" si="18"/>
        <v>140000</v>
      </c>
      <c r="Q23" s="195">
        <f t="shared" si="13"/>
        <v>1540000</v>
      </c>
      <c r="R23" s="197" t="s">
        <v>267</v>
      </c>
      <c r="S23" s="163"/>
      <c r="T23" s="163"/>
      <c r="U23" s="163"/>
      <c r="V23" s="163"/>
    </row>
    <row r="24" spans="1:27" ht="15.75" customHeight="1" thickBot="1" x14ac:dyDescent="0.3">
      <c r="A24" s="163"/>
      <c r="B24" s="317">
        <v>2</v>
      </c>
      <c r="C24" s="196" t="s">
        <v>195</v>
      </c>
      <c r="D24" s="197" t="s">
        <v>200</v>
      </c>
      <c r="E24" s="319">
        <f>$D$46 * 2</f>
        <v>30000</v>
      </c>
      <c r="F24" s="330">
        <f t="shared" ref="F24:I24" si="19">$D$46 * 2</f>
        <v>30000</v>
      </c>
      <c r="G24" s="330">
        <f t="shared" si="19"/>
        <v>30000</v>
      </c>
      <c r="H24" s="330">
        <f t="shared" si="19"/>
        <v>30000</v>
      </c>
      <c r="I24" s="330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5">
        <f t="shared" si="13"/>
        <v>360000</v>
      </c>
      <c r="R24" s="197" t="s">
        <v>270</v>
      </c>
      <c r="S24" s="163"/>
      <c r="T24" s="163"/>
      <c r="U24" s="163"/>
      <c r="V24" s="163"/>
    </row>
    <row r="25" spans="1:27" ht="15.75" customHeight="1" thickBot="1" x14ac:dyDescent="0.3">
      <c r="A25" s="163"/>
      <c r="B25" s="317">
        <v>4</v>
      </c>
      <c r="C25" s="196" t="s">
        <v>196</v>
      </c>
      <c r="D25" s="197" t="s">
        <v>201</v>
      </c>
      <c r="E25" s="319">
        <f>$D$47 * 3</f>
        <v>240000</v>
      </c>
      <c r="F25" s="320">
        <f t="shared" ref="F25:H25" si="21">$D$47 * 3</f>
        <v>240000</v>
      </c>
      <c r="G25" s="320">
        <f t="shared" si="21"/>
        <v>240000</v>
      </c>
      <c r="H25" s="320">
        <f t="shared" si="21"/>
        <v>240000</v>
      </c>
      <c r="I25" s="319">
        <f>$D$47 * 4</f>
        <v>320000</v>
      </c>
      <c r="J25" s="320">
        <f t="shared" ref="J25:K25" si="22">$D$47 * 4</f>
        <v>320000</v>
      </c>
      <c r="K25" s="320">
        <f t="shared" si="22"/>
        <v>320000</v>
      </c>
      <c r="L25" s="320">
        <f>$D$47 * 4</f>
        <v>320000</v>
      </c>
      <c r="M25" s="320">
        <f t="shared" ref="M25:P25" si="23">$D$47 * 4</f>
        <v>320000</v>
      </c>
      <c r="N25" s="320">
        <f t="shared" si="23"/>
        <v>320000</v>
      </c>
      <c r="O25" s="320">
        <f t="shared" si="23"/>
        <v>320000</v>
      </c>
      <c r="P25" s="320">
        <f t="shared" si="23"/>
        <v>320000</v>
      </c>
      <c r="Q25" s="195">
        <f t="shared" si="13"/>
        <v>3520000</v>
      </c>
      <c r="R25" s="197" t="s">
        <v>271</v>
      </c>
      <c r="S25" s="163"/>
      <c r="T25" s="163"/>
      <c r="U25" s="163"/>
      <c r="V25" s="163"/>
    </row>
    <row r="26" spans="1:27" ht="15.75" thickBot="1" x14ac:dyDescent="0.3">
      <c r="A26" s="1"/>
      <c r="B26" s="107"/>
      <c r="C26" s="316"/>
      <c r="D26" s="201" t="s">
        <v>30</v>
      </c>
      <c r="E26" s="195">
        <f t="shared" ref="E26:Q26" si="24">SUM(E21:E25)</f>
        <v>615000</v>
      </c>
      <c r="F26" s="195">
        <f t="shared" si="24"/>
        <v>615000</v>
      </c>
      <c r="G26" s="195">
        <f t="shared" si="24"/>
        <v>615000</v>
      </c>
      <c r="H26" s="195">
        <f t="shared" si="24"/>
        <v>615000</v>
      </c>
      <c r="I26" s="195">
        <f>SUM(I21:I25)</f>
        <v>810000</v>
      </c>
      <c r="J26" s="195">
        <f t="shared" si="24"/>
        <v>810000</v>
      </c>
      <c r="K26" s="195">
        <f t="shared" si="24"/>
        <v>810000</v>
      </c>
      <c r="L26" s="195">
        <f t="shared" si="24"/>
        <v>810000</v>
      </c>
      <c r="M26" s="195">
        <f t="shared" si="24"/>
        <v>810000</v>
      </c>
      <c r="N26" s="195">
        <f t="shared" si="24"/>
        <v>810000</v>
      </c>
      <c r="O26" s="195">
        <f t="shared" si="24"/>
        <v>810000</v>
      </c>
      <c r="P26" s="195">
        <f t="shared" si="24"/>
        <v>810000</v>
      </c>
      <c r="Q26" s="71">
        <f t="shared" si="24"/>
        <v>8940000</v>
      </c>
      <c r="R26" s="197"/>
      <c r="S26" s="163"/>
      <c r="T26" s="163"/>
      <c r="U26" s="163"/>
      <c r="V26" s="163"/>
    </row>
    <row r="27" spans="1:27" ht="15.75" customHeight="1" x14ac:dyDescent="0.25">
      <c r="A27" s="1"/>
      <c r="B27" s="107"/>
      <c r="C27" s="1"/>
      <c r="D27" s="1"/>
      <c r="E27" s="1"/>
      <c r="F27" s="1"/>
      <c r="G27" s="1"/>
      <c r="H27" s="1"/>
      <c r="I27" s="1"/>
      <c r="J27" s="1"/>
      <c r="K27" s="1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</row>
    <row r="28" spans="1:27" ht="15.75" customHeight="1" thickBot="1" x14ac:dyDescent="0.3">
      <c r="A28" s="1"/>
      <c r="B28" s="107"/>
      <c r="C28" s="1"/>
      <c r="D28" s="1"/>
      <c r="E28" s="1"/>
      <c r="F28" s="1"/>
      <c r="G28" s="1"/>
      <c r="H28" s="1"/>
      <c r="I28" s="1"/>
      <c r="J28" s="1"/>
      <c r="K28" s="1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</row>
    <row r="29" spans="1:27" ht="30.75" customHeight="1" thickBot="1" x14ac:dyDescent="0.45">
      <c r="A29" s="1"/>
      <c r="B29" s="529" t="s">
        <v>191</v>
      </c>
      <c r="C29" s="530"/>
      <c r="D29" s="530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530"/>
      <c r="R29" s="531"/>
      <c r="S29" s="163"/>
      <c r="T29" s="163"/>
      <c r="U29" s="163"/>
      <c r="V29" s="163"/>
    </row>
    <row r="30" spans="1:27" ht="15.75" customHeight="1" thickBot="1" x14ac:dyDescent="0.3">
      <c r="A30" s="1"/>
      <c r="B30" s="196" t="s">
        <v>52</v>
      </c>
      <c r="C30" s="535" t="s">
        <v>93</v>
      </c>
      <c r="D30" s="536"/>
      <c r="E30" s="314" t="s">
        <v>39</v>
      </c>
      <c r="F30" s="314" t="s">
        <v>40</v>
      </c>
      <c r="G30" s="314" t="s">
        <v>41</v>
      </c>
      <c r="H30" s="314" t="s">
        <v>42</v>
      </c>
      <c r="I30" s="314" t="s">
        <v>43</v>
      </c>
      <c r="J30" s="314" t="s">
        <v>44</v>
      </c>
      <c r="K30" s="314" t="s">
        <v>45</v>
      </c>
      <c r="L30" s="314" t="s">
        <v>46</v>
      </c>
      <c r="M30" s="314" t="s">
        <v>47</v>
      </c>
      <c r="N30" s="314" t="s">
        <v>48</v>
      </c>
      <c r="O30" s="314" t="s">
        <v>49</v>
      </c>
      <c r="P30" s="314" t="s">
        <v>50</v>
      </c>
      <c r="Q30" s="314" t="s">
        <v>94</v>
      </c>
      <c r="R30" s="314" t="s">
        <v>95</v>
      </c>
      <c r="S30" s="163"/>
      <c r="T30" s="163"/>
      <c r="U30" s="163"/>
      <c r="V30" s="163"/>
    </row>
    <row r="31" spans="1:27" ht="15.75" customHeight="1" thickBot="1" x14ac:dyDescent="0.3">
      <c r="A31" s="163"/>
      <c r="B31" s="317">
        <v>6</v>
      </c>
      <c r="C31" s="196" t="s">
        <v>192</v>
      </c>
      <c r="D31" s="197" t="s">
        <v>197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19">
        <f>$D$43 * 5</f>
        <v>300000</v>
      </c>
      <c r="J31" s="330">
        <f t="shared" ref="J31:N31" si="26">$D$43 * 5</f>
        <v>300000</v>
      </c>
      <c r="K31" s="330">
        <f t="shared" si="26"/>
        <v>300000</v>
      </c>
      <c r="L31" s="330">
        <f t="shared" si="26"/>
        <v>300000</v>
      </c>
      <c r="M31" s="330">
        <f t="shared" si="26"/>
        <v>300000</v>
      </c>
      <c r="N31" s="330">
        <f t="shared" si="26"/>
        <v>300000</v>
      </c>
      <c r="O31" s="319">
        <f>$D$43 * 6</f>
        <v>360000</v>
      </c>
      <c r="P31" s="330">
        <f>$D$43 * 6</f>
        <v>360000</v>
      </c>
      <c r="Q31" s="195">
        <f t="shared" ref="Q31:Q35" si="27">SUM(E31:P31)</f>
        <v>3480000</v>
      </c>
      <c r="R31" s="197" t="s">
        <v>269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">
      <c r="A32" s="163"/>
      <c r="B32" s="317">
        <v>6</v>
      </c>
      <c r="C32" s="196" t="s">
        <v>193</v>
      </c>
      <c r="D32" s="197" t="s">
        <v>198</v>
      </c>
      <c r="E32" s="320">
        <f>$D$44 * 4</f>
        <v>80000</v>
      </c>
      <c r="F32" s="320">
        <f t="shared" ref="F32:H32" si="28">$D$44 * 4</f>
        <v>80000</v>
      </c>
      <c r="G32" s="320">
        <f t="shared" si="28"/>
        <v>80000</v>
      </c>
      <c r="H32" s="320">
        <f t="shared" si="28"/>
        <v>80000</v>
      </c>
      <c r="I32" s="319">
        <f>$D$44 * 5</f>
        <v>100000</v>
      </c>
      <c r="J32" s="320">
        <f t="shared" ref="J32:N32" si="29">$D$44 * 5</f>
        <v>100000</v>
      </c>
      <c r="K32" s="320">
        <f t="shared" si="29"/>
        <v>100000</v>
      </c>
      <c r="L32" s="320">
        <f t="shared" si="29"/>
        <v>100000</v>
      </c>
      <c r="M32" s="320">
        <f t="shared" si="29"/>
        <v>100000</v>
      </c>
      <c r="N32" s="320">
        <f t="shared" si="29"/>
        <v>100000</v>
      </c>
      <c r="O32" s="319">
        <f>$D$44 * 6</f>
        <v>120000</v>
      </c>
      <c r="P32" s="320">
        <f>$D$44 * 6</f>
        <v>120000</v>
      </c>
      <c r="Q32" s="195">
        <f t="shared" si="27"/>
        <v>1160000</v>
      </c>
      <c r="R32" s="197" t="s">
        <v>268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">
      <c r="A33" s="163"/>
      <c r="B33" s="317">
        <v>6</v>
      </c>
      <c r="C33" s="196" t="s">
        <v>194</v>
      </c>
      <c r="D33" s="197" t="s">
        <v>199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19">
        <f>$D$45 * 5</f>
        <v>175000</v>
      </c>
      <c r="J33" s="330">
        <f t="shared" ref="J33:P33" si="31">$D$45 * 5</f>
        <v>175000</v>
      </c>
      <c r="K33" s="330">
        <f t="shared" si="31"/>
        <v>175000</v>
      </c>
      <c r="L33" s="330">
        <f t="shared" si="31"/>
        <v>175000</v>
      </c>
      <c r="M33" s="330">
        <f t="shared" si="31"/>
        <v>175000</v>
      </c>
      <c r="N33" s="330">
        <f t="shared" si="31"/>
        <v>175000</v>
      </c>
      <c r="O33" s="319">
        <f>$D$45 * 6</f>
        <v>210000</v>
      </c>
      <c r="P33" s="330">
        <f t="shared" si="31"/>
        <v>175000</v>
      </c>
      <c r="Q33" s="195">
        <f t="shared" si="27"/>
        <v>1995000</v>
      </c>
      <c r="R33" s="197" t="s">
        <v>267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">
      <c r="A34" s="163"/>
      <c r="B34" s="317">
        <v>3</v>
      </c>
      <c r="C34" s="196" t="s">
        <v>195</v>
      </c>
      <c r="D34" s="197" t="s">
        <v>200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19">
        <f>$D$46 * 3</f>
        <v>45000</v>
      </c>
      <c r="J34" s="330">
        <f t="shared" ref="J34:P34" si="33">$D$46 * 3</f>
        <v>45000</v>
      </c>
      <c r="K34" s="330">
        <f t="shared" si="33"/>
        <v>45000</v>
      </c>
      <c r="L34" s="330">
        <f t="shared" si="33"/>
        <v>45000</v>
      </c>
      <c r="M34" s="330">
        <f t="shared" si="33"/>
        <v>45000</v>
      </c>
      <c r="N34" s="330">
        <f t="shared" si="33"/>
        <v>45000</v>
      </c>
      <c r="O34" s="330">
        <f t="shared" si="33"/>
        <v>45000</v>
      </c>
      <c r="P34" s="330">
        <f t="shared" si="33"/>
        <v>45000</v>
      </c>
      <c r="Q34" s="195">
        <f t="shared" si="27"/>
        <v>480000</v>
      </c>
      <c r="R34" s="197" t="s">
        <v>270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">
      <c r="A35" s="163"/>
      <c r="B35" s="317">
        <v>6</v>
      </c>
      <c r="C35" s="196" t="s">
        <v>196</v>
      </c>
      <c r="D35" s="197" t="s">
        <v>201</v>
      </c>
      <c r="E35" s="320">
        <f>$D$47 *4</f>
        <v>320000</v>
      </c>
      <c r="F35" s="320">
        <f t="shared" ref="F35:H35" si="34">$D$47 *4</f>
        <v>320000</v>
      </c>
      <c r="G35" s="320">
        <f t="shared" si="34"/>
        <v>320000</v>
      </c>
      <c r="H35" s="320">
        <f t="shared" si="34"/>
        <v>320000</v>
      </c>
      <c r="I35" s="319">
        <f>$D$47 *5</f>
        <v>400000</v>
      </c>
      <c r="J35" s="320">
        <f t="shared" ref="J35:N35" si="35">$D$47 *5</f>
        <v>400000</v>
      </c>
      <c r="K35" s="320">
        <f t="shared" si="35"/>
        <v>400000</v>
      </c>
      <c r="L35" s="320">
        <f t="shared" si="35"/>
        <v>400000</v>
      </c>
      <c r="M35" s="320">
        <f t="shared" si="35"/>
        <v>400000</v>
      </c>
      <c r="N35" s="320">
        <f t="shared" si="35"/>
        <v>400000</v>
      </c>
      <c r="O35" s="319">
        <f>$D$47 *6</f>
        <v>480000</v>
      </c>
      <c r="P35" s="320">
        <f>$D$47 *6</f>
        <v>480000</v>
      </c>
      <c r="Q35" s="195">
        <f t="shared" si="27"/>
        <v>4640000</v>
      </c>
      <c r="R35" s="197" t="s">
        <v>271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">
      <c r="A36" s="163"/>
      <c r="B36" s="163"/>
      <c r="C36" s="343"/>
      <c r="D36" s="201" t="s">
        <v>30</v>
      </c>
      <c r="E36" s="195">
        <f t="shared" ref="E36:Q36" si="36">SUM(E31:E35)</f>
        <v>810000</v>
      </c>
      <c r="F36" s="195">
        <f t="shared" si="36"/>
        <v>810000</v>
      </c>
      <c r="G36" s="195">
        <f t="shared" si="36"/>
        <v>810000</v>
      </c>
      <c r="H36" s="195">
        <f t="shared" si="36"/>
        <v>810000</v>
      </c>
      <c r="I36" s="195">
        <f t="shared" si="36"/>
        <v>1020000</v>
      </c>
      <c r="J36" s="195">
        <f t="shared" si="36"/>
        <v>1020000</v>
      </c>
      <c r="K36" s="195">
        <f t="shared" si="36"/>
        <v>1020000</v>
      </c>
      <c r="L36" s="195">
        <f t="shared" si="36"/>
        <v>1020000</v>
      </c>
      <c r="M36" s="195">
        <f t="shared" si="36"/>
        <v>1020000</v>
      </c>
      <c r="N36" s="195">
        <f t="shared" si="36"/>
        <v>1020000</v>
      </c>
      <c r="O36" s="195">
        <f t="shared" si="36"/>
        <v>1215000</v>
      </c>
      <c r="P36" s="195">
        <f t="shared" si="36"/>
        <v>1180000</v>
      </c>
      <c r="Q36" s="71">
        <f t="shared" si="36"/>
        <v>11755000</v>
      </c>
      <c r="R36" s="197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07"/>
      <c r="T38" s="107"/>
      <c r="U38" s="107"/>
      <c r="V38" s="107"/>
      <c r="W38" s="107"/>
      <c r="X38" s="107"/>
      <c r="Y38" s="107"/>
      <c r="Z38" s="107"/>
      <c r="AA38" s="107"/>
    </row>
    <row r="39" spans="1:27" ht="15.75" customHeight="1" x14ac:dyDescent="0.25">
      <c r="A39" s="163"/>
      <c r="B39" s="163"/>
      <c r="C39" s="303" t="s">
        <v>212</v>
      </c>
      <c r="D39" s="303" t="s">
        <v>100</v>
      </c>
      <c r="E39" s="537" t="s">
        <v>213</v>
      </c>
      <c r="F39" s="537"/>
      <c r="G39" s="537"/>
      <c r="H39" s="537"/>
      <c r="I39" s="537"/>
      <c r="J39" s="163"/>
      <c r="K39" s="163"/>
      <c r="L39" s="163"/>
      <c r="M39" s="163"/>
      <c r="N39" s="163"/>
      <c r="O39" s="163"/>
      <c r="P39" s="163"/>
      <c r="Q39" s="163"/>
      <c r="R39" s="163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63"/>
      <c r="B40" s="163"/>
      <c r="C40" s="248" t="s">
        <v>231</v>
      </c>
      <c r="D40" s="344">
        <v>5000</v>
      </c>
      <c r="E40" s="528" t="s">
        <v>210</v>
      </c>
      <c r="F40" s="528"/>
      <c r="G40" s="528"/>
      <c r="H40" s="528"/>
      <c r="I40" s="528"/>
      <c r="J40" s="163"/>
      <c r="K40" s="163"/>
      <c r="L40" s="163"/>
      <c r="M40" s="163"/>
      <c r="N40" s="163"/>
      <c r="O40" s="163"/>
      <c r="P40" s="163"/>
      <c r="Q40" s="163"/>
      <c r="R40" s="163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63"/>
      <c r="B41" s="163"/>
      <c r="C41" s="248" t="s">
        <v>232</v>
      </c>
      <c r="D41" s="345">
        <v>9</v>
      </c>
      <c r="E41" s="528"/>
      <c r="F41" s="528"/>
      <c r="G41" s="528"/>
      <c r="H41" s="528"/>
      <c r="I41" s="528"/>
      <c r="J41" s="163"/>
      <c r="K41" s="163"/>
      <c r="L41" s="163"/>
      <c r="M41" s="163"/>
      <c r="N41" s="163"/>
      <c r="O41" s="163"/>
      <c r="P41" s="163"/>
      <c r="Q41" s="163"/>
      <c r="R41" s="163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63"/>
      <c r="B42" s="163"/>
      <c r="C42" s="248" t="s">
        <v>233</v>
      </c>
      <c r="D42" s="345">
        <v>3</v>
      </c>
      <c r="E42" s="528"/>
      <c r="F42" s="528"/>
      <c r="G42" s="528"/>
      <c r="H42" s="528"/>
      <c r="I42" s="528"/>
      <c r="J42" s="163"/>
      <c r="K42" s="163"/>
      <c r="L42" s="163"/>
      <c r="M42" s="163"/>
      <c r="N42" s="163"/>
      <c r="O42" s="163"/>
      <c r="P42" s="163"/>
      <c r="Q42" s="163"/>
      <c r="R42" s="163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63"/>
      <c r="B43" s="163"/>
      <c r="C43" s="248" t="s">
        <v>205</v>
      </c>
      <c r="D43" s="344">
        <f>(D41+D42)*D40</f>
        <v>60000</v>
      </c>
      <c r="E43" s="528"/>
      <c r="F43" s="528"/>
      <c r="G43" s="528"/>
      <c r="H43" s="528"/>
      <c r="I43" s="528"/>
      <c r="J43" s="163"/>
      <c r="K43" s="163"/>
      <c r="L43" s="163"/>
      <c r="M43" s="163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25">
      <c r="A44" s="163"/>
      <c r="B44" s="163"/>
      <c r="C44" s="248" t="s">
        <v>206</v>
      </c>
      <c r="D44" s="344">
        <v>20000</v>
      </c>
      <c r="E44" s="528" t="s">
        <v>211</v>
      </c>
      <c r="F44" s="528"/>
      <c r="G44" s="528"/>
      <c r="H44" s="528"/>
      <c r="I44" s="528"/>
      <c r="J44" s="163"/>
      <c r="K44" s="163"/>
      <c r="L44" s="163"/>
      <c r="M44" s="163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25">
      <c r="A45" s="163"/>
      <c r="B45" s="163"/>
      <c r="C45" s="248" t="s">
        <v>207</v>
      </c>
      <c r="D45" s="344">
        <v>35000</v>
      </c>
      <c r="E45" s="527" t="s">
        <v>216</v>
      </c>
      <c r="F45" s="527"/>
      <c r="G45" s="527"/>
      <c r="H45" s="527"/>
      <c r="I45" s="527"/>
      <c r="J45" s="163"/>
      <c r="K45" s="163"/>
      <c r="L45" s="163"/>
      <c r="M45" s="163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25">
      <c r="A46" s="163"/>
      <c r="B46" s="163"/>
      <c r="C46" s="248" t="s">
        <v>208</v>
      </c>
      <c r="D46" s="344">
        <v>15000</v>
      </c>
      <c r="E46" s="528" t="s">
        <v>211</v>
      </c>
      <c r="F46" s="528"/>
      <c r="G46" s="528"/>
      <c r="H46" s="528"/>
      <c r="I46" s="528"/>
      <c r="J46" s="163"/>
      <c r="K46" s="163"/>
      <c r="L46" s="163"/>
      <c r="M46" s="163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63"/>
      <c r="B47" s="163"/>
      <c r="C47" s="248" t="s">
        <v>209</v>
      </c>
      <c r="D47" s="344">
        <v>80000</v>
      </c>
      <c r="E47" s="528"/>
      <c r="F47" s="528"/>
      <c r="G47" s="528"/>
      <c r="H47" s="528"/>
      <c r="I47" s="528"/>
      <c r="J47" s="163"/>
      <c r="K47" s="163"/>
      <c r="L47" s="163"/>
      <c r="M47" s="163"/>
      <c r="N47" s="163"/>
      <c r="O47" s="163"/>
      <c r="P47" s="163"/>
      <c r="Q47" s="163"/>
      <c r="R47" s="163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0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07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07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0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07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07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07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07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07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07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07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07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07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07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07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07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07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07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07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07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07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07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07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07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07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07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07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0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0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0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0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0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0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0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0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0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0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0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0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0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0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07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0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0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0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0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0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0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0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0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0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0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0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0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0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0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07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07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07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07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07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07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07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07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07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07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07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07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07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07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07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07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07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07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07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07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07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07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07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07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07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07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07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07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07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07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07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07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07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07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07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07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07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07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07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07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07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07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07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07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07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07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07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07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07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07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07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07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07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07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07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07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07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07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07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07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07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07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07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07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07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07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07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07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07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07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07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07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07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07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07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07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07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07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07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07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07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07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07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07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07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07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07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07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07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07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07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07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07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07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07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07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07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07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07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07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07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07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07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07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07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07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07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07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07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07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07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07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07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07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07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07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07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07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07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07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07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07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07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07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07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07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07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07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07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07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07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07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07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07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07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07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07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07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07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07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07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07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07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07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07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07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07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07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07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07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07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07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07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07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07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07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07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07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07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07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07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07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07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07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07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07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07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07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07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07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07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07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07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07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07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07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07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07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07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07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07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07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07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07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07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07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07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07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07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07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07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07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07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07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07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07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07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07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07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07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07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07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07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07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07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07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07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07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07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07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07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07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07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07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07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07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07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07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07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07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07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07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07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07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07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07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07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07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07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07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07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07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07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07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07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07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07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07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07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07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07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07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07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07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07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07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07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07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07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07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07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07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07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07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07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07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07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07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07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07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07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07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07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07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07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07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07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07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07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07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07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07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07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07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07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07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07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07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07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07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07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07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07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07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07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07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07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07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07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07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07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07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07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07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07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07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07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07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07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07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07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07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07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07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07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07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07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07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07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07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07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07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07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07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07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07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07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07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07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07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07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07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07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07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07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07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07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07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07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07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07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07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07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07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07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07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07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07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07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07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07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07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07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07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07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07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07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07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07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07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07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07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07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07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07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07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07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07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07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07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07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07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07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07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07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07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07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07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07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07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07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07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07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07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07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07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07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07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07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07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07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07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07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07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07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07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07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07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07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07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07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07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07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07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07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07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07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07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07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07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07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07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07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07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07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07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07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07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07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07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07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07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07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07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07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07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07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07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07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07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07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07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07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07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07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07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07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07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07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07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07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07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07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07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07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07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07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07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07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07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07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07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07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07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07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07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07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07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07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07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07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07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07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07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07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07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07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07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07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07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07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07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07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07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07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07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07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07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07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07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07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07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07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07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07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07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07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07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07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07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07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07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07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07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07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07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07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07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07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07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07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07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07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07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07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07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07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07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07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07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07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07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07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07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07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07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07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07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07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07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07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07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07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07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07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07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07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07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07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07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07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07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07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07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07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07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07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07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07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07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07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07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07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07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07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07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07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07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07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07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07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07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07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07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07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07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07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07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07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07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07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07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07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07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07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07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07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07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07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07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07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07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07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07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07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07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07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07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07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07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07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07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07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07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07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07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07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07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07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07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07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07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07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07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07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07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07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07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07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07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07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07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07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07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07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07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07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07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07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07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07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07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07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07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07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07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07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07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07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07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07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07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07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07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07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07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07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07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07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07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07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07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07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07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07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07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07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07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07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07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07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07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07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07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07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07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07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07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07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07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07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07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07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07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07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07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07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07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07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07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07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07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07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07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07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07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07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07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07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07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07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07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07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07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07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07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07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07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07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07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07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07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07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07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07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07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07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07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07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07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07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07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07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07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07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07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07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07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07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07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07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07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07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07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07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07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07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07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07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07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07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07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07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07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07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07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07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07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07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07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07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07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07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07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07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07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07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07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07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07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07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07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07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07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07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07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07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07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07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07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07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07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07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07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07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07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07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07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07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07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07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07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07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07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07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07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07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07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07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07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07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07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07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07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07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07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07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07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07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07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07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07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07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07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07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07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07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07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07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07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07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07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07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07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07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07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07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07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07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07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07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07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07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07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07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07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07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07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07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07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07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07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07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07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07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07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07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07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07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07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07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07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07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07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07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07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07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07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07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07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07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07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07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07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07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07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07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07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07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07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07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25">
      <c r="C928" s="1"/>
      <c r="D928" s="1"/>
      <c r="E928" s="1"/>
      <c r="F928" s="1"/>
      <c r="G928" s="1"/>
      <c r="H928" s="1"/>
      <c r="I928" s="1"/>
    </row>
  </sheetData>
  <mergeCells count="12">
    <mergeCell ref="E3:G3"/>
    <mergeCell ref="C10:D10"/>
    <mergeCell ref="C20:D20"/>
    <mergeCell ref="E40:I43"/>
    <mergeCell ref="E44:I44"/>
    <mergeCell ref="E45:I45"/>
    <mergeCell ref="E46:I47"/>
    <mergeCell ref="B9:R9"/>
    <mergeCell ref="B19:R19"/>
    <mergeCell ref="B29:R29"/>
    <mergeCell ref="C30:D30"/>
    <mergeCell ref="E39:I39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E64" sqref="AC2:AE64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67"/>
      <c r="B1" s="167"/>
      <c r="C1" s="167"/>
      <c r="D1" s="167"/>
      <c r="E1" s="168" t="s">
        <v>14</v>
      </c>
      <c r="F1" s="205"/>
      <c r="G1" s="205"/>
      <c r="H1" s="167"/>
      <c r="I1" s="167"/>
      <c r="J1" s="167"/>
      <c r="K1" s="167"/>
      <c r="L1" s="167"/>
      <c r="M1" s="167"/>
      <c r="N1" s="167"/>
      <c r="O1" s="167"/>
      <c r="P1" s="167"/>
      <c r="Q1" s="167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21"/>
      <c r="C4" s="1"/>
      <c r="D4" s="1"/>
      <c r="E4" s="526" t="s">
        <v>101</v>
      </c>
      <c r="F4" s="469"/>
      <c r="G4" s="41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63"/>
      <c r="AD4" s="163"/>
      <c r="AE4" s="163"/>
    </row>
    <row r="5" spans="1:31" x14ac:dyDescent="0.25">
      <c r="A5" s="1"/>
      <c r="B5" s="61"/>
      <c r="C5" s="1"/>
      <c r="D5" s="1"/>
      <c r="E5" s="192">
        <v>2022</v>
      </c>
      <c r="F5" s="170">
        <v>2023</v>
      </c>
      <c r="G5" s="193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63"/>
      <c r="AD5" s="163"/>
      <c r="AE5" s="163"/>
    </row>
    <row r="6" spans="1:31" ht="15.75" thickBot="1" x14ac:dyDescent="0.3">
      <c r="A6" s="1"/>
      <c r="B6" s="72"/>
      <c r="C6" s="1"/>
      <c r="D6" s="1"/>
      <c r="E6" s="24">
        <f>$AA$30</f>
        <v>14292556.496400004</v>
      </c>
      <c r="F6" s="25">
        <f>AA42</f>
        <v>18211950.2707</v>
      </c>
      <c r="G6" s="26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63"/>
      <c r="AD6" s="163"/>
      <c r="AE6" s="163"/>
    </row>
    <row r="7" spans="1:31" x14ac:dyDescent="0.25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63"/>
      <c r="AD7" s="163"/>
      <c r="AE7" s="163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24" t="s">
        <v>102</v>
      </c>
      <c r="C11" s="422"/>
      <c r="D11" s="422"/>
      <c r="E11" s="422"/>
      <c r="F11" s="422"/>
      <c r="G11" s="422"/>
      <c r="H11" s="422"/>
      <c r="I11" s="422"/>
      <c r="J11" s="422"/>
      <c r="K11" s="422"/>
      <c r="L11" s="42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46" t="s">
        <v>103</v>
      </c>
      <c r="C12" s="544" t="s">
        <v>104</v>
      </c>
      <c r="D12" s="545" t="s">
        <v>105</v>
      </c>
      <c r="E12" s="253" t="s">
        <v>106</v>
      </c>
      <c r="F12" s="253" t="s">
        <v>107</v>
      </c>
      <c r="G12" s="253" t="s">
        <v>108</v>
      </c>
      <c r="H12" s="253" t="s">
        <v>109</v>
      </c>
      <c r="I12" s="254" t="s">
        <v>110</v>
      </c>
      <c r="J12" s="254" t="s">
        <v>111</v>
      </c>
      <c r="K12" s="545" t="s">
        <v>112</v>
      </c>
      <c r="L12" s="545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47"/>
      <c r="C13" s="422"/>
      <c r="D13" s="422"/>
      <c r="E13" s="255">
        <v>0.1047</v>
      </c>
      <c r="F13" s="255">
        <v>1.54E-2</v>
      </c>
      <c r="G13" s="256">
        <v>0.06</v>
      </c>
      <c r="H13" s="255">
        <v>9.1999999999999998E-3</v>
      </c>
      <c r="I13" s="256" t="s">
        <v>114</v>
      </c>
      <c r="J13" s="256">
        <v>0.03</v>
      </c>
      <c r="K13" s="422"/>
      <c r="L13" s="422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48" t="s">
        <v>179</v>
      </c>
      <c r="C14" s="246" t="str">
        <f>'Anexo capacidad operativa'!B45</f>
        <v>Tester</v>
      </c>
      <c r="D14" s="251">
        <v>105257</v>
      </c>
      <c r="E14" s="73">
        <f>$D$14*E13</f>
        <v>11020.4079</v>
      </c>
      <c r="F14" s="73">
        <f>$D$14*F13</f>
        <v>1620.9578000000001</v>
      </c>
      <c r="G14" s="73">
        <f>$D$14*G13</f>
        <v>6315.42</v>
      </c>
      <c r="H14" s="73">
        <f>$D$14*H13</f>
        <v>968.36439999999993</v>
      </c>
      <c r="I14" s="73">
        <v>18.57</v>
      </c>
      <c r="J14" s="73">
        <f>$D$14*J13</f>
        <v>3157.71</v>
      </c>
      <c r="K14" s="73">
        <f>SUM(E14:J14)</f>
        <v>23101.430099999998</v>
      </c>
      <c r="L14" s="257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49"/>
      <c r="C15" s="246" t="str">
        <f>'Anexo capacidad operativa'!B43</f>
        <v>Gerente de servicios</v>
      </c>
      <c r="D15" s="251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7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50"/>
      <c r="C16" s="245" t="str">
        <f>'Anexo capacidad operativa'!B42</f>
        <v>Desarrollador</v>
      </c>
      <c r="D16" s="252">
        <v>202536</v>
      </c>
      <c r="E16" s="73">
        <f>$D$16*E13</f>
        <v>21205.519199999999</v>
      </c>
      <c r="F16" s="73">
        <f>$D$16*F13</f>
        <v>3119.0544</v>
      </c>
      <c r="G16" s="73">
        <f>$D$16*G13</f>
        <v>12152.16</v>
      </c>
      <c r="H16" s="73">
        <f>$D$16*H13</f>
        <v>1863.3312000000001</v>
      </c>
      <c r="I16" s="73">
        <v>18.57</v>
      </c>
      <c r="J16" s="73">
        <f>$D$16*J13</f>
        <v>6076.08</v>
      </c>
      <c r="K16" s="73">
        <f t="shared" ref="K16:K18" si="0">SUM(E16:J16)</f>
        <v>44434.714800000002</v>
      </c>
      <c r="L16" s="257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50" t="s">
        <v>259</v>
      </c>
      <c r="C17" s="246" t="str">
        <f>'Anexo capacidad operativa'!B44</f>
        <v>Empleado de tecnologia</v>
      </c>
      <c r="D17" s="251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7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50" t="s">
        <v>258</v>
      </c>
      <c r="C18" s="246" t="str">
        <f>'Anexo capacidad operativa'!B46</f>
        <v>Empleado administrativo de ventas</v>
      </c>
      <c r="D18" s="251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7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29" t="s">
        <v>228</v>
      </c>
      <c r="C22" s="530"/>
      <c r="D22" s="530"/>
      <c r="E22" s="530"/>
      <c r="F22" s="530"/>
      <c r="G22" s="530"/>
      <c r="H22" s="530"/>
      <c r="I22" s="530"/>
      <c r="J22" s="530"/>
      <c r="K22" s="530"/>
      <c r="L22" s="530"/>
      <c r="M22" s="530"/>
      <c r="N22" s="530"/>
      <c r="O22" s="530"/>
      <c r="P22" s="530"/>
      <c r="Q22" s="530"/>
      <c r="R22" s="530"/>
      <c r="S22" s="530"/>
      <c r="T22" s="530"/>
      <c r="U22" s="530"/>
      <c r="V22" s="530"/>
      <c r="W22" s="530"/>
      <c r="X22" s="530"/>
      <c r="Y22" s="530"/>
      <c r="Z22" s="530"/>
      <c r="AA22" s="531"/>
      <c r="AB22" s="1"/>
      <c r="AC22" s="1"/>
      <c r="AD22" s="1"/>
      <c r="AE22" s="1"/>
    </row>
    <row r="23" spans="1:31" ht="15.75" customHeight="1" x14ac:dyDescent="0.25">
      <c r="A23" s="1"/>
      <c r="B23" s="542" t="s">
        <v>104</v>
      </c>
      <c r="C23" s="538" t="s">
        <v>39</v>
      </c>
      <c r="D23" s="539"/>
      <c r="E23" s="538" t="s">
        <v>40</v>
      </c>
      <c r="F23" s="539"/>
      <c r="G23" s="538" t="s">
        <v>41</v>
      </c>
      <c r="H23" s="539"/>
      <c r="I23" s="538" t="s">
        <v>42</v>
      </c>
      <c r="J23" s="539"/>
      <c r="K23" s="538" t="s">
        <v>43</v>
      </c>
      <c r="L23" s="539"/>
      <c r="M23" s="538" t="s">
        <v>115</v>
      </c>
      <c r="N23" s="539"/>
      <c r="O23" s="538" t="s">
        <v>45</v>
      </c>
      <c r="P23" s="539"/>
      <c r="Q23" s="538" t="s">
        <v>46</v>
      </c>
      <c r="R23" s="539"/>
      <c r="S23" s="538" t="s">
        <v>47</v>
      </c>
      <c r="T23" s="539"/>
      <c r="U23" s="538" t="s">
        <v>48</v>
      </c>
      <c r="V23" s="539"/>
      <c r="W23" s="538" t="s">
        <v>49</v>
      </c>
      <c r="X23" s="539"/>
      <c r="Y23" s="538" t="s">
        <v>116</v>
      </c>
      <c r="Z23" s="539"/>
      <c r="AA23" s="540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43"/>
      <c r="C24" s="264" t="s">
        <v>52</v>
      </c>
      <c r="D24" s="264" t="s">
        <v>100</v>
      </c>
      <c r="E24" s="264" t="s">
        <v>52</v>
      </c>
      <c r="F24" s="264" t="s">
        <v>100</v>
      </c>
      <c r="G24" s="264" t="s">
        <v>52</v>
      </c>
      <c r="H24" s="264" t="s">
        <v>100</v>
      </c>
      <c r="I24" s="264" t="s">
        <v>52</v>
      </c>
      <c r="J24" s="264" t="s">
        <v>100</v>
      </c>
      <c r="K24" s="264" t="s">
        <v>52</v>
      </c>
      <c r="L24" s="264" t="s">
        <v>100</v>
      </c>
      <c r="M24" s="264" t="s">
        <v>52</v>
      </c>
      <c r="N24" s="264" t="s">
        <v>100</v>
      </c>
      <c r="O24" s="264" t="s">
        <v>52</v>
      </c>
      <c r="P24" s="264" t="s">
        <v>100</v>
      </c>
      <c r="Q24" s="264" t="s">
        <v>52</v>
      </c>
      <c r="R24" s="264" t="s">
        <v>100</v>
      </c>
      <c r="S24" s="264" t="s">
        <v>52</v>
      </c>
      <c r="T24" s="264" t="s">
        <v>100</v>
      </c>
      <c r="U24" s="264" t="s">
        <v>52</v>
      </c>
      <c r="V24" s="264" t="s">
        <v>100</v>
      </c>
      <c r="W24" s="264" t="s">
        <v>52</v>
      </c>
      <c r="X24" s="264" t="s">
        <v>100</v>
      </c>
      <c r="Y24" s="264" t="s">
        <v>52</v>
      </c>
      <c r="Z24" s="264" t="s">
        <v>100</v>
      </c>
      <c r="AA24" s="541"/>
      <c r="AB24" s="1"/>
      <c r="AC24" s="1"/>
      <c r="AD24" s="1"/>
      <c r="AE24" s="1"/>
    </row>
    <row r="25" spans="1:31" ht="15.75" customHeight="1" x14ac:dyDescent="0.25">
      <c r="A25" s="1"/>
      <c r="B25" s="31" t="str">
        <f>'Anexo capacidad operativa'!B22</f>
        <v>Desarrollador</v>
      </c>
      <c r="C25" s="349">
        <f>'Anexo capacidad operativa'!C22</f>
        <v>2</v>
      </c>
      <c r="D25" s="74">
        <f>C25*$L$16</f>
        <v>493941.42960000003</v>
      </c>
      <c r="E25" s="258">
        <f>'Anexo capacidad operativa'!E22</f>
        <v>2</v>
      </c>
      <c r="F25" s="74">
        <f t="shared" ref="F25" si="2">E25*$L$16</f>
        <v>493941.42960000003</v>
      </c>
      <c r="G25" s="258">
        <f>'Anexo capacidad operativa'!G22</f>
        <v>2</v>
      </c>
      <c r="H25" s="74">
        <f t="shared" ref="H25" si="3">G25*$L$16</f>
        <v>493941.42960000003</v>
      </c>
      <c r="I25" s="258">
        <f>'Anexo capacidad operativa'!I22</f>
        <v>2</v>
      </c>
      <c r="J25" s="74">
        <f t="shared" ref="J25" si="4">I25*$L$16</f>
        <v>493941.42960000003</v>
      </c>
      <c r="K25" s="258">
        <f>'Anexo capacidad operativa'!K22</f>
        <v>2</v>
      </c>
      <c r="L25" s="74">
        <f t="shared" ref="L25" si="5">K25*$L$16</f>
        <v>493941.42960000003</v>
      </c>
      <c r="M25" s="258">
        <f>'Anexo capacidad operativa'!M22</f>
        <v>2</v>
      </c>
      <c r="N25" s="74">
        <f t="shared" ref="N25" si="6">M25*$L$16</f>
        <v>493941.42960000003</v>
      </c>
      <c r="O25" s="258">
        <f>'Anexo capacidad operativa'!O22</f>
        <v>2</v>
      </c>
      <c r="P25" s="74">
        <f t="shared" ref="P25" si="7">O25*$L$16</f>
        <v>493941.42960000003</v>
      </c>
      <c r="Q25" s="258">
        <f>'Anexo capacidad operativa'!Q22</f>
        <v>2</v>
      </c>
      <c r="R25" s="74">
        <f t="shared" ref="R25" si="8">Q25*$L$16</f>
        <v>493941.42960000003</v>
      </c>
      <c r="S25" s="258">
        <f>'Anexo capacidad operativa'!S22</f>
        <v>2</v>
      </c>
      <c r="T25" s="74">
        <f t="shared" ref="T25" si="9">S25*$L$16</f>
        <v>493941.42960000003</v>
      </c>
      <c r="U25" s="258">
        <f>'Anexo capacidad operativa'!U22</f>
        <v>2</v>
      </c>
      <c r="V25" s="74">
        <f t="shared" ref="V25" si="10">U25*$L$16</f>
        <v>493941.42960000003</v>
      </c>
      <c r="W25" s="258">
        <f>'Anexo capacidad operativa'!W22</f>
        <v>2</v>
      </c>
      <c r="X25" s="74">
        <f t="shared" ref="X25" si="11">W25*$L$16</f>
        <v>493941.42960000003</v>
      </c>
      <c r="Y25" s="258">
        <f>'Anexo capacidad operativa'!Y22</f>
        <v>2</v>
      </c>
      <c r="Z25" s="74">
        <f t="shared" ref="Z25" si="12">Y25*$L$16</f>
        <v>493941.42960000003</v>
      </c>
      <c r="AA25" s="265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25">
      <c r="A26" s="1"/>
      <c r="B26" s="33" t="str">
        <f>'Anexo capacidad operativa'!B23</f>
        <v>Gerente de servicios</v>
      </c>
      <c r="C26" s="349">
        <f>'Anexo capacidad operativa'!C23</f>
        <v>1</v>
      </c>
      <c r="D26" s="74">
        <f>C26*$L$15</f>
        <v>306855.41499999998</v>
      </c>
      <c r="E26" s="258">
        <f>'Anexo capacidad operativa'!E23</f>
        <v>1</v>
      </c>
      <c r="F26" s="74">
        <f>E26*$L$15</f>
        <v>306855.41499999998</v>
      </c>
      <c r="G26" s="258">
        <f>'Anexo capacidad operativa'!G23</f>
        <v>1</v>
      </c>
      <c r="H26" s="74">
        <f>G26*$L$15</f>
        <v>306855.41499999998</v>
      </c>
      <c r="I26" s="258">
        <f>'Anexo capacidad operativa'!I23</f>
        <v>1</v>
      </c>
      <c r="J26" s="74">
        <f>I26*$L$15</f>
        <v>306855.41499999998</v>
      </c>
      <c r="K26" s="258">
        <f>'Anexo capacidad operativa'!K23</f>
        <v>1</v>
      </c>
      <c r="L26" s="74">
        <f>K26*$L$15</f>
        <v>306855.41499999998</v>
      </c>
      <c r="M26" s="258">
        <f>'Anexo capacidad operativa'!M23</f>
        <v>1</v>
      </c>
      <c r="N26" s="74">
        <f>M26*$L$15</f>
        <v>306855.41499999998</v>
      </c>
      <c r="O26" s="258">
        <f>'Anexo capacidad operativa'!O23</f>
        <v>1</v>
      </c>
      <c r="P26" s="74">
        <f>O26*$L$15</f>
        <v>306855.41499999998</v>
      </c>
      <c r="Q26" s="258">
        <f>'Anexo capacidad operativa'!Q23</f>
        <v>1</v>
      </c>
      <c r="R26" s="74">
        <f>Q26*$L$15</f>
        <v>306855.41499999998</v>
      </c>
      <c r="S26" s="258">
        <f>'Anexo capacidad operativa'!S23</f>
        <v>1</v>
      </c>
      <c r="T26" s="74">
        <f>S26*$L$15</f>
        <v>306855.41499999998</v>
      </c>
      <c r="U26" s="258">
        <f>'Anexo capacidad operativa'!U23</f>
        <v>1</v>
      </c>
      <c r="V26" s="74">
        <f>U26*$L$15</f>
        <v>306855.41499999998</v>
      </c>
      <c r="W26" s="258">
        <f>'Anexo capacidad operativa'!W23</f>
        <v>1</v>
      </c>
      <c r="X26" s="74">
        <f>W26*$L$15</f>
        <v>306855.41499999998</v>
      </c>
      <c r="Y26" s="258">
        <f>'Anexo capacidad operativa'!Y23</f>
        <v>1</v>
      </c>
      <c r="Z26" s="74">
        <f>Y26*$L$15</f>
        <v>306855.41499999998</v>
      </c>
      <c r="AA26" s="265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33" t="str">
        <f>'Anexo capacidad operativa'!B24</f>
        <v>Empleado de tecnologia</v>
      </c>
      <c r="C27" s="349">
        <f>'Anexo capacidad operativa'!C24</f>
        <v>1</v>
      </c>
      <c r="D27" s="74">
        <f>C27*$L$17</f>
        <v>112803.82</v>
      </c>
      <c r="E27" s="258">
        <f>'Anexo capacidad operativa'!E24</f>
        <v>1</v>
      </c>
      <c r="F27" s="74">
        <f t="shared" ref="F27" si="13">E27*$L$17</f>
        <v>112803.82</v>
      </c>
      <c r="G27" s="258">
        <f>'Anexo capacidad operativa'!G24</f>
        <v>1</v>
      </c>
      <c r="H27" s="74">
        <f t="shared" ref="H27" si="14">G27*$L$17</f>
        <v>112803.82</v>
      </c>
      <c r="I27" s="258">
        <f>'Anexo capacidad operativa'!I24</f>
        <v>1</v>
      </c>
      <c r="J27" s="74">
        <f t="shared" ref="J27" si="15">I27*$L$17</f>
        <v>112803.82</v>
      </c>
      <c r="K27" s="258">
        <f>'Anexo capacidad operativa'!K24</f>
        <v>1</v>
      </c>
      <c r="L27" s="74">
        <f t="shared" ref="L27" si="16">K27*$L$17</f>
        <v>112803.82</v>
      </c>
      <c r="M27" s="258">
        <f>'Anexo capacidad operativa'!M24</f>
        <v>1</v>
      </c>
      <c r="N27" s="74">
        <f t="shared" ref="N27" si="17">M27*$L$17</f>
        <v>112803.82</v>
      </c>
      <c r="O27" s="258">
        <f>'Anexo capacidad operativa'!O24</f>
        <v>1</v>
      </c>
      <c r="P27" s="74">
        <f t="shared" ref="P27" si="18">O27*$L$17</f>
        <v>112803.82</v>
      </c>
      <c r="Q27" s="258">
        <f>'Anexo capacidad operativa'!Q24</f>
        <v>1</v>
      </c>
      <c r="R27" s="74">
        <f t="shared" ref="R27" si="19">Q27*$L$17</f>
        <v>112803.82</v>
      </c>
      <c r="S27" s="258">
        <f>'Anexo capacidad operativa'!S24</f>
        <v>1</v>
      </c>
      <c r="T27" s="74">
        <f t="shared" ref="T27" si="20">S27*$L$17</f>
        <v>112803.82</v>
      </c>
      <c r="U27" s="258">
        <f>'Anexo capacidad operativa'!U24</f>
        <v>1</v>
      </c>
      <c r="V27" s="74">
        <f t="shared" ref="V27" si="21">U27*$L$17</f>
        <v>112803.82</v>
      </c>
      <c r="W27" s="258">
        <f>'Anexo capacidad operativa'!W24</f>
        <v>1</v>
      </c>
      <c r="X27" s="74">
        <f t="shared" ref="X27" si="22">W27*$L$17</f>
        <v>112803.82</v>
      </c>
      <c r="Y27" s="258">
        <f>'Anexo capacidad operativa'!Y24</f>
        <v>1</v>
      </c>
      <c r="Z27" s="74">
        <f t="shared" ref="Z27" si="23">Y27*$L$17</f>
        <v>112803.82</v>
      </c>
      <c r="AA27" s="265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33" t="str">
        <f>'Anexo capacidad operativa'!B25</f>
        <v>Tester</v>
      </c>
      <c r="C28" s="349">
        <f>'Anexo capacidad operativa'!C25</f>
        <v>1</v>
      </c>
      <c r="D28" s="74">
        <f>$L$14*C28</f>
        <v>128358.4301</v>
      </c>
      <c r="E28" s="258">
        <f>'Anexo capacidad operativa'!E25</f>
        <v>1</v>
      </c>
      <c r="F28" s="74">
        <f>$L$14*E28</f>
        <v>128358.4301</v>
      </c>
      <c r="G28" s="258">
        <f>'Anexo capacidad operativa'!G25</f>
        <v>1</v>
      </c>
      <c r="H28" s="74">
        <f>$L$14*G28</f>
        <v>128358.4301</v>
      </c>
      <c r="I28" s="258">
        <f>'Anexo capacidad operativa'!I25</f>
        <v>1</v>
      </c>
      <c r="J28" s="74">
        <f>$L$14*I28</f>
        <v>128358.4301</v>
      </c>
      <c r="K28" s="258">
        <f>'Anexo capacidad operativa'!K25</f>
        <v>1</v>
      </c>
      <c r="L28" s="74">
        <f>$L$14*K28</f>
        <v>128358.4301</v>
      </c>
      <c r="M28" s="258">
        <f>'Anexo capacidad operativa'!M25</f>
        <v>1</v>
      </c>
      <c r="N28" s="74">
        <f>$L$14*M28</f>
        <v>128358.4301</v>
      </c>
      <c r="O28" s="258">
        <f>'Anexo capacidad operativa'!O25</f>
        <v>1</v>
      </c>
      <c r="P28" s="74">
        <f>$L$14*O28</f>
        <v>128358.4301</v>
      </c>
      <c r="Q28" s="258">
        <f>'Anexo capacidad operativa'!Q25</f>
        <v>1</v>
      </c>
      <c r="R28" s="74">
        <f>$L$14*Q28</f>
        <v>128358.4301</v>
      </c>
      <c r="S28" s="258">
        <f>'Anexo capacidad operativa'!S25</f>
        <v>1</v>
      </c>
      <c r="T28" s="74">
        <f>$L$14*S28</f>
        <v>128358.4301</v>
      </c>
      <c r="U28" s="258">
        <f>'Anexo capacidad operativa'!U25</f>
        <v>1</v>
      </c>
      <c r="V28" s="74">
        <f>$L$14*U28</f>
        <v>128358.4301</v>
      </c>
      <c r="W28" s="258">
        <f>'Anexo capacidad operativa'!W25</f>
        <v>1</v>
      </c>
      <c r="X28" s="74">
        <f>$L$14*W28</f>
        <v>128358.4301</v>
      </c>
      <c r="Y28" s="258">
        <f>'Anexo capacidad operativa'!Y25</f>
        <v>1</v>
      </c>
      <c r="Z28" s="74">
        <f>$L$14*Y28</f>
        <v>128358.4301</v>
      </c>
      <c r="AA28" s="265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33" t="str">
        <f>'Anexo capacidad operativa'!B26</f>
        <v>Empleado administrativo de ventas</v>
      </c>
      <c r="C29" s="349">
        <f>'Anexo capacidad operativa'!C26</f>
        <v>1</v>
      </c>
      <c r="D29" s="74">
        <f>C29*$L$18</f>
        <v>99391.51999999999</v>
      </c>
      <c r="E29" s="258">
        <f>'Anexo capacidad operativa'!E26</f>
        <v>1</v>
      </c>
      <c r="F29" s="74">
        <f t="shared" ref="F29" si="24">E29*$L$18</f>
        <v>99391.51999999999</v>
      </c>
      <c r="G29" s="258">
        <f>'Anexo capacidad operativa'!G26</f>
        <v>1</v>
      </c>
      <c r="H29" s="74">
        <f t="shared" ref="H29" si="25">G29*$L$18</f>
        <v>99391.51999999999</v>
      </c>
      <c r="I29" s="258">
        <f>'Anexo capacidad operativa'!I26</f>
        <v>1</v>
      </c>
      <c r="J29" s="74">
        <f t="shared" ref="J29" si="26">I29*$L$18</f>
        <v>99391.51999999999</v>
      </c>
      <c r="K29" s="258">
        <f>'Anexo capacidad operativa'!K26</f>
        <v>1</v>
      </c>
      <c r="L29" s="74">
        <f t="shared" ref="L29" si="27">K29*$L$18</f>
        <v>99391.51999999999</v>
      </c>
      <c r="M29" s="258">
        <f>'Anexo capacidad operativa'!M26</f>
        <v>1</v>
      </c>
      <c r="N29" s="74">
        <f t="shared" ref="N29" si="28">M29*$L$18</f>
        <v>99391.51999999999</v>
      </c>
      <c r="O29" s="258">
        <f>'Anexo capacidad operativa'!O26</f>
        <v>2</v>
      </c>
      <c r="P29" s="74">
        <f t="shared" ref="P29" si="29">O29*$L$18</f>
        <v>198783.03999999998</v>
      </c>
      <c r="Q29" s="258">
        <f>'Anexo capacidad operativa'!Q26</f>
        <v>2</v>
      </c>
      <c r="R29" s="74">
        <f t="shared" ref="R29" si="30">Q29*$L$18</f>
        <v>198783.03999999998</v>
      </c>
      <c r="S29" s="258">
        <f>'Anexo capacidad operativa'!S26</f>
        <v>2</v>
      </c>
      <c r="T29" s="74">
        <f t="shared" ref="T29" si="31">S29*$L$18</f>
        <v>198783.03999999998</v>
      </c>
      <c r="U29" s="258">
        <f>'Anexo capacidad operativa'!U26</f>
        <v>2</v>
      </c>
      <c r="V29" s="74">
        <f t="shared" ref="V29" si="32">U29*$L$18</f>
        <v>198783.03999999998</v>
      </c>
      <c r="W29" s="258">
        <f>'Anexo capacidad operativa'!W26</f>
        <v>2</v>
      </c>
      <c r="X29" s="74">
        <f t="shared" ref="X29" si="33">W29*$L$18</f>
        <v>198783.03999999998</v>
      </c>
      <c r="Y29" s="258">
        <f>'Anexo capacidad operativa'!Y26</f>
        <v>2</v>
      </c>
      <c r="Z29" s="74">
        <f t="shared" ref="Z29" si="34">Y29*$L$18</f>
        <v>198783.03999999998</v>
      </c>
      <c r="AA29" s="265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66" t="s">
        <v>117</v>
      </c>
      <c r="C30" s="267">
        <f t="shared" ref="C30:Z30" si="35">SUM(C25:C29)</f>
        <v>6</v>
      </c>
      <c r="D30" s="268">
        <f t="shared" si="35"/>
        <v>1141350.6147</v>
      </c>
      <c r="E30" s="267">
        <f t="shared" si="35"/>
        <v>6</v>
      </c>
      <c r="F30" s="268">
        <f t="shared" si="35"/>
        <v>1141350.6147</v>
      </c>
      <c r="G30" s="267">
        <f t="shared" si="35"/>
        <v>6</v>
      </c>
      <c r="H30" s="268">
        <f t="shared" si="35"/>
        <v>1141350.6147</v>
      </c>
      <c r="I30" s="267">
        <f t="shared" si="35"/>
        <v>6</v>
      </c>
      <c r="J30" s="268">
        <f t="shared" si="35"/>
        <v>1141350.6147</v>
      </c>
      <c r="K30" s="267">
        <f t="shared" si="35"/>
        <v>6</v>
      </c>
      <c r="L30" s="268">
        <f t="shared" si="35"/>
        <v>1141350.6147</v>
      </c>
      <c r="M30" s="267">
        <f t="shared" si="35"/>
        <v>6</v>
      </c>
      <c r="N30" s="268">
        <f t="shared" si="35"/>
        <v>1141350.6147</v>
      </c>
      <c r="O30" s="267">
        <f t="shared" si="35"/>
        <v>7</v>
      </c>
      <c r="P30" s="268">
        <f t="shared" si="35"/>
        <v>1240742.1347000001</v>
      </c>
      <c r="Q30" s="267">
        <f t="shared" si="35"/>
        <v>7</v>
      </c>
      <c r="R30" s="268">
        <f t="shared" si="35"/>
        <v>1240742.1347000001</v>
      </c>
      <c r="S30" s="267">
        <f t="shared" si="35"/>
        <v>7</v>
      </c>
      <c r="T30" s="268">
        <f t="shared" si="35"/>
        <v>1240742.1347000001</v>
      </c>
      <c r="U30" s="267">
        <f t="shared" si="35"/>
        <v>7</v>
      </c>
      <c r="V30" s="268">
        <f t="shared" si="35"/>
        <v>1240742.1347000001</v>
      </c>
      <c r="W30" s="267">
        <f t="shared" si="35"/>
        <v>7</v>
      </c>
      <c r="X30" s="268">
        <f t="shared" si="35"/>
        <v>1240742.1347000001</v>
      </c>
      <c r="Y30" s="267">
        <f t="shared" si="35"/>
        <v>7</v>
      </c>
      <c r="Z30" s="268">
        <f t="shared" si="35"/>
        <v>1240742.1347000001</v>
      </c>
      <c r="AA30" s="75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63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  <c r="AA32" s="163"/>
      <c r="AB32" s="1"/>
      <c r="AC32" s="1"/>
      <c r="AD32" s="1"/>
      <c r="AE32" s="1"/>
    </row>
    <row r="33" spans="1:31" ht="15.75" thickBot="1" x14ac:dyDescent="0.3">
      <c r="A33" s="1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  <c r="AA33" s="163"/>
      <c r="AB33" s="163"/>
      <c r="AC33" s="163"/>
      <c r="AD33" s="163"/>
      <c r="AE33" s="163"/>
    </row>
    <row r="34" spans="1:31" ht="27" thickBot="1" x14ac:dyDescent="0.45">
      <c r="A34" s="1"/>
      <c r="B34" s="529" t="s">
        <v>229</v>
      </c>
      <c r="C34" s="530"/>
      <c r="D34" s="530"/>
      <c r="E34" s="530"/>
      <c r="F34" s="530"/>
      <c r="G34" s="530"/>
      <c r="H34" s="530"/>
      <c r="I34" s="530"/>
      <c r="J34" s="530"/>
      <c r="K34" s="530"/>
      <c r="L34" s="530"/>
      <c r="M34" s="530"/>
      <c r="N34" s="530"/>
      <c r="O34" s="530"/>
      <c r="P34" s="530"/>
      <c r="Q34" s="530"/>
      <c r="R34" s="530"/>
      <c r="S34" s="530"/>
      <c r="T34" s="530"/>
      <c r="U34" s="530"/>
      <c r="V34" s="530"/>
      <c r="W34" s="530"/>
      <c r="X34" s="530"/>
      <c r="Y34" s="530"/>
      <c r="Z34" s="530"/>
      <c r="AA34" s="531"/>
      <c r="AB34" s="163"/>
      <c r="AC34" s="163"/>
      <c r="AD34" s="163"/>
      <c r="AE34" s="163"/>
    </row>
    <row r="35" spans="1:31" ht="15.75" x14ac:dyDescent="0.25">
      <c r="A35" s="1"/>
      <c r="B35" s="542" t="s">
        <v>104</v>
      </c>
      <c r="C35" s="538" t="s">
        <v>39</v>
      </c>
      <c r="D35" s="539"/>
      <c r="E35" s="538" t="s">
        <v>40</v>
      </c>
      <c r="F35" s="539"/>
      <c r="G35" s="538" t="s">
        <v>41</v>
      </c>
      <c r="H35" s="539"/>
      <c r="I35" s="538" t="s">
        <v>42</v>
      </c>
      <c r="J35" s="539"/>
      <c r="K35" s="538" t="s">
        <v>43</v>
      </c>
      <c r="L35" s="539"/>
      <c r="M35" s="538" t="s">
        <v>115</v>
      </c>
      <c r="N35" s="539"/>
      <c r="O35" s="538" t="s">
        <v>45</v>
      </c>
      <c r="P35" s="539"/>
      <c r="Q35" s="538" t="s">
        <v>46</v>
      </c>
      <c r="R35" s="539"/>
      <c r="S35" s="538" t="s">
        <v>47</v>
      </c>
      <c r="T35" s="539"/>
      <c r="U35" s="538" t="s">
        <v>48</v>
      </c>
      <c r="V35" s="539"/>
      <c r="W35" s="538" t="s">
        <v>49</v>
      </c>
      <c r="X35" s="539"/>
      <c r="Y35" s="538" t="s">
        <v>116</v>
      </c>
      <c r="Z35" s="539"/>
      <c r="AA35" s="540" t="s">
        <v>94</v>
      </c>
      <c r="AB35" s="163"/>
      <c r="AC35" s="163"/>
      <c r="AD35" s="163"/>
      <c r="AE35" s="163"/>
    </row>
    <row r="36" spans="1:31" ht="16.5" thickBot="1" x14ac:dyDescent="0.3">
      <c r="A36" s="1"/>
      <c r="B36" s="543"/>
      <c r="C36" s="264" t="s">
        <v>52</v>
      </c>
      <c r="D36" s="264" t="s">
        <v>100</v>
      </c>
      <c r="E36" s="264" t="s">
        <v>52</v>
      </c>
      <c r="F36" s="264" t="s">
        <v>100</v>
      </c>
      <c r="G36" s="264" t="s">
        <v>52</v>
      </c>
      <c r="H36" s="264" t="s">
        <v>100</v>
      </c>
      <c r="I36" s="264" t="s">
        <v>52</v>
      </c>
      <c r="J36" s="264" t="s">
        <v>100</v>
      </c>
      <c r="K36" s="264" t="s">
        <v>52</v>
      </c>
      <c r="L36" s="264" t="s">
        <v>100</v>
      </c>
      <c r="M36" s="264" t="s">
        <v>52</v>
      </c>
      <c r="N36" s="264" t="s">
        <v>100</v>
      </c>
      <c r="O36" s="264" t="s">
        <v>52</v>
      </c>
      <c r="P36" s="264" t="s">
        <v>100</v>
      </c>
      <c r="Q36" s="264" t="s">
        <v>52</v>
      </c>
      <c r="R36" s="264" t="s">
        <v>100</v>
      </c>
      <c r="S36" s="264" t="s">
        <v>52</v>
      </c>
      <c r="T36" s="264" t="s">
        <v>100</v>
      </c>
      <c r="U36" s="264" t="s">
        <v>52</v>
      </c>
      <c r="V36" s="264" t="s">
        <v>100</v>
      </c>
      <c r="W36" s="264" t="s">
        <v>52</v>
      </c>
      <c r="X36" s="264" t="s">
        <v>100</v>
      </c>
      <c r="Y36" s="264" t="s">
        <v>52</v>
      </c>
      <c r="Z36" s="264" t="s">
        <v>100</v>
      </c>
      <c r="AA36" s="541"/>
      <c r="AB36" s="163"/>
      <c r="AC36" s="163"/>
      <c r="AD36" s="163"/>
      <c r="AE36" s="163"/>
    </row>
    <row r="37" spans="1:31" x14ac:dyDescent="0.25">
      <c r="A37" s="1"/>
      <c r="B37" s="31" t="str">
        <f>'Anexo capacidad operativa'!B32</f>
        <v>Desarrollador</v>
      </c>
      <c r="C37" s="260">
        <f>'Anexo capacidad operativa'!C32</f>
        <v>2</v>
      </c>
      <c r="D37" s="74">
        <f>C37*$L$16</f>
        <v>493941.42960000003</v>
      </c>
      <c r="E37" s="259">
        <f>'Anexo capacidad operativa'!E32</f>
        <v>2</v>
      </c>
      <c r="F37" s="74">
        <f>E37*$L$16</f>
        <v>493941.42960000003</v>
      </c>
      <c r="G37" s="259">
        <f>'Anexo capacidad operativa'!G32</f>
        <v>2</v>
      </c>
      <c r="H37" s="74">
        <f t="shared" ref="H37" si="36">G37*$L$16</f>
        <v>493941.42960000003</v>
      </c>
      <c r="I37" s="259">
        <f>'Anexo capacidad operativa'!I32</f>
        <v>2</v>
      </c>
      <c r="J37" s="74">
        <f t="shared" ref="J37" si="37">I37*$L$16</f>
        <v>493941.42960000003</v>
      </c>
      <c r="K37" s="259">
        <f>'Anexo capacidad operativa'!K32</f>
        <v>2</v>
      </c>
      <c r="L37" s="74">
        <f t="shared" ref="L37" si="38">K37*$L$16</f>
        <v>493941.42960000003</v>
      </c>
      <c r="M37" s="259">
        <f>'Anexo capacidad operativa'!M32</f>
        <v>3</v>
      </c>
      <c r="N37" s="74">
        <f t="shared" ref="N37" si="39">M37*$L$16</f>
        <v>740912.14440000011</v>
      </c>
      <c r="O37" s="259">
        <f>'Anexo capacidad operativa'!O32</f>
        <v>3</v>
      </c>
      <c r="P37" s="74">
        <f t="shared" ref="P37" si="40">O37*$L$16</f>
        <v>740912.14440000011</v>
      </c>
      <c r="Q37" s="259">
        <f>'Anexo capacidad operativa'!Q32</f>
        <v>3</v>
      </c>
      <c r="R37" s="74">
        <f t="shared" ref="R37" si="41">Q37*$L$16</f>
        <v>740912.14440000011</v>
      </c>
      <c r="S37" s="259">
        <f>'Anexo capacidad operativa'!S32</f>
        <v>3</v>
      </c>
      <c r="T37" s="74">
        <f t="shared" ref="T37" si="42">S37*$L$16</f>
        <v>740912.14440000011</v>
      </c>
      <c r="U37" s="259">
        <f>'Anexo capacidad operativa'!U32</f>
        <v>3</v>
      </c>
      <c r="V37" s="74">
        <f t="shared" ref="V37" si="43">U37*$L$16</f>
        <v>740912.14440000011</v>
      </c>
      <c r="W37" s="259">
        <f>'Anexo capacidad operativa'!W32</f>
        <v>3</v>
      </c>
      <c r="X37" s="74">
        <f t="shared" ref="X37" si="44">W37*$L$16</f>
        <v>740912.14440000011</v>
      </c>
      <c r="Y37" s="259">
        <f>'Anexo capacidad operativa'!Y32</f>
        <v>3</v>
      </c>
      <c r="Z37" s="74">
        <f t="shared" ref="Z37" si="45">Y37*$L$16</f>
        <v>740912.14440000011</v>
      </c>
      <c r="AA37" s="265">
        <f t="shared" ref="AA37:AA41" si="46">D37+F37+H37+J37+L37+N37+P37+R37+T37+V37+X37+Z37</f>
        <v>7656092.1588000022</v>
      </c>
      <c r="AB37" s="163"/>
      <c r="AC37" s="163"/>
      <c r="AD37" s="163"/>
      <c r="AE37" s="163"/>
    </row>
    <row r="38" spans="1:31" ht="15.75" customHeight="1" x14ac:dyDescent="0.25">
      <c r="A38" s="1"/>
      <c r="B38" s="33" t="str">
        <f>'Anexo capacidad operativa'!B33</f>
        <v>Gerente de servicios</v>
      </c>
      <c r="C38" s="260">
        <f>'Anexo capacidad operativa'!C33</f>
        <v>1</v>
      </c>
      <c r="D38" s="74">
        <f>C38*$L$15</f>
        <v>306855.41499999998</v>
      </c>
      <c r="E38" s="259">
        <f>'Anexo capacidad operativa'!E33</f>
        <v>1</v>
      </c>
      <c r="F38" s="74">
        <f>E38*$L$15</f>
        <v>306855.41499999998</v>
      </c>
      <c r="G38" s="259">
        <f>'Anexo capacidad operativa'!G33</f>
        <v>1</v>
      </c>
      <c r="H38" s="74">
        <f>G38*$L$15</f>
        <v>306855.41499999998</v>
      </c>
      <c r="I38" s="259">
        <f>'Anexo capacidad operativa'!I33</f>
        <v>1</v>
      </c>
      <c r="J38" s="74">
        <f>I38*$L$15</f>
        <v>306855.41499999998</v>
      </c>
      <c r="K38" s="259">
        <f>'Anexo capacidad operativa'!K33</f>
        <v>1</v>
      </c>
      <c r="L38" s="74">
        <f>K38*$L$15</f>
        <v>306855.41499999998</v>
      </c>
      <c r="M38" s="259">
        <f>'Anexo capacidad operativa'!M33</f>
        <v>1</v>
      </c>
      <c r="N38" s="74">
        <f>M38*$L$15</f>
        <v>306855.41499999998</v>
      </c>
      <c r="O38" s="259">
        <f>'Anexo capacidad operativa'!O33</f>
        <v>1</v>
      </c>
      <c r="P38" s="74">
        <f>O38*$L$15</f>
        <v>306855.41499999998</v>
      </c>
      <c r="Q38" s="259">
        <f>'Anexo capacidad operativa'!Q33</f>
        <v>1</v>
      </c>
      <c r="R38" s="74">
        <f>Q38*$L$15</f>
        <v>306855.41499999998</v>
      </c>
      <c r="S38" s="259">
        <f>'Anexo capacidad operativa'!S33</f>
        <v>1</v>
      </c>
      <c r="T38" s="74">
        <f>S38*$L$15</f>
        <v>306855.41499999998</v>
      </c>
      <c r="U38" s="259">
        <f>'Anexo capacidad operativa'!U33</f>
        <v>1</v>
      </c>
      <c r="V38" s="74">
        <f>U38*$L$15</f>
        <v>306855.41499999998</v>
      </c>
      <c r="W38" s="259">
        <f>'Anexo capacidad operativa'!W33</f>
        <v>1</v>
      </c>
      <c r="X38" s="74">
        <f>W38*$L$15</f>
        <v>306855.41499999998</v>
      </c>
      <c r="Y38" s="259">
        <f>'Anexo capacidad operativa'!Y33</f>
        <v>1</v>
      </c>
      <c r="Z38" s="74">
        <f>Y38*$L$15</f>
        <v>306855.41499999998</v>
      </c>
      <c r="AA38" s="265">
        <f t="shared" si="46"/>
        <v>3682264.98</v>
      </c>
      <c r="AB38" s="163"/>
      <c r="AC38" s="163"/>
      <c r="AD38" s="163"/>
      <c r="AE38" s="163"/>
    </row>
    <row r="39" spans="1:31" ht="15.75" customHeight="1" x14ac:dyDescent="0.25">
      <c r="A39" s="1"/>
      <c r="B39" s="33" t="str">
        <f>'Anexo capacidad operativa'!B34</f>
        <v>Empleado de tecnologia</v>
      </c>
      <c r="C39" s="260">
        <f>'Anexo capacidad operativa'!C34</f>
        <v>1</v>
      </c>
      <c r="D39" s="74">
        <f>C39*$L$17</f>
        <v>112803.82</v>
      </c>
      <c r="E39" s="259">
        <f>'Anexo capacidad operativa'!E34</f>
        <v>1</v>
      </c>
      <c r="F39" s="74">
        <f>E39*$L$17</f>
        <v>112803.82</v>
      </c>
      <c r="G39" s="259">
        <f>'Anexo capacidad operativa'!G34</f>
        <v>1</v>
      </c>
      <c r="H39" s="74">
        <f t="shared" ref="H39" si="47">G39*$L$17</f>
        <v>112803.82</v>
      </c>
      <c r="I39" s="259">
        <f>'Anexo capacidad operativa'!I34</f>
        <v>1</v>
      </c>
      <c r="J39" s="74">
        <f t="shared" ref="J39" si="48">I39*$L$17</f>
        <v>112803.82</v>
      </c>
      <c r="K39" s="259">
        <f>'Anexo capacidad operativa'!K34</f>
        <v>1</v>
      </c>
      <c r="L39" s="74">
        <f t="shared" ref="L39" si="49">K39*$L$17</f>
        <v>112803.82</v>
      </c>
      <c r="M39" s="259">
        <f>'Anexo capacidad operativa'!M34</f>
        <v>1</v>
      </c>
      <c r="N39" s="74">
        <f t="shared" ref="N39" si="50">M39*$L$17</f>
        <v>112803.82</v>
      </c>
      <c r="O39" s="259">
        <f>'Anexo capacidad operativa'!O34</f>
        <v>1</v>
      </c>
      <c r="P39" s="74">
        <f t="shared" ref="P39" si="51">O39*$L$17</f>
        <v>112803.82</v>
      </c>
      <c r="Q39" s="259">
        <f>'Anexo capacidad operativa'!Q34</f>
        <v>1</v>
      </c>
      <c r="R39" s="74">
        <f t="shared" ref="R39" si="52">Q39*$L$17</f>
        <v>112803.82</v>
      </c>
      <c r="S39" s="259">
        <f>'Anexo capacidad operativa'!S34</f>
        <v>1</v>
      </c>
      <c r="T39" s="74">
        <f t="shared" ref="T39" si="53">S39*$L$17</f>
        <v>112803.82</v>
      </c>
      <c r="U39" s="259">
        <f>'Anexo capacidad operativa'!U34</f>
        <v>1</v>
      </c>
      <c r="V39" s="74">
        <f t="shared" ref="V39" si="54">U39*$L$17</f>
        <v>112803.82</v>
      </c>
      <c r="W39" s="259">
        <f>'Anexo capacidad operativa'!W34</f>
        <v>1</v>
      </c>
      <c r="X39" s="74">
        <f t="shared" ref="X39" si="55">W39*$L$17</f>
        <v>112803.82</v>
      </c>
      <c r="Y39" s="259">
        <f>'Anexo capacidad operativa'!Y34</f>
        <v>1</v>
      </c>
      <c r="Z39" s="74">
        <f t="shared" ref="Z39" si="56">Y39*$L$17</f>
        <v>112803.82</v>
      </c>
      <c r="AA39" s="265">
        <f t="shared" si="46"/>
        <v>1353645.8400000005</v>
      </c>
      <c r="AB39" s="163"/>
      <c r="AC39" s="163"/>
      <c r="AD39" s="163"/>
      <c r="AE39" s="163"/>
    </row>
    <row r="40" spans="1:31" ht="15.75" customHeight="1" x14ac:dyDescent="0.25">
      <c r="A40" s="1"/>
      <c r="B40" s="33" t="str">
        <f>'Anexo capacidad operativa'!B35</f>
        <v>Tester</v>
      </c>
      <c r="C40" s="260">
        <f>'Anexo capacidad operativa'!C35</f>
        <v>1</v>
      </c>
      <c r="D40" s="74">
        <f>$L$14*C40</f>
        <v>128358.4301</v>
      </c>
      <c r="E40" s="260">
        <f>'Anexo capacidad operativa'!E35</f>
        <v>1</v>
      </c>
      <c r="F40" s="74">
        <f>$L$14*E40</f>
        <v>128358.4301</v>
      </c>
      <c r="G40" s="260">
        <f>'Anexo capacidad operativa'!G35</f>
        <v>1</v>
      </c>
      <c r="H40" s="74">
        <f>$L$14*G40</f>
        <v>128358.4301</v>
      </c>
      <c r="I40" s="260">
        <f>'Anexo capacidad operativa'!I35</f>
        <v>1</v>
      </c>
      <c r="J40" s="74">
        <f>$L$14*I40</f>
        <v>128358.4301</v>
      </c>
      <c r="K40" s="260">
        <f>'Anexo capacidad operativa'!K35</f>
        <v>1</v>
      </c>
      <c r="L40" s="74">
        <f>$L$14*K40</f>
        <v>128358.4301</v>
      </c>
      <c r="M40" s="260">
        <f>'Anexo capacidad operativa'!M35</f>
        <v>2</v>
      </c>
      <c r="N40" s="74">
        <f>$L$14*M40</f>
        <v>256716.8602</v>
      </c>
      <c r="O40" s="260">
        <f>'Anexo capacidad operativa'!O35</f>
        <v>2</v>
      </c>
      <c r="P40" s="74">
        <f>$L$14*O40</f>
        <v>256716.8602</v>
      </c>
      <c r="Q40" s="260">
        <f>'Anexo capacidad operativa'!Q35</f>
        <v>2</v>
      </c>
      <c r="R40" s="74">
        <f>$L$14*Q40</f>
        <v>256716.8602</v>
      </c>
      <c r="S40" s="260">
        <f>'Anexo capacidad operativa'!S35</f>
        <v>2</v>
      </c>
      <c r="T40" s="74">
        <f>$L$14*S40</f>
        <v>256716.8602</v>
      </c>
      <c r="U40" s="260">
        <f>'Anexo capacidad operativa'!U35</f>
        <v>2</v>
      </c>
      <c r="V40" s="74">
        <f>$L$14*U40</f>
        <v>256716.8602</v>
      </c>
      <c r="W40" s="260">
        <f>'Anexo capacidad operativa'!W35</f>
        <v>2</v>
      </c>
      <c r="X40" s="74">
        <f>$L$14*W40</f>
        <v>256716.8602</v>
      </c>
      <c r="Y40" s="260">
        <f>'Anexo capacidad operativa'!Y35</f>
        <v>2</v>
      </c>
      <c r="Z40" s="74">
        <f>$L$14*Y40</f>
        <v>256716.8602</v>
      </c>
      <c r="AA40" s="265">
        <f t="shared" si="46"/>
        <v>2438810.1719</v>
      </c>
      <c r="AB40" s="163"/>
      <c r="AC40" s="163"/>
      <c r="AD40" s="163"/>
      <c r="AE40" s="163"/>
    </row>
    <row r="41" spans="1:31" ht="15.75" customHeight="1" x14ac:dyDescent="0.25">
      <c r="A41" s="1"/>
      <c r="B41" s="33" t="str">
        <f>'Anexo capacidad operativa'!B36</f>
        <v>Empleado administrativo de ventas</v>
      </c>
      <c r="C41" s="260">
        <f>'Anexo capacidad operativa'!C36</f>
        <v>2</v>
      </c>
      <c r="D41" s="74">
        <f>C41*$L$18</f>
        <v>198783.03999999998</v>
      </c>
      <c r="E41" s="259">
        <f>'Anexo capacidad operativa'!E36</f>
        <v>2</v>
      </c>
      <c r="F41" s="74">
        <f>E41*$L$18</f>
        <v>198783.03999999998</v>
      </c>
      <c r="G41" s="259">
        <f>'Anexo capacidad operativa'!G36</f>
        <v>2</v>
      </c>
      <c r="H41" s="74">
        <f t="shared" ref="H41" si="57">G41*$L$18</f>
        <v>198783.03999999998</v>
      </c>
      <c r="I41" s="259">
        <f>'Anexo capacidad operativa'!I36</f>
        <v>2</v>
      </c>
      <c r="J41" s="74">
        <f t="shared" ref="J41" si="58">I41*$L$18</f>
        <v>198783.03999999998</v>
      </c>
      <c r="K41" s="259">
        <f>'Anexo capacidad operativa'!K36</f>
        <v>2</v>
      </c>
      <c r="L41" s="74">
        <f t="shared" ref="L41" si="59">K41*$L$18</f>
        <v>198783.03999999998</v>
      </c>
      <c r="M41" s="259">
        <f>'Anexo capacidad operativa'!M36</f>
        <v>3</v>
      </c>
      <c r="N41" s="74">
        <f t="shared" ref="N41" si="60">M41*$L$18</f>
        <v>298174.55999999994</v>
      </c>
      <c r="O41" s="259">
        <f>'Anexo capacidad operativa'!O36</f>
        <v>3</v>
      </c>
      <c r="P41" s="74">
        <f t="shared" ref="P41" si="61">O41*$L$18</f>
        <v>298174.55999999994</v>
      </c>
      <c r="Q41" s="259">
        <f>'Anexo capacidad operativa'!Q36</f>
        <v>3</v>
      </c>
      <c r="R41" s="74">
        <f t="shared" ref="R41" si="62">Q41*$L$18</f>
        <v>298174.55999999994</v>
      </c>
      <c r="S41" s="259">
        <f>'Anexo capacidad operativa'!S36</f>
        <v>3</v>
      </c>
      <c r="T41" s="74">
        <f t="shared" ref="T41" si="63">S41*$L$18</f>
        <v>298174.55999999994</v>
      </c>
      <c r="U41" s="259">
        <f>'Anexo capacidad operativa'!U36</f>
        <v>3</v>
      </c>
      <c r="V41" s="74">
        <f t="shared" ref="V41" si="64">U41*$L$18</f>
        <v>298174.55999999994</v>
      </c>
      <c r="W41" s="259">
        <f>'Anexo capacidad operativa'!W36</f>
        <v>3</v>
      </c>
      <c r="X41" s="74">
        <f t="shared" ref="X41" si="65">W41*$L$18</f>
        <v>298174.55999999994</v>
      </c>
      <c r="Y41" s="259">
        <f>'Anexo capacidad operativa'!Y36</f>
        <v>3</v>
      </c>
      <c r="Z41" s="74">
        <f t="shared" ref="Z41" si="66">Y41*$L$18</f>
        <v>298174.55999999994</v>
      </c>
      <c r="AA41" s="265">
        <f t="shared" si="46"/>
        <v>3081137.12</v>
      </c>
      <c r="AB41" s="163"/>
      <c r="AC41" s="163"/>
      <c r="AD41" s="163"/>
      <c r="AE41" s="163"/>
    </row>
    <row r="42" spans="1:31" ht="15.75" customHeight="1" thickBot="1" x14ac:dyDescent="0.3">
      <c r="A42" s="107"/>
      <c r="B42" s="269" t="s">
        <v>117</v>
      </c>
      <c r="C42" s="270">
        <f t="shared" ref="C42:Z42" si="67">SUM(C37:C41)</f>
        <v>7</v>
      </c>
      <c r="D42" s="268">
        <f t="shared" si="67"/>
        <v>1240742.1347000001</v>
      </c>
      <c r="E42" s="267">
        <f t="shared" si="67"/>
        <v>7</v>
      </c>
      <c r="F42" s="268">
        <f t="shared" si="67"/>
        <v>1240742.1347000001</v>
      </c>
      <c r="G42" s="267">
        <f t="shared" si="67"/>
        <v>7</v>
      </c>
      <c r="H42" s="268">
        <f t="shared" si="67"/>
        <v>1240742.1347000001</v>
      </c>
      <c r="I42" s="267">
        <f t="shared" si="67"/>
        <v>7</v>
      </c>
      <c r="J42" s="268">
        <f t="shared" si="67"/>
        <v>1240742.1347000001</v>
      </c>
      <c r="K42" s="267">
        <f t="shared" si="67"/>
        <v>7</v>
      </c>
      <c r="L42" s="268">
        <f t="shared" si="67"/>
        <v>1240742.1347000001</v>
      </c>
      <c r="M42" s="267">
        <f t="shared" si="67"/>
        <v>10</v>
      </c>
      <c r="N42" s="268">
        <f t="shared" si="67"/>
        <v>1715462.7996</v>
      </c>
      <c r="O42" s="267">
        <f t="shared" si="67"/>
        <v>10</v>
      </c>
      <c r="P42" s="268">
        <f t="shared" si="67"/>
        <v>1715462.7996</v>
      </c>
      <c r="Q42" s="267">
        <f t="shared" si="67"/>
        <v>10</v>
      </c>
      <c r="R42" s="268">
        <f t="shared" si="67"/>
        <v>1715462.7996</v>
      </c>
      <c r="S42" s="267">
        <f t="shared" si="67"/>
        <v>10</v>
      </c>
      <c r="T42" s="268">
        <f t="shared" si="67"/>
        <v>1715462.7996</v>
      </c>
      <c r="U42" s="267">
        <f t="shared" si="67"/>
        <v>10</v>
      </c>
      <c r="V42" s="268">
        <f t="shared" si="67"/>
        <v>1715462.7996</v>
      </c>
      <c r="W42" s="267">
        <f t="shared" si="67"/>
        <v>10</v>
      </c>
      <c r="X42" s="268">
        <f t="shared" si="67"/>
        <v>1715462.7996</v>
      </c>
      <c r="Y42" s="267">
        <f t="shared" si="67"/>
        <v>10</v>
      </c>
      <c r="Z42" s="268">
        <f t="shared" si="67"/>
        <v>1715462.7996</v>
      </c>
      <c r="AA42" s="75">
        <f>Z42+X42+V42+T42+R42+P42+N42+L42+J42+H42+F42+D42</f>
        <v>18211950.2707</v>
      </c>
      <c r="AB42" s="163"/>
      <c r="AC42" s="163"/>
      <c r="AD42" s="163"/>
      <c r="AE42" s="163"/>
    </row>
    <row r="43" spans="1:31" ht="15.75" customHeight="1" x14ac:dyDescent="0.25">
      <c r="A43" s="107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</row>
    <row r="44" spans="1:31" ht="15.75" customHeight="1" x14ac:dyDescent="0.25">
      <c r="A44" s="107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</row>
    <row r="45" spans="1:31" ht="15.75" customHeight="1" thickBot="1" x14ac:dyDescent="0.3">
      <c r="A45" s="1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</row>
    <row r="46" spans="1:31" ht="24" customHeight="1" thickBot="1" x14ac:dyDescent="0.45">
      <c r="A46" s="1"/>
      <c r="B46" s="529" t="s">
        <v>230</v>
      </c>
      <c r="C46" s="530"/>
      <c r="D46" s="530"/>
      <c r="E46" s="530"/>
      <c r="F46" s="530"/>
      <c r="G46" s="530"/>
      <c r="H46" s="530"/>
      <c r="I46" s="530"/>
      <c r="J46" s="530"/>
      <c r="K46" s="530"/>
      <c r="L46" s="530"/>
      <c r="M46" s="530"/>
      <c r="N46" s="530"/>
      <c r="O46" s="530"/>
      <c r="P46" s="530"/>
      <c r="Q46" s="530"/>
      <c r="R46" s="530"/>
      <c r="S46" s="530"/>
      <c r="T46" s="530"/>
      <c r="U46" s="530"/>
      <c r="V46" s="530"/>
      <c r="W46" s="530"/>
      <c r="X46" s="530"/>
      <c r="Y46" s="530"/>
      <c r="Z46" s="530"/>
      <c r="AA46" s="531"/>
      <c r="AB46" s="163"/>
      <c r="AC46" s="163"/>
      <c r="AD46" s="163"/>
      <c r="AE46" s="163"/>
    </row>
    <row r="47" spans="1:31" ht="15.75" customHeight="1" x14ac:dyDescent="0.2">
      <c r="B47" s="542" t="s">
        <v>104</v>
      </c>
      <c r="C47" s="538" t="s">
        <v>39</v>
      </c>
      <c r="D47" s="539"/>
      <c r="E47" s="538" t="s">
        <v>40</v>
      </c>
      <c r="F47" s="539"/>
      <c r="G47" s="538" t="s">
        <v>41</v>
      </c>
      <c r="H47" s="539"/>
      <c r="I47" s="538" t="s">
        <v>42</v>
      </c>
      <c r="J47" s="539"/>
      <c r="K47" s="538" t="s">
        <v>43</v>
      </c>
      <c r="L47" s="539"/>
      <c r="M47" s="538" t="s">
        <v>115</v>
      </c>
      <c r="N47" s="539"/>
      <c r="O47" s="538" t="s">
        <v>45</v>
      </c>
      <c r="P47" s="539"/>
      <c r="Q47" s="538" t="s">
        <v>46</v>
      </c>
      <c r="R47" s="539"/>
      <c r="S47" s="538" t="s">
        <v>47</v>
      </c>
      <c r="T47" s="539"/>
      <c r="U47" s="538" t="s">
        <v>48</v>
      </c>
      <c r="V47" s="539"/>
      <c r="W47" s="538" t="s">
        <v>49</v>
      </c>
      <c r="X47" s="539"/>
      <c r="Y47" s="538" t="s">
        <v>116</v>
      </c>
      <c r="Z47" s="539"/>
      <c r="AA47" s="540" t="s">
        <v>94</v>
      </c>
      <c r="AB47" s="163"/>
      <c r="AC47" s="163"/>
      <c r="AD47" s="163"/>
      <c r="AE47" s="163"/>
    </row>
    <row r="48" spans="1:31" ht="15.75" customHeight="1" thickBot="1" x14ac:dyDescent="0.25">
      <c r="A48" s="163"/>
      <c r="B48" s="543"/>
      <c r="C48" s="264" t="s">
        <v>52</v>
      </c>
      <c r="D48" s="264" t="s">
        <v>100</v>
      </c>
      <c r="E48" s="264" t="s">
        <v>52</v>
      </c>
      <c r="F48" s="264" t="s">
        <v>100</v>
      </c>
      <c r="G48" s="264" t="s">
        <v>52</v>
      </c>
      <c r="H48" s="264" t="s">
        <v>100</v>
      </c>
      <c r="I48" s="264" t="s">
        <v>52</v>
      </c>
      <c r="J48" s="264" t="s">
        <v>100</v>
      </c>
      <c r="K48" s="264" t="s">
        <v>52</v>
      </c>
      <c r="L48" s="264" t="s">
        <v>100</v>
      </c>
      <c r="M48" s="264" t="s">
        <v>52</v>
      </c>
      <c r="N48" s="264" t="s">
        <v>100</v>
      </c>
      <c r="O48" s="264" t="s">
        <v>52</v>
      </c>
      <c r="P48" s="264" t="s">
        <v>100</v>
      </c>
      <c r="Q48" s="264" t="s">
        <v>52</v>
      </c>
      <c r="R48" s="264" t="s">
        <v>100</v>
      </c>
      <c r="S48" s="264" t="s">
        <v>52</v>
      </c>
      <c r="T48" s="264" t="s">
        <v>100</v>
      </c>
      <c r="U48" s="264" t="s">
        <v>52</v>
      </c>
      <c r="V48" s="264" t="s">
        <v>100</v>
      </c>
      <c r="W48" s="264" t="s">
        <v>52</v>
      </c>
      <c r="X48" s="264" t="s">
        <v>100</v>
      </c>
      <c r="Y48" s="264" t="s">
        <v>52</v>
      </c>
      <c r="Z48" s="264" t="s">
        <v>100</v>
      </c>
      <c r="AA48" s="541"/>
      <c r="AB48" s="163"/>
      <c r="AC48" s="163"/>
      <c r="AD48" s="163"/>
      <c r="AE48" s="163"/>
    </row>
    <row r="49" spans="1:31" ht="15.75" customHeight="1" x14ac:dyDescent="0.25">
      <c r="A49" s="163"/>
      <c r="B49" s="31" t="str">
        <f>'Anexo capacidad operativa'!B42</f>
        <v>Desarrollador</v>
      </c>
      <c r="C49" s="260">
        <f>'Anexo capacidad operativa'!C42</f>
        <v>3</v>
      </c>
      <c r="D49" s="74">
        <f>C49*$L$16</f>
        <v>740912.14440000011</v>
      </c>
      <c r="E49" s="259">
        <f>'Anexo capacidad operativa'!E42</f>
        <v>3</v>
      </c>
      <c r="F49" s="74">
        <f t="shared" ref="F49" si="68">E49*$L$16</f>
        <v>740912.14440000011</v>
      </c>
      <c r="G49" s="259">
        <f>'Anexo capacidad operativa'!G42</f>
        <v>3</v>
      </c>
      <c r="H49" s="74">
        <f t="shared" ref="H49" si="69">G49*$L$16</f>
        <v>740912.14440000011</v>
      </c>
      <c r="I49" s="259">
        <f>'Anexo capacidad operativa'!I42</f>
        <v>3</v>
      </c>
      <c r="J49" s="74">
        <f t="shared" ref="J49" si="70">I49*$L$16</f>
        <v>740912.14440000011</v>
      </c>
      <c r="K49" s="259">
        <f>'Anexo capacidad operativa'!K42</f>
        <v>3</v>
      </c>
      <c r="L49" s="74">
        <f t="shared" ref="L49" si="71">K49*$L$16</f>
        <v>740912.14440000011</v>
      </c>
      <c r="M49" s="259">
        <f>'Anexo capacidad operativa'!M42</f>
        <v>3</v>
      </c>
      <c r="N49" s="74">
        <f t="shared" ref="N49" si="72">M49*$L$16</f>
        <v>740912.14440000011</v>
      </c>
      <c r="O49" s="259">
        <f>'Anexo capacidad operativa'!O42</f>
        <v>3</v>
      </c>
      <c r="P49" s="74">
        <f t="shared" ref="P49" si="73">O49*$L$16</f>
        <v>740912.14440000011</v>
      </c>
      <c r="Q49" s="259">
        <f>'Anexo capacidad operativa'!Q42</f>
        <v>3</v>
      </c>
      <c r="R49" s="74">
        <f t="shared" ref="R49" si="74">Q49*$L$16</f>
        <v>740912.14440000011</v>
      </c>
      <c r="S49" s="259">
        <f>'Anexo capacidad operativa'!S42</f>
        <v>3</v>
      </c>
      <c r="T49" s="74">
        <f t="shared" ref="T49" si="75">S49*$L$16</f>
        <v>740912.14440000011</v>
      </c>
      <c r="U49" s="259">
        <f>'Anexo capacidad operativa'!U42</f>
        <v>3</v>
      </c>
      <c r="V49" s="74">
        <f t="shared" ref="V49" si="76">U49*$L$16</f>
        <v>740912.14440000011</v>
      </c>
      <c r="W49" s="259">
        <f>'Anexo capacidad operativa'!W42</f>
        <v>3</v>
      </c>
      <c r="X49" s="74">
        <f t="shared" ref="X49" si="77">W49*$L$16</f>
        <v>740912.14440000011</v>
      </c>
      <c r="Y49" s="259">
        <f>'Anexo capacidad operativa'!Y42</f>
        <v>3</v>
      </c>
      <c r="Z49" s="74">
        <f t="shared" ref="Z49" si="78">Y49*$L$16</f>
        <v>740912.14440000011</v>
      </c>
      <c r="AA49" s="265">
        <f t="shared" ref="AA49:AA53" si="79">D49+F49+H49+J49+L49+N49+P49+R49+T49+V49+X49+Z49</f>
        <v>8890945.7328000031</v>
      </c>
      <c r="AB49" s="163"/>
      <c r="AC49" s="163"/>
      <c r="AD49" s="163"/>
      <c r="AE49" s="163"/>
    </row>
    <row r="50" spans="1:31" ht="15.75" customHeight="1" x14ac:dyDescent="0.25">
      <c r="A50" s="163"/>
      <c r="B50" s="33" t="str">
        <f>'Anexo capacidad operativa'!B43</f>
        <v>Gerente de servicios</v>
      </c>
      <c r="C50" s="260">
        <f>'Anexo capacidad operativa'!C43</f>
        <v>1</v>
      </c>
      <c r="D50" s="74">
        <f>C50*$L$15</f>
        <v>306855.41499999998</v>
      </c>
      <c r="E50" s="259">
        <f>'Anexo capacidad operativa'!E43</f>
        <v>1</v>
      </c>
      <c r="F50" s="74">
        <f>E50*$L$15</f>
        <v>306855.41499999998</v>
      </c>
      <c r="G50" s="259">
        <f>'Anexo capacidad operativa'!G43</f>
        <v>1</v>
      </c>
      <c r="H50" s="74">
        <f>G50*$L$15</f>
        <v>306855.41499999998</v>
      </c>
      <c r="I50" s="259">
        <f>'Anexo capacidad operativa'!I43</f>
        <v>1</v>
      </c>
      <c r="J50" s="74">
        <f>I50*$L$15</f>
        <v>306855.41499999998</v>
      </c>
      <c r="K50" s="259">
        <f>'Anexo capacidad operativa'!K43</f>
        <v>1</v>
      </c>
      <c r="L50" s="74">
        <f>K50*$L$15</f>
        <v>306855.41499999998</v>
      </c>
      <c r="M50" s="259">
        <f>'Anexo capacidad operativa'!M43</f>
        <v>1</v>
      </c>
      <c r="N50" s="74">
        <f>M50*$L$15</f>
        <v>306855.41499999998</v>
      </c>
      <c r="O50" s="259">
        <f>'Anexo capacidad operativa'!O43</f>
        <v>1</v>
      </c>
      <c r="P50" s="74">
        <f>O50*$L$15</f>
        <v>306855.41499999998</v>
      </c>
      <c r="Q50" s="259">
        <f>'Anexo capacidad operativa'!Q43</f>
        <v>1</v>
      </c>
      <c r="R50" s="74">
        <f>Q50*$L$15</f>
        <v>306855.41499999998</v>
      </c>
      <c r="S50" s="259">
        <f>'Anexo capacidad operativa'!S43</f>
        <v>1</v>
      </c>
      <c r="T50" s="74">
        <f>S50*$L$15</f>
        <v>306855.41499999998</v>
      </c>
      <c r="U50" s="259">
        <f>'Anexo capacidad operativa'!U43</f>
        <v>1</v>
      </c>
      <c r="V50" s="74">
        <f>U50*$L$15</f>
        <v>306855.41499999998</v>
      </c>
      <c r="W50" s="259">
        <f>'Anexo capacidad operativa'!W43</f>
        <v>1</v>
      </c>
      <c r="X50" s="74">
        <f>W50*$L$15</f>
        <v>306855.41499999998</v>
      </c>
      <c r="Y50" s="259">
        <f>'Anexo capacidad operativa'!Y43</f>
        <v>1</v>
      </c>
      <c r="Z50" s="74">
        <f>Y50*$L$15</f>
        <v>306855.41499999998</v>
      </c>
      <c r="AA50" s="265">
        <f t="shared" si="79"/>
        <v>3682264.98</v>
      </c>
      <c r="AB50" s="163"/>
      <c r="AC50" s="163"/>
      <c r="AD50" s="163"/>
      <c r="AE50" s="163"/>
    </row>
    <row r="51" spans="1:31" x14ac:dyDescent="0.25">
      <c r="A51" s="163"/>
      <c r="B51" s="33" t="str">
        <f>'Anexo capacidad operativa'!B44</f>
        <v>Empleado de tecnologia</v>
      </c>
      <c r="C51" s="260">
        <f>'Anexo capacidad operativa'!C44</f>
        <v>1</v>
      </c>
      <c r="D51" s="74">
        <f>C51*$L$17</f>
        <v>112803.82</v>
      </c>
      <c r="E51" s="259">
        <f>'Anexo capacidad operativa'!E44</f>
        <v>1</v>
      </c>
      <c r="F51" s="74">
        <f t="shared" ref="F51" si="80">E51*$L$17</f>
        <v>112803.82</v>
      </c>
      <c r="G51" s="259">
        <f>'Anexo capacidad operativa'!G44</f>
        <v>1</v>
      </c>
      <c r="H51" s="74">
        <f t="shared" ref="H51" si="81">G51*$L$17</f>
        <v>112803.82</v>
      </c>
      <c r="I51" s="259">
        <f>'Anexo capacidad operativa'!I44</f>
        <v>1</v>
      </c>
      <c r="J51" s="74">
        <f t="shared" ref="J51" si="82">I51*$L$17</f>
        <v>112803.82</v>
      </c>
      <c r="K51" s="259">
        <f>'Anexo capacidad operativa'!K44</f>
        <v>1</v>
      </c>
      <c r="L51" s="74">
        <f t="shared" ref="L51" si="83">K51*$L$17</f>
        <v>112803.82</v>
      </c>
      <c r="M51" s="259">
        <f>'Anexo capacidad operativa'!M44</f>
        <v>1</v>
      </c>
      <c r="N51" s="74">
        <f t="shared" ref="N51" si="84">M51*$L$17</f>
        <v>112803.82</v>
      </c>
      <c r="O51" s="259">
        <f>'Anexo capacidad operativa'!O44</f>
        <v>1</v>
      </c>
      <c r="P51" s="74">
        <f t="shared" ref="P51" si="85">O51*$L$17</f>
        <v>112803.82</v>
      </c>
      <c r="Q51" s="259">
        <f>'Anexo capacidad operativa'!Q44</f>
        <v>1</v>
      </c>
      <c r="R51" s="74">
        <f t="shared" ref="R51" si="86">Q51*$L$17</f>
        <v>112803.82</v>
      </c>
      <c r="S51" s="259">
        <f>'Anexo capacidad operativa'!S44</f>
        <v>1</v>
      </c>
      <c r="T51" s="74">
        <f t="shared" ref="T51" si="87">S51*$L$17</f>
        <v>112803.82</v>
      </c>
      <c r="U51" s="259">
        <f>'Anexo capacidad operativa'!U44</f>
        <v>1</v>
      </c>
      <c r="V51" s="74">
        <f t="shared" ref="V51" si="88">U51*$L$17</f>
        <v>112803.82</v>
      </c>
      <c r="W51" s="259">
        <f>'Anexo capacidad operativa'!W44</f>
        <v>1</v>
      </c>
      <c r="X51" s="74">
        <f t="shared" ref="X51" si="89">W51*$L$17</f>
        <v>112803.82</v>
      </c>
      <c r="Y51" s="259">
        <f>'Anexo capacidad operativa'!Y44</f>
        <v>1</v>
      </c>
      <c r="Z51" s="74">
        <f t="shared" ref="Z51" si="90">Y51*$L$17</f>
        <v>112803.82</v>
      </c>
      <c r="AA51" s="265">
        <f t="shared" si="79"/>
        <v>1353645.8400000005</v>
      </c>
      <c r="AB51" s="163"/>
      <c r="AC51" s="163"/>
      <c r="AD51" s="163"/>
      <c r="AE51" s="163"/>
    </row>
    <row r="52" spans="1:31" ht="15.75" customHeight="1" x14ac:dyDescent="0.25">
      <c r="A52" s="163"/>
      <c r="B52" s="33" t="str">
        <f>'Anexo capacidad operativa'!B45</f>
        <v>Tester</v>
      </c>
      <c r="C52" s="260">
        <f>'Anexo capacidad operativa'!C45</f>
        <v>2</v>
      </c>
      <c r="D52" s="74">
        <f>$L$14*C52</f>
        <v>256716.8602</v>
      </c>
      <c r="E52" s="260">
        <f>'Anexo capacidad operativa'!E45</f>
        <v>2</v>
      </c>
      <c r="F52" s="74">
        <f>$L$14*E52</f>
        <v>256716.8602</v>
      </c>
      <c r="G52" s="260">
        <f>'Anexo capacidad operativa'!G45</f>
        <v>2</v>
      </c>
      <c r="H52" s="74">
        <f>$L$14*G52</f>
        <v>256716.8602</v>
      </c>
      <c r="I52" s="260">
        <f>'Anexo capacidad operativa'!I45</f>
        <v>2</v>
      </c>
      <c r="J52" s="74">
        <f>$L$14*I52</f>
        <v>256716.8602</v>
      </c>
      <c r="K52" s="260">
        <f>'Anexo capacidad operativa'!K45</f>
        <v>2</v>
      </c>
      <c r="L52" s="74">
        <f>$L$14*K52</f>
        <v>256716.8602</v>
      </c>
      <c r="M52" s="260">
        <f>'Anexo capacidad operativa'!M45</f>
        <v>3</v>
      </c>
      <c r="N52" s="74">
        <f>$L$14*M52</f>
        <v>385075.29029999999</v>
      </c>
      <c r="O52" s="260">
        <f>'Anexo capacidad operativa'!O45</f>
        <v>3</v>
      </c>
      <c r="P52" s="74">
        <f>$L$14*O52</f>
        <v>385075.29029999999</v>
      </c>
      <c r="Q52" s="260">
        <f>'Anexo capacidad operativa'!Q45</f>
        <v>3</v>
      </c>
      <c r="R52" s="74">
        <f>$L$14*Q52</f>
        <v>385075.29029999999</v>
      </c>
      <c r="S52" s="260">
        <f>'Anexo capacidad operativa'!S45</f>
        <v>3</v>
      </c>
      <c r="T52" s="74">
        <f>$L$14*S52</f>
        <v>385075.29029999999</v>
      </c>
      <c r="U52" s="260">
        <f>'Anexo capacidad operativa'!U45</f>
        <v>3</v>
      </c>
      <c r="V52" s="74">
        <f>$L$14*U52</f>
        <v>385075.29029999999</v>
      </c>
      <c r="W52" s="260">
        <f>'Anexo capacidad operativa'!W45</f>
        <v>3</v>
      </c>
      <c r="X52" s="74">
        <f>$L$14*W52</f>
        <v>385075.29029999999</v>
      </c>
      <c r="Y52" s="260">
        <f>'Anexo capacidad operativa'!Y45</f>
        <v>3</v>
      </c>
      <c r="Z52" s="74">
        <f>$L$14*Y52</f>
        <v>385075.29029999999</v>
      </c>
      <c r="AA52" s="265">
        <f t="shared" si="79"/>
        <v>3979111.3330999999</v>
      </c>
      <c r="AB52" s="163"/>
      <c r="AC52" s="163"/>
      <c r="AD52" s="163"/>
      <c r="AE52" s="163"/>
    </row>
    <row r="53" spans="1:31" ht="15.75" customHeight="1" x14ac:dyDescent="0.25">
      <c r="A53" s="163"/>
      <c r="B53" s="33" t="str">
        <f>'Anexo capacidad operativa'!B46</f>
        <v>Empleado administrativo de ventas</v>
      </c>
      <c r="C53" s="260">
        <f>'Anexo capacidad operativa'!C46</f>
        <v>3</v>
      </c>
      <c r="D53" s="74">
        <f>C53*$L$18</f>
        <v>298174.55999999994</v>
      </c>
      <c r="E53" s="259">
        <f>'Anexo capacidad operativa'!E46</f>
        <v>3</v>
      </c>
      <c r="F53" s="74">
        <f t="shared" ref="F53" si="91">E53*$L$18</f>
        <v>298174.55999999994</v>
      </c>
      <c r="G53" s="259">
        <f>'Anexo capacidad operativa'!G46</f>
        <v>3</v>
      </c>
      <c r="H53" s="74">
        <f t="shared" ref="H53" si="92">G53*$L$18</f>
        <v>298174.55999999994</v>
      </c>
      <c r="I53" s="259">
        <f>'Anexo capacidad operativa'!I46</f>
        <v>3</v>
      </c>
      <c r="J53" s="74">
        <f t="shared" ref="J53" si="93">I53*$L$18</f>
        <v>298174.55999999994</v>
      </c>
      <c r="K53" s="259">
        <f>'Anexo capacidad operativa'!K46</f>
        <v>3</v>
      </c>
      <c r="L53" s="74">
        <f t="shared" ref="L53" si="94">K53*$L$18</f>
        <v>298174.55999999994</v>
      </c>
      <c r="M53" s="259">
        <f>'Anexo capacidad operativa'!M46</f>
        <v>3</v>
      </c>
      <c r="N53" s="74">
        <f t="shared" ref="N53" si="95">M53*$L$18</f>
        <v>298174.55999999994</v>
      </c>
      <c r="O53" s="259">
        <f>'Anexo capacidad operativa'!O46</f>
        <v>3</v>
      </c>
      <c r="P53" s="74">
        <f t="shared" ref="P53" si="96">O53*$L$18</f>
        <v>298174.55999999994</v>
      </c>
      <c r="Q53" s="259">
        <f>'Anexo capacidad operativa'!Q46</f>
        <v>3</v>
      </c>
      <c r="R53" s="74">
        <f t="shared" ref="R53" si="97">Q53*$L$18</f>
        <v>298174.55999999994</v>
      </c>
      <c r="S53" s="259">
        <f>'Anexo capacidad operativa'!S46</f>
        <v>3</v>
      </c>
      <c r="T53" s="74">
        <f t="shared" ref="T53" si="98">S53*$L$18</f>
        <v>298174.55999999994</v>
      </c>
      <c r="U53" s="259">
        <f>'Anexo capacidad operativa'!U46</f>
        <v>3</v>
      </c>
      <c r="V53" s="74">
        <f t="shared" ref="V53" si="99">U53*$L$18</f>
        <v>298174.55999999994</v>
      </c>
      <c r="W53" s="259">
        <f>'Anexo capacidad operativa'!W46</f>
        <v>3</v>
      </c>
      <c r="X53" s="74">
        <f t="shared" ref="X53" si="100">W53*$L$18</f>
        <v>298174.55999999994</v>
      </c>
      <c r="Y53" s="259">
        <f>'Anexo capacidad operativa'!Y46</f>
        <v>3</v>
      </c>
      <c r="Z53" s="74">
        <f t="shared" ref="Z53" si="101">Y53*$L$18</f>
        <v>298174.55999999994</v>
      </c>
      <c r="AA53" s="265">
        <f t="shared" si="79"/>
        <v>3578094.72</v>
      </c>
      <c r="AB53" s="163"/>
      <c r="AC53" s="163"/>
      <c r="AD53" s="163"/>
      <c r="AE53" s="163"/>
    </row>
    <row r="54" spans="1:31" ht="15.75" customHeight="1" x14ac:dyDescent="0.25">
      <c r="A54" s="163"/>
      <c r="B54" s="271" t="s">
        <v>117</v>
      </c>
      <c r="C54" s="272">
        <f t="shared" ref="C54:Z54" si="102">SUM(C49:C53)</f>
        <v>10</v>
      </c>
      <c r="D54" s="273">
        <f t="shared" si="102"/>
        <v>1715462.7996</v>
      </c>
      <c r="E54" s="272">
        <f t="shared" si="102"/>
        <v>10</v>
      </c>
      <c r="F54" s="273">
        <f t="shared" si="102"/>
        <v>1715462.7996</v>
      </c>
      <c r="G54" s="272">
        <f t="shared" si="102"/>
        <v>10</v>
      </c>
      <c r="H54" s="273">
        <f t="shared" si="102"/>
        <v>1715462.7996</v>
      </c>
      <c r="I54" s="272">
        <f t="shared" si="102"/>
        <v>10</v>
      </c>
      <c r="J54" s="273">
        <f t="shared" si="102"/>
        <v>1715462.7996</v>
      </c>
      <c r="K54" s="272">
        <f t="shared" si="102"/>
        <v>10</v>
      </c>
      <c r="L54" s="273">
        <f t="shared" si="102"/>
        <v>1715462.7996</v>
      </c>
      <c r="M54" s="272">
        <f t="shared" si="102"/>
        <v>11</v>
      </c>
      <c r="N54" s="273">
        <f t="shared" si="102"/>
        <v>1843821.2297</v>
      </c>
      <c r="O54" s="272">
        <f t="shared" si="102"/>
        <v>11</v>
      </c>
      <c r="P54" s="273">
        <f t="shared" si="102"/>
        <v>1843821.2297</v>
      </c>
      <c r="Q54" s="272">
        <f t="shared" si="102"/>
        <v>11</v>
      </c>
      <c r="R54" s="273">
        <f t="shared" si="102"/>
        <v>1843821.2297</v>
      </c>
      <c r="S54" s="272">
        <f t="shared" si="102"/>
        <v>11</v>
      </c>
      <c r="T54" s="273">
        <f t="shared" si="102"/>
        <v>1843821.2297</v>
      </c>
      <c r="U54" s="272">
        <f t="shared" si="102"/>
        <v>11</v>
      </c>
      <c r="V54" s="273">
        <f t="shared" si="102"/>
        <v>1843821.2297</v>
      </c>
      <c r="W54" s="272">
        <f t="shared" si="102"/>
        <v>11</v>
      </c>
      <c r="X54" s="273">
        <f t="shared" si="102"/>
        <v>1843821.2297</v>
      </c>
      <c r="Y54" s="272">
        <f t="shared" si="102"/>
        <v>11</v>
      </c>
      <c r="Z54" s="273">
        <f t="shared" si="102"/>
        <v>1843821.2297</v>
      </c>
      <c r="AA54" s="115">
        <f>Z54+X54+V54+T54+R54+P54+N54+L54+J54+H54+F54+D54</f>
        <v>21484062.605900001</v>
      </c>
      <c r="AB54" s="163"/>
      <c r="AC54" s="163"/>
      <c r="AD54" s="163"/>
      <c r="AE54" s="163"/>
    </row>
    <row r="55" spans="1:31" ht="15.75" customHeight="1" x14ac:dyDescent="0.25">
      <c r="A55" s="163"/>
      <c r="B55" s="163"/>
      <c r="C55" s="163"/>
      <c r="D55" s="1"/>
      <c r="E55" s="1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</row>
    <row r="56" spans="1:31" ht="15.75" customHeight="1" x14ac:dyDescent="0.25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"/>
      <c r="AE56" s="1"/>
    </row>
    <row r="57" spans="1:31" ht="15.75" customHeight="1" x14ac:dyDescent="0.25">
      <c r="A57" s="163"/>
      <c r="B57" s="1"/>
      <c r="C57" s="1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</row>
    <row r="58" spans="1:31" ht="15.75" customHeight="1" x14ac:dyDescent="0.25">
      <c r="A58" s="163"/>
      <c r="B58" s="1"/>
      <c r="C58" s="1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</row>
    <row r="59" spans="1:31" ht="15.75" customHeight="1" x14ac:dyDescent="0.25">
      <c r="A59" s="163"/>
      <c r="B59" s="107"/>
      <c r="C59" s="107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</row>
    <row r="60" spans="1:31" ht="15.75" customHeight="1" x14ac:dyDescent="0.25">
      <c r="A60" s="163"/>
      <c r="B60" s="107"/>
      <c r="C60" s="107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</row>
    <row r="61" spans="1:31" ht="15.75" customHeight="1" x14ac:dyDescent="0.25">
      <c r="A61" s="163"/>
      <c r="B61" s="1"/>
      <c r="C61" s="1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</row>
    <row r="62" spans="1:31" ht="15.75" customHeight="1" x14ac:dyDescent="0.25">
      <c r="A62" s="163"/>
      <c r="B62" s="1"/>
      <c r="C62" s="1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</row>
    <row r="63" spans="1:31" ht="15.75" customHeight="1" x14ac:dyDescent="0.25">
      <c r="A63" s="163"/>
      <c r="B63" s="1"/>
      <c r="C63" s="1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</row>
    <row r="64" spans="1:31" ht="15.75" customHeight="1" x14ac:dyDescent="0.25">
      <c r="A64" s="163"/>
      <c r="B64" s="1"/>
      <c r="C64" s="1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</row>
    <row r="65" spans="1:28" ht="15.75" customHeight="1" x14ac:dyDescent="0.25">
      <c r="A65" s="163"/>
      <c r="B65" s="1"/>
      <c r="C65" s="1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</row>
    <row r="66" spans="1:28" ht="15.75" customHeight="1" x14ac:dyDescent="0.25">
      <c r="A66" s="1"/>
      <c r="B66" s="1"/>
      <c r="C66" s="1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</row>
    <row r="67" spans="1:28" ht="15.75" customHeight="1" x14ac:dyDescent="0.2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</row>
    <row r="68" spans="1:28" ht="15.75" customHeight="1" x14ac:dyDescent="0.2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</row>
    <row r="69" spans="1:28" ht="15.75" customHeight="1" x14ac:dyDescent="0.2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</row>
    <row r="70" spans="1:28" ht="15.75" customHeight="1" x14ac:dyDescent="0.2"/>
    <row r="71" spans="1:28" ht="15.75" customHeight="1" x14ac:dyDescent="0.2"/>
    <row r="72" spans="1:28" ht="15.75" customHeight="1" x14ac:dyDescent="0.2"/>
    <row r="73" spans="1:28" ht="15.75" customHeight="1" x14ac:dyDescent="0.2"/>
    <row r="74" spans="1:28" ht="15.75" customHeight="1" x14ac:dyDescent="0.2"/>
    <row r="75" spans="1:28" ht="15.75" customHeight="1" x14ac:dyDescent="0.2"/>
    <row r="76" spans="1:28" ht="15.75" customHeight="1" x14ac:dyDescent="0.2"/>
    <row r="77" spans="1:28" ht="15.75" customHeight="1" x14ac:dyDescent="0.2"/>
    <row r="78" spans="1:28" ht="15.75" customHeight="1" x14ac:dyDescent="0.2"/>
    <row r="79" spans="1:28" ht="15.75" customHeight="1" x14ac:dyDescent="0.2"/>
    <row r="80" spans="1:2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AC83" s="1"/>
      <c r="AD83" s="1"/>
    </row>
    <row r="84" spans="1:31" ht="15.75" customHeight="1" x14ac:dyDescent="0.25">
      <c r="A84" s="1"/>
      <c r="AC84" s="1"/>
      <c r="AD84" s="1"/>
    </row>
    <row r="85" spans="1:31" ht="15.75" customHeight="1" x14ac:dyDescent="0.25">
      <c r="A85" s="1"/>
      <c r="AC85" s="1"/>
      <c r="AD85" s="1"/>
    </row>
    <row r="86" spans="1:31" ht="15.75" customHeight="1" x14ac:dyDescent="0.25">
      <c r="A86" s="1"/>
      <c r="AC86" s="1"/>
      <c r="AD86" s="1"/>
      <c r="AE86" s="1"/>
    </row>
    <row r="87" spans="1:31" ht="15.75" customHeight="1" x14ac:dyDescent="0.25">
      <c r="A87" s="1"/>
      <c r="AC87" s="1"/>
      <c r="AD87" s="1"/>
      <c r="AE87" s="1"/>
    </row>
    <row r="88" spans="1:31" ht="15.75" customHeight="1" x14ac:dyDescent="0.25">
      <c r="A88" s="1"/>
      <c r="AC88" s="1"/>
      <c r="AD88" s="1"/>
      <c r="AE88" s="1"/>
    </row>
    <row r="89" spans="1:31" ht="15.75" customHeight="1" x14ac:dyDescent="0.25">
      <c r="A89" s="1"/>
      <c r="AC89" s="1"/>
      <c r="AD89" s="1"/>
      <c r="AE89" s="1"/>
    </row>
    <row r="90" spans="1:31" ht="15.75" customHeight="1" x14ac:dyDescent="0.25">
      <c r="A90" s="1"/>
      <c r="AC90" s="1"/>
      <c r="AD90" s="1"/>
      <c r="AE90" s="1"/>
    </row>
    <row r="91" spans="1:31" ht="15.75" customHeight="1" x14ac:dyDescent="0.25">
      <c r="A91" s="1"/>
      <c r="AC91" s="1"/>
      <c r="AD91" s="1"/>
      <c r="AE91" s="1"/>
    </row>
    <row r="92" spans="1:31" ht="15.75" customHeight="1" x14ac:dyDescent="0.25">
      <c r="A92" s="1"/>
      <c r="AC92" s="1"/>
      <c r="AD92" s="1"/>
      <c r="AE92" s="1"/>
    </row>
    <row r="93" spans="1:31" ht="15.75" customHeight="1" x14ac:dyDescent="0.25">
      <c r="A93" s="1"/>
      <c r="AC93" s="1"/>
      <c r="AD93" s="1"/>
      <c r="AE93" s="1"/>
    </row>
    <row r="94" spans="1:31" ht="15.75" customHeight="1" x14ac:dyDescent="0.25">
      <c r="A94" s="1"/>
      <c r="AC94" s="1"/>
      <c r="AD94" s="1"/>
      <c r="AE94" s="1"/>
    </row>
    <row r="95" spans="1:31" ht="15.75" customHeight="1" x14ac:dyDescent="0.25">
      <c r="A95" s="1"/>
      <c r="AC95" s="1"/>
      <c r="AD95" s="1"/>
      <c r="AE95" s="1"/>
    </row>
    <row r="96" spans="1:31" ht="15.75" customHeight="1" x14ac:dyDescent="0.25">
      <c r="A96" s="1"/>
      <c r="AC96" s="1"/>
      <c r="AD96" s="1"/>
      <c r="AE96" s="1"/>
    </row>
    <row r="97" spans="1:31" ht="15.75" customHeight="1" x14ac:dyDescent="0.25">
      <c r="A97" s="1"/>
      <c r="AC97" s="107"/>
      <c r="AD97" s="107"/>
      <c r="AE97" s="1"/>
    </row>
    <row r="98" spans="1:31" ht="15.75" customHeight="1" x14ac:dyDescent="0.25">
      <c r="A98" s="1"/>
      <c r="AC98" s="107"/>
      <c r="AD98" s="107"/>
      <c r="AE98" s="1"/>
    </row>
    <row r="99" spans="1:31" ht="15.75" customHeight="1" x14ac:dyDescent="0.25">
      <c r="A99" s="1"/>
      <c r="AC99" s="107"/>
      <c r="AD99" s="107"/>
      <c r="AE99" s="1"/>
    </row>
    <row r="100" spans="1:31" ht="15.75" customHeight="1" x14ac:dyDescent="0.25">
      <c r="A100" s="1"/>
      <c r="AC100" s="107"/>
      <c r="AD100" s="107"/>
      <c r="AE100" s="1"/>
    </row>
    <row r="101" spans="1:31" ht="15.75" customHeight="1" x14ac:dyDescent="0.25">
      <c r="A101" s="1"/>
      <c r="AC101" s="107"/>
      <c r="AD101" s="107"/>
      <c r="AE101" s="1"/>
    </row>
    <row r="102" spans="1:31" ht="15.75" customHeight="1" x14ac:dyDescent="0.25">
      <c r="A102" s="1"/>
      <c r="AC102" s="1"/>
      <c r="AD102" s="1"/>
    </row>
    <row r="103" spans="1:31" ht="15.75" customHeight="1" x14ac:dyDescent="0.25">
      <c r="A103" s="1"/>
      <c r="AC103" s="1"/>
      <c r="AD103" s="1"/>
    </row>
    <row r="104" spans="1:31" ht="15.75" customHeight="1" x14ac:dyDescent="0.25">
      <c r="A104" s="1"/>
      <c r="Y104" s="1"/>
      <c r="Z104" s="1"/>
      <c r="AA104" s="1"/>
      <c r="AB104" s="1"/>
    </row>
    <row r="105" spans="1:31" ht="15.75" customHeight="1" x14ac:dyDescent="0.25">
      <c r="A105" s="1"/>
      <c r="Y105" s="1"/>
      <c r="Z105" s="1"/>
      <c r="AA105" s="1"/>
      <c r="AB105" s="1"/>
    </row>
    <row r="106" spans="1:31" ht="15.75" customHeight="1" x14ac:dyDescent="0.25">
      <c r="A106" s="1"/>
      <c r="Y106" s="1"/>
      <c r="Z106" s="1"/>
      <c r="AA106" s="1"/>
      <c r="AB106" s="1"/>
    </row>
    <row r="107" spans="1:31" ht="15.75" customHeight="1" x14ac:dyDescent="0.25">
      <c r="A107" s="1"/>
      <c r="Y107" s="1"/>
      <c r="Z107" s="1"/>
      <c r="AA107" s="1"/>
      <c r="AB107" s="1"/>
    </row>
    <row r="108" spans="1:31" ht="15.75" customHeight="1" x14ac:dyDescent="0.25">
      <c r="A108" s="1"/>
    </row>
    <row r="109" spans="1:31" ht="15.75" customHeight="1" x14ac:dyDescent="0.25">
      <c r="A109" s="1"/>
    </row>
    <row r="110" spans="1:31" ht="15.75" customHeight="1" x14ac:dyDescent="0.25">
      <c r="A110" s="1"/>
    </row>
    <row r="111" spans="1:31" ht="15.75" customHeight="1" x14ac:dyDescent="0.25">
      <c r="A111" s="1"/>
    </row>
    <row r="112" spans="1:31" ht="15.75" customHeight="1" x14ac:dyDescent="0.25">
      <c r="A112" s="1"/>
    </row>
    <row r="113" spans="1:30" ht="15.75" customHeight="1" x14ac:dyDescent="0.25">
      <c r="A113" s="1"/>
    </row>
    <row r="114" spans="1:30" ht="15.75" customHeight="1" x14ac:dyDescent="0.25">
      <c r="A114" s="1"/>
    </row>
    <row r="115" spans="1:30" ht="15.75" customHeight="1" x14ac:dyDescent="0.25">
      <c r="A115" s="1"/>
    </row>
    <row r="116" spans="1:30" ht="15.75" customHeight="1" x14ac:dyDescent="0.25">
      <c r="A116" s="1"/>
    </row>
    <row r="117" spans="1:30" ht="15.75" customHeight="1" x14ac:dyDescent="0.25">
      <c r="A117" s="1"/>
    </row>
    <row r="118" spans="1:30" ht="15.75" customHeight="1" x14ac:dyDescent="0.25">
      <c r="A118" s="1"/>
    </row>
    <row r="119" spans="1:30" ht="15.75" customHeight="1" x14ac:dyDescent="0.25">
      <c r="A119" s="1"/>
    </row>
    <row r="120" spans="1:30" ht="15.75" customHeight="1" x14ac:dyDescent="0.25">
      <c r="A120" s="1"/>
    </row>
    <row r="121" spans="1:30" ht="15.75" customHeight="1" x14ac:dyDescent="0.25">
      <c r="A121" s="1"/>
    </row>
    <row r="122" spans="1:30" ht="15.75" customHeight="1" x14ac:dyDescent="0.25">
      <c r="A122" s="1"/>
    </row>
    <row r="123" spans="1:30" ht="15.75" customHeight="1" x14ac:dyDescent="0.25">
      <c r="A123" s="1"/>
      <c r="AC123" s="1"/>
      <c r="AD123" s="1"/>
    </row>
    <row r="124" spans="1:30" ht="15.75" customHeight="1" x14ac:dyDescent="0.25">
      <c r="A124" s="1"/>
      <c r="AC124" s="1"/>
      <c r="AD124" s="1"/>
    </row>
    <row r="125" spans="1:30" ht="15.75" customHeight="1" x14ac:dyDescent="0.25">
      <c r="A125" s="1"/>
      <c r="B125" s="1"/>
      <c r="AC125" s="1"/>
      <c r="AD125" s="1"/>
    </row>
    <row r="126" spans="1:30" ht="15.75" customHeight="1" x14ac:dyDescent="0.25">
      <c r="A126" s="1"/>
      <c r="B126" s="1"/>
      <c r="AC126" s="1"/>
      <c r="AD126" s="1"/>
    </row>
    <row r="127" spans="1:30" ht="15.75" customHeight="1" x14ac:dyDescent="0.25">
      <c r="A127" s="1"/>
      <c r="B127" s="107"/>
      <c r="AC127" s="107"/>
      <c r="AD127" s="107"/>
    </row>
    <row r="128" spans="1:30" ht="15.75" customHeight="1" x14ac:dyDescent="0.25">
      <c r="A128" s="1"/>
      <c r="B128" s="107"/>
      <c r="AC128" s="107"/>
      <c r="AD128" s="107"/>
    </row>
    <row r="129" spans="1:30" ht="15.75" customHeight="1" x14ac:dyDescent="0.25">
      <c r="A129" s="1"/>
      <c r="B129" s="1"/>
      <c r="AC129" s="1"/>
      <c r="AD129" s="1"/>
    </row>
    <row r="130" spans="1:30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5">
      <c r="A134" s="1"/>
    </row>
    <row r="135" spans="1:30" ht="15.75" customHeight="1" x14ac:dyDescent="0.25">
      <c r="A135" s="1"/>
    </row>
    <row r="136" spans="1:30" ht="15.75" customHeight="1" x14ac:dyDescent="0.25">
      <c r="A136" s="1"/>
    </row>
    <row r="137" spans="1:30" ht="15.75" customHeight="1" x14ac:dyDescent="0.25">
      <c r="A137" s="1"/>
    </row>
    <row r="138" spans="1:30" ht="15.75" customHeight="1" x14ac:dyDescent="0.25">
      <c r="A138" s="1"/>
    </row>
    <row r="139" spans="1:30" ht="15.75" customHeight="1" x14ac:dyDescent="0.25">
      <c r="A139" s="1"/>
    </row>
    <row r="140" spans="1:30" ht="15.75" customHeight="1" x14ac:dyDescent="0.25">
      <c r="A140" s="1"/>
    </row>
    <row r="141" spans="1:30" ht="15.75" customHeight="1" x14ac:dyDescent="0.25">
      <c r="A141" s="1"/>
    </row>
    <row r="142" spans="1:30" ht="15.75" customHeight="1" x14ac:dyDescent="0.25">
      <c r="A142" s="1"/>
    </row>
    <row r="143" spans="1:30" ht="15.75" customHeight="1" x14ac:dyDescent="0.25">
      <c r="A143" s="1"/>
    </row>
    <row r="144" spans="1:30" ht="15.75" customHeight="1" x14ac:dyDescent="0.25">
      <c r="A144" s="1"/>
    </row>
    <row r="145" spans="1:31" ht="15.75" customHeight="1" x14ac:dyDescent="0.25">
      <c r="A145" s="1"/>
    </row>
    <row r="146" spans="1:31" ht="15.75" customHeight="1" x14ac:dyDescent="0.25">
      <c r="A146" s="1"/>
    </row>
    <row r="147" spans="1:31" ht="15.75" customHeight="1" x14ac:dyDescent="0.25">
      <c r="A147" s="1"/>
    </row>
    <row r="148" spans="1:31" ht="15.75" customHeight="1" x14ac:dyDescent="0.25">
      <c r="A148" s="1"/>
    </row>
    <row r="149" spans="1:31" ht="15.75" customHeight="1" x14ac:dyDescent="0.25">
      <c r="A149" s="1"/>
    </row>
    <row r="150" spans="1:31" ht="15.75" customHeight="1" x14ac:dyDescent="0.25">
      <c r="A150" s="1"/>
    </row>
    <row r="151" spans="1:31" ht="15.75" customHeight="1" x14ac:dyDescent="0.25">
      <c r="A151" s="1"/>
    </row>
    <row r="152" spans="1:31" ht="15.75" customHeight="1" x14ac:dyDescent="0.25">
      <c r="A152" s="1"/>
    </row>
    <row r="153" spans="1:31" ht="15.75" customHeight="1" x14ac:dyDescent="0.25">
      <c r="A153" s="1"/>
    </row>
    <row r="154" spans="1:31" ht="15.75" customHeight="1" x14ac:dyDescent="0.25">
      <c r="A154" s="1"/>
    </row>
    <row r="155" spans="1:31" ht="15.75" customHeight="1" x14ac:dyDescent="0.25">
      <c r="A155" s="1"/>
    </row>
    <row r="156" spans="1:31" ht="15.75" customHeight="1" x14ac:dyDescent="0.25">
      <c r="A156" s="1"/>
    </row>
    <row r="157" spans="1:31" ht="15.75" customHeight="1" x14ac:dyDescent="0.25">
      <c r="A157" s="1"/>
    </row>
    <row r="158" spans="1:31" ht="15.75" customHeight="1" x14ac:dyDescent="0.25">
      <c r="A158" s="1"/>
    </row>
    <row r="159" spans="1:31" ht="15.75" customHeight="1" x14ac:dyDescent="0.25">
      <c r="A159" s="1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7:B48"/>
    <mergeCell ref="C47:D47"/>
    <mergeCell ref="E47:F47"/>
    <mergeCell ref="G47:H47"/>
    <mergeCell ref="I47:J47"/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ySplit="1" topLeftCell="A2" activePane="bottomLeft" state="frozen"/>
      <selection pane="bottomLeft" activeCell="K27" sqref="A4:K27"/>
    </sheetView>
  </sheetViews>
  <sheetFormatPr baseColWidth="10" defaultColWidth="12.625" defaultRowHeight="15" customHeight="1" x14ac:dyDescent="0.2"/>
  <cols>
    <col min="1" max="1" width="15.5" customWidth="1"/>
    <col min="2" max="3" width="13.375" customWidth="1"/>
    <col min="4" max="4" width="16.125" customWidth="1"/>
    <col min="5" max="7" width="10" customWidth="1"/>
    <col min="8" max="8" width="13.625" customWidth="1"/>
    <col min="9" max="26" width="10" customWidth="1"/>
  </cols>
  <sheetData>
    <row r="1" spans="1:26" ht="84" customHeight="1" x14ac:dyDescent="0.25">
      <c r="A1" s="551" t="s">
        <v>15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1"/>
      <c r="O1" s="551"/>
      <c r="P1" s="551"/>
      <c r="Q1" s="551"/>
      <c r="R1" s="551"/>
      <c r="S1" s="551"/>
      <c r="T1" s="551"/>
      <c r="U1" s="551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26" t="s">
        <v>118</v>
      </c>
      <c r="C4" s="469"/>
      <c r="D4" s="417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70">
        <v>2022</v>
      </c>
      <c r="C5" s="170">
        <v>2023</v>
      </c>
      <c r="D5" s="170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274" t="s">
        <v>119</v>
      </c>
      <c r="B6" s="76">
        <f>'Costos fijos'!$D$5</f>
        <v>11450400</v>
      </c>
      <c r="C6" s="76">
        <f>'Costos fijos'!P24</f>
        <v>6950400</v>
      </c>
      <c r="D6" s="76">
        <f>'Costos fijos'!P33</f>
        <v>7250400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274" t="s">
        <v>120</v>
      </c>
      <c r="B7" s="76">
        <f>'Costos RRHH'!$E$6</f>
        <v>14292556.496400004</v>
      </c>
      <c r="C7" s="76">
        <f>'Costos RRHH'!$F$6</f>
        <v>18211950.2707</v>
      </c>
      <c r="D7" s="76">
        <f>'Costos RRHH'!$G$6</f>
        <v>21484062.605900001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274" t="s">
        <v>253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274" t="s">
        <v>118</v>
      </c>
      <c r="B9" s="77">
        <f>SUM(B6:B8)</f>
        <v>29432956.496400006</v>
      </c>
      <c r="C9" s="77">
        <f>SUM(C6:C8)</f>
        <v>34102350.2707</v>
      </c>
      <c r="D9" s="77">
        <f>SUM(D6:D8)</f>
        <v>40489462.605900005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274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2"/>
  <sheetViews>
    <sheetView tabSelected="1" zoomScale="85" zoomScaleNormal="85" workbookViewId="0">
      <pane ySplit="1" topLeftCell="A9" activePane="bottomLeft" state="frozen"/>
      <selection pane="bottomLeft" activeCell="B18" sqref="B18"/>
    </sheetView>
  </sheetViews>
  <sheetFormatPr baseColWidth="10" defaultColWidth="12.625" defaultRowHeight="15" customHeight="1" x14ac:dyDescent="0.2"/>
  <cols>
    <col min="1" max="1" width="10" customWidth="1"/>
    <col min="2" max="2" width="52.5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67"/>
      <c r="B1" s="167"/>
      <c r="C1" s="167"/>
      <c r="D1" s="167"/>
      <c r="E1" s="167"/>
      <c r="F1" s="168" t="s">
        <v>16</v>
      </c>
      <c r="G1" s="169"/>
      <c r="H1" s="169"/>
      <c r="I1" s="167"/>
      <c r="J1" s="167"/>
      <c r="K1" s="167"/>
      <c r="L1" s="167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x14ac:dyDescent="0.25">
      <c r="A2" s="1"/>
      <c r="B2" s="1"/>
      <c r="C2" s="1"/>
      <c r="D2" s="1"/>
      <c r="E2" s="1"/>
      <c r="F2" s="1"/>
      <c r="G2" s="276"/>
      <c r="H2" s="276"/>
      <c r="I2" s="276"/>
      <c r="J2" s="27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26" t="s">
        <v>124</v>
      </c>
      <c r="C4" s="469"/>
      <c r="D4" s="469"/>
      <c r="E4" s="469"/>
      <c r="F4" s="417"/>
      <c r="G4" s="1"/>
      <c r="H4" s="552" t="s">
        <v>122</v>
      </c>
      <c r="I4" s="552"/>
      <c r="J4" s="552"/>
      <c r="K4" s="552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5" thickBot="1" x14ac:dyDescent="0.3">
      <c r="A5" s="1"/>
      <c r="B5" s="280" t="s">
        <v>55</v>
      </c>
      <c r="C5" s="281" t="s">
        <v>52</v>
      </c>
      <c r="D5" s="281" t="s">
        <v>125</v>
      </c>
      <c r="E5" s="281" t="s">
        <v>99</v>
      </c>
      <c r="F5" s="282" t="s">
        <v>126</v>
      </c>
      <c r="G5" s="1"/>
      <c r="H5" s="194" t="s">
        <v>123</v>
      </c>
      <c r="I5" s="194">
        <v>2022</v>
      </c>
      <c r="J5" s="194">
        <v>2023</v>
      </c>
      <c r="K5" s="194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10" t="str">
        <f>'Costos fijos'!B11</f>
        <v>Servicios VPN</v>
      </c>
      <c r="C6" s="112">
        <v>1</v>
      </c>
      <c r="D6" s="117">
        <f>'Costos fijos'!C37</f>
        <v>4200</v>
      </c>
      <c r="E6" s="117">
        <f t="shared" ref="E6" si="0">C6*D6</f>
        <v>4200</v>
      </c>
      <c r="F6" s="283" t="s">
        <v>203</v>
      </c>
      <c r="G6" s="1"/>
      <c r="H6" s="295">
        <f>$E$14</f>
        <v>7164746</v>
      </c>
      <c r="I6" s="295">
        <f>E20</f>
        <v>1100000</v>
      </c>
      <c r="J6" s="295">
        <f>E28</f>
        <v>1483839</v>
      </c>
      <c r="K6" s="295">
        <f>E35</f>
        <v>1651517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x14ac:dyDescent="0.25">
      <c r="A7" s="1"/>
      <c r="B7" s="110" t="str">
        <f>'Costos variables'!C11</f>
        <v>Servicio Hosting</v>
      </c>
      <c r="C7" s="112">
        <v>1</v>
      </c>
      <c r="D7" s="117">
        <f>'Costos variables'!D43</f>
        <v>60000</v>
      </c>
      <c r="E7" s="117">
        <f t="shared" ref="E7:E11" si="1">C7*D7</f>
        <v>60000</v>
      </c>
      <c r="F7" s="284" t="s">
        <v>211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x14ac:dyDescent="0.25">
      <c r="A8" s="1"/>
      <c r="B8" s="110" t="str">
        <f>'Costos variables'!C12</f>
        <v>Servicio Monitoreo</v>
      </c>
      <c r="C8" s="112">
        <v>1</v>
      </c>
      <c r="D8" s="117">
        <f>'Costos variables'!D44</f>
        <v>20000</v>
      </c>
      <c r="E8" s="117">
        <f t="shared" si="1"/>
        <v>20000</v>
      </c>
      <c r="F8" s="285" t="s">
        <v>216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x14ac:dyDescent="0.25">
      <c r="A9" s="107"/>
      <c r="B9" s="110" t="str">
        <f>'Costos variables'!C13</f>
        <v>Servicio Repositorio</v>
      </c>
      <c r="C9" s="112">
        <v>1</v>
      </c>
      <c r="D9" s="117">
        <f>'Costos variables'!D45</f>
        <v>35000</v>
      </c>
      <c r="E9" s="117">
        <f t="shared" si="1"/>
        <v>35000</v>
      </c>
      <c r="F9" s="528" t="s">
        <v>211</v>
      </c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</row>
    <row r="10" spans="1:26" x14ac:dyDescent="0.25">
      <c r="A10" s="107"/>
      <c r="B10" s="110" t="str">
        <f>'Costos variables'!C15</f>
        <v>Servicio Cloud serverless</v>
      </c>
      <c r="C10" s="112">
        <v>1</v>
      </c>
      <c r="D10" s="117">
        <f>'Costos variables'!D47</f>
        <v>80000</v>
      </c>
      <c r="E10" s="117">
        <f>'Costos variables'!D47 * C10</f>
        <v>80000</v>
      </c>
      <c r="F10" s="528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</row>
    <row r="11" spans="1:26" x14ac:dyDescent="0.25">
      <c r="A11" s="107"/>
      <c r="B11" s="110" t="str">
        <f>'Costos variables'!C14</f>
        <v>Servicio CD/CI</v>
      </c>
      <c r="C11" s="112">
        <v>1</v>
      </c>
      <c r="D11" s="117">
        <f>'Costos variables'!D46</f>
        <v>15000</v>
      </c>
      <c r="E11" s="117">
        <f t="shared" si="1"/>
        <v>15000</v>
      </c>
      <c r="F11" s="528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</row>
    <row r="12" spans="1:26" ht="15" customHeight="1" x14ac:dyDescent="0.25">
      <c r="A12" s="1"/>
      <c r="B12" s="121" t="s">
        <v>166</v>
      </c>
      <c r="C12" s="122">
        <f>'Costos RRHH'!C30</f>
        <v>6</v>
      </c>
      <c r="D12" s="124">
        <v>183839</v>
      </c>
      <c r="E12" s="124">
        <f>C12*D12</f>
        <v>1103034</v>
      </c>
      <c r="F12" s="119" t="s">
        <v>167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07"/>
      <c r="B13" s="116" t="s">
        <v>164</v>
      </c>
      <c r="C13" s="113">
        <v>1</v>
      </c>
      <c r="D13" s="117">
        <v>5847512</v>
      </c>
      <c r="E13" s="117">
        <f>C13*D13</f>
        <v>5847512</v>
      </c>
      <c r="F13" s="118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thickBot="1" x14ac:dyDescent="0.3">
      <c r="A14" s="1"/>
      <c r="B14" s="553" t="s">
        <v>30</v>
      </c>
      <c r="C14" s="554"/>
      <c r="D14" s="555"/>
      <c r="E14" s="81">
        <f>SUM(E6:E13)</f>
        <v>7164746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29" t="s">
        <v>217</v>
      </c>
      <c r="C16" s="530"/>
      <c r="D16" s="530"/>
      <c r="E16" s="530"/>
      <c r="F16" s="53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80" t="s">
        <v>55</v>
      </c>
      <c r="C17" s="281" t="s">
        <v>52</v>
      </c>
      <c r="D17" s="281" t="s">
        <v>125</v>
      </c>
      <c r="E17" s="281" t="s">
        <v>99</v>
      </c>
      <c r="F17" s="282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110" t="s">
        <v>313</v>
      </c>
      <c r="C18" s="112">
        <v>1</v>
      </c>
      <c r="D18" s="117">
        <f>800000</f>
        <v>800000</v>
      </c>
      <c r="E18" s="117">
        <f>C18*D18</f>
        <v>800000</v>
      </c>
      <c r="F18" s="283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110" t="s">
        <v>262</v>
      </c>
      <c r="C19" s="112">
        <v>1</v>
      </c>
      <c r="D19" s="117">
        <f>300000</f>
        <v>300000</v>
      </c>
      <c r="E19" s="117">
        <f t="shared" ref="E19" si="2">C19*D19</f>
        <v>300000</v>
      </c>
      <c r="F19" s="283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07"/>
      <c r="B20" s="553" t="s">
        <v>30</v>
      </c>
      <c r="C20" s="554"/>
      <c r="D20" s="555"/>
      <c r="E20" s="81">
        <f>SUM(E18:E19)</f>
        <v>1100000</v>
      </c>
      <c r="F20" s="1"/>
      <c r="G20" s="123"/>
      <c r="H20" s="123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 spans="1:26" x14ac:dyDescent="0.25">
      <c r="A21" s="107"/>
      <c r="B21" s="341"/>
      <c r="C21" s="341"/>
      <c r="D21" s="341"/>
      <c r="E21" s="341"/>
      <c r="F21" s="341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 spans="1:26" ht="5.25" customHeight="1" thickBot="1" x14ac:dyDescent="0.3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45">
      <c r="A23" s="1"/>
      <c r="B23" s="529" t="s">
        <v>218</v>
      </c>
      <c r="C23" s="530"/>
      <c r="D23" s="530"/>
      <c r="E23" s="530"/>
      <c r="F23" s="53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25">
      <c r="A24" s="1"/>
      <c r="B24" s="280" t="s">
        <v>55</v>
      </c>
      <c r="C24" s="281" t="s">
        <v>52</v>
      </c>
      <c r="D24" s="281" t="s">
        <v>125</v>
      </c>
      <c r="E24" s="281" t="s">
        <v>99</v>
      </c>
      <c r="F24" s="282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25">
      <c r="A25" s="1"/>
      <c r="B25" s="110" t="s">
        <v>313</v>
      </c>
      <c r="C25" s="112">
        <v>1</v>
      </c>
      <c r="D25" s="117">
        <f>700000</f>
        <v>700000</v>
      </c>
      <c r="E25" s="117">
        <f t="shared" ref="E25:E26" si="3">C25*D25</f>
        <v>700000</v>
      </c>
      <c r="F25" s="283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25">
      <c r="A26" s="1"/>
      <c r="B26" s="110" t="s">
        <v>262</v>
      </c>
      <c r="C26" s="112">
        <v>2</v>
      </c>
      <c r="D26" s="117">
        <f>300000</f>
        <v>300000</v>
      </c>
      <c r="E26" s="117">
        <f t="shared" si="3"/>
        <v>600000</v>
      </c>
      <c r="F26" s="283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25">
      <c r="A27" s="107"/>
      <c r="B27" s="121" t="str">
        <f>B12</f>
        <v>Notebooks</v>
      </c>
      <c r="C27" s="324">
        <f>'Costos RRHH'!C42-C12</f>
        <v>1</v>
      </c>
      <c r="D27" s="124">
        <v>183839</v>
      </c>
      <c r="E27" s="124">
        <f>C27*D27</f>
        <v>183839</v>
      </c>
      <c r="F27" s="119" t="s">
        <v>167</v>
      </c>
      <c r="G27" s="107"/>
      <c r="H27" s="107"/>
      <c r="I27" s="107"/>
      <c r="J27" s="107"/>
      <c r="K27" s="107"/>
      <c r="L27" s="107"/>
      <c r="M27" s="107"/>
      <c r="N27" s="107"/>
      <c r="O27" s="107"/>
      <c r="P27" s="107"/>
    </row>
    <row r="28" spans="1:26" ht="15.75" customHeight="1" thickBot="1" x14ac:dyDescent="0.3">
      <c r="A28" s="1"/>
      <c r="B28" s="553" t="s">
        <v>30</v>
      </c>
      <c r="C28" s="554"/>
      <c r="D28" s="555"/>
      <c r="E28" s="81">
        <f>SUM(E25:E27)</f>
        <v>1483839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45">
      <c r="A30" s="1"/>
      <c r="B30" s="261" t="s">
        <v>219</v>
      </c>
      <c r="C30" s="262"/>
      <c r="D30" s="262"/>
      <c r="E30" s="262"/>
      <c r="F30" s="263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x14ac:dyDescent="0.25">
      <c r="A31" s="1"/>
      <c r="B31" s="280" t="s">
        <v>55</v>
      </c>
      <c r="C31" s="281" t="s">
        <v>52</v>
      </c>
      <c r="D31" s="281" t="s">
        <v>125</v>
      </c>
      <c r="E31" s="281" t="s">
        <v>99</v>
      </c>
      <c r="F31" s="282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25">
      <c r="A32" s="1"/>
      <c r="B32" s="110" t="s">
        <v>263</v>
      </c>
      <c r="C32" s="333">
        <v>1</v>
      </c>
      <c r="D32" s="117">
        <f>500000</f>
        <v>500000</v>
      </c>
      <c r="E32" s="117">
        <f t="shared" ref="E32:E33" si="4">C32*D32</f>
        <v>500000</v>
      </c>
      <c r="F32" s="28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25">
      <c r="A33" s="1"/>
      <c r="B33" s="110" t="s">
        <v>262</v>
      </c>
      <c r="C33" s="112">
        <v>2</v>
      </c>
      <c r="D33" s="117">
        <f>300000</f>
        <v>300000</v>
      </c>
      <c r="E33" s="117">
        <f t="shared" si="4"/>
        <v>600000</v>
      </c>
      <c r="F33" s="28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25">
      <c r="A34" s="1"/>
      <c r="B34" s="121" t="str">
        <f>B27</f>
        <v>Notebooks</v>
      </c>
      <c r="C34" s="324">
        <f>'Costos RRHH'!C54 - C12 - C27</f>
        <v>3</v>
      </c>
      <c r="D34" s="124">
        <f>D27</f>
        <v>183839</v>
      </c>
      <c r="E34" s="117">
        <f t="shared" ref="E34" si="5">D34*C34</f>
        <v>551517</v>
      </c>
      <c r="F34" s="119" t="s">
        <v>167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">
      <c r="A35" s="107"/>
      <c r="B35" s="171" t="s">
        <v>30</v>
      </c>
      <c r="C35" s="286"/>
      <c r="D35" s="287"/>
      <c r="E35" s="81">
        <f>SUM(E32:E34)</f>
        <v>1651517</v>
      </c>
      <c r="F35" s="1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M14" sqref="K9:M14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67"/>
      <c r="B1" s="167"/>
      <c r="C1" s="167"/>
      <c r="D1" s="167"/>
      <c r="E1" s="167"/>
      <c r="F1" s="167"/>
      <c r="G1" s="168" t="s">
        <v>17</v>
      </c>
      <c r="H1" s="169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21"/>
      <c r="C3" s="1"/>
      <c r="D3" s="1"/>
      <c r="E3" s="1"/>
      <c r="F3" s="526" t="s">
        <v>17</v>
      </c>
      <c r="G3" s="469"/>
      <c r="H3" s="417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63"/>
      <c r="Y3" s="163"/>
      <c r="Z3" s="163"/>
    </row>
    <row r="4" spans="1:26" x14ac:dyDescent="0.25">
      <c r="A4" s="1"/>
      <c r="B4" s="61"/>
      <c r="C4" s="1"/>
      <c r="D4" s="1"/>
      <c r="E4" s="1"/>
      <c r="F4" s="277">
        <v>2022</v>
      </c>
      <c r="G4" s="278">
        <v>2023</v>
      </c>
      <c r="H4" s="279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63"/>
      <c r="Y4" s="163"/>
      <c r="Z4" s="163"/>
    </row>
    <row r="5" spans="1:26" ht="15.75" thickBot="1" x14ac:dyDescent="0.3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63"/>
      <c r="Y5" s="163"/>
      <c r="Z5" s="163"/>
    </row>
    <row r="6" spans="1:26" x14ac:dyDescent="0.25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63"/>
      <c r="Y6" s="163"/>
      <c r="Z6" s="163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57" t="s">
        <v>17</v>
      </c>
      <c r="C8" s="558"/>
      <c r="D8" s="558"/>
      <c r="E8" s="558"/>
      <c r="F8" s="558"/>
      <c r="G8" s="558"/>
      <c r="H8" s="558"/>
      <c r="I8" s="558"/>
      <c r="J8" s="558"/>
      <c r="K8" s="558"/>
      <c r="L8" s="558"/>
      <c r="M8" s="55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60" t="s">
        <v>128</v>
      </c>
      <c r="C9" s="560" t="s">
        <v>55</v>
      </c>
      <c r="D9" s="560" t="s">
        <v>52</v>
      </c>
      <c r="E9" s="560" t="s">
        <v>125</v>
      </c>
      <c r="F9" s="561" t="s">
        <v>129</v>
      </c>
      <c r="G9" s="560" t="s">
        <v>130</v>
      </c>
      <c r="H9" s="422"/>
      <c r="I9" s="422"/>
      <c r="J9" s="422"/>
      <c r="K9" s="560" t="s">
        <v>131</v>
      </c>
      <c r="L9" s="422"/>
      <c r="M9" s="422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22"/>
      <c r="C10" s="422"/>
      <c r="D10" s="422"/>
      <c r="E10" s="422"/>
      <c r="F10" s="422"/>
      <c r="G10" s="288" t="s">
        <v>132</v>
      </c>
      <c r="H10" s="288" t="s">
        <v>221</v>
      </c>
      <c r="I10" s="288" t="s">
        <v>222</v>
      </c>
      <c r="J10" s="288" t="s">
        <v>223</v>
      </c>
      <c r="K10" s="288" t="s">
        <v>221</v>
      </c>
      <c r="L10" s="288" t="s">
        <v>222</v>
      </c>
      <c r="M10" s="288" t="s">
        <v>223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62" t="s">
        <v>220</v>
      </c>
      <c r="C11" s="289" t="s">
        <v>165</v>
      </c>
      <c r="D11" s="290">
        <f>'Costos RRHH'!C30</f>
        <v>6</v>
      </c>
      <c r="E11" s="291">
        <f>'Mod. inversión'!D12</f>
        <v>183839</v>
      </c>
      <c r="F11" s="290">
        <v>3</v>
      </c>
      <c r="G11" s="292">
        <f>E11*D11</f>
        <v>1103034</v>
      </c>
      <c r="H11" s="296">
        <v>0</v>
      </c>
      <c r="I11" s="296">
        <v>0</v>
      </c>
      <c r="J11" s="296">
        <v>0</v>
      </c>
      <c r="K11" s="293">
        <f>$G$11/$F$11</f>
        <v>367678</v>
      </c>
      <c r="L11" s="293">
        <f t="shared" ref="L11:M11" si="0">$G$11/$F$11</f>
        <v>367678</v>
      </c>
      <c r="M11" s="293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07"/>
      <c r="B12" s="563"/>
      <c r="C12" s="289" t="s">
        <v>165</v>
      </c>
      <c r="D12" s="290">
        <f>'Costos RRHH'!C42 - D11</f>
        <v>1</v>
      </c>
      <c r="E12" s="291">
        <f>'Mod. inversión'!D12</f>
        <v>183839</v>
      </c>
      <c r="F12" s="290">
        <v>3</v>
      </c>
      <c r="G12" s="296">
        <f>0</f>
        <v>0</v>
      </c>
      <c r="H12" s="296">
        <f>0</f>
        <v>0</v>
      </c>
      <c r="I12" s="292">
        <f>E12*D12</f>
        <v>183839</v>
      </c>
      <c r="J12" s="296">
        <v>0</v>
      </c>
      <c r="K12" s="297">
        <v>0</v>
      </c>
      <c r="L12" s="293">
        <f>$I$12/$F$12</f>
        <v>61279.666666666664</v>
      </c>
      <c r="M12" s="293">
        <f>$I$12/$F$12</f>
        <v>61279.666666666664</v>
      </c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 spans="1:26" ht="15.75" thickBot="1" x14ac:dyDescent="0.3">
      <c r="A13" s="107"/>
      <c r="B13" s="563"/>
      <c r="C13" s="289" t="s">
        <v>165</v>
      </c>
      <c r="D13" s="290">
        <f>'Costos RRHH'!C54 - SUM(D11:D12)</f>
        <v>3</v>
      </c>
      <c r="E13" s="291">
        <f>'Mod. inversión'!D12</f>
        <v>183839</v>
      </c>
      <c r="F13" s="290">
        <v>3</v>
      </c>
      <c r="G13" s="296">
        <f>0</f>
        <v>0</v>
      </c>
      <c r="H13" s="296">
        <f>0</f>
        <v>0</v>
      </c>
      <c r="I13" s="296">
        <f>0</f>
        <v>0</v>
      </c>
      <c r="J13" s="292">
        <f>E13*D13</f>
        <v>551517</v>
      </c>
      <c r="K13" s="297">
        <v>0</v>
      </c>
      <c r="L13" s="297">
        <v>0</v>
      </c>
      <c r="M13" s="293">
        <f>$I$12/$F$12</f>
        <v>61279.666666666664</v>
      </c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spans="1:26" ht="15.75" customHeight="1" thickBot="1" x14ac:dyDescent="0.3">
      <c r="A14" s="1"/>
      <c r="B14" s="556" t="s">
        <v>117</v>
      </c>
      <c r="C14" s="422"/>
      <c r="D14" s="422"/>
      <c r="E14" s="422"/>
      <c r="F14" s="422"/>
      <c r="G14" s="422"/>
      <c r="H14" s="422"/>
      <c r="I14" s="422"/>
      <c r="J14" s="422"/>
      <c r="K14" s="294">
        <f>SUM(K11:K13)</f>
        <v>367678</v>
      </c>
      <c r="L14" s="294">
        <f t="shared" ref="L14:M14" si="1">SUM(L11:L13)</f>
        <v>428957.66666666669</v>
      </c>
      <c r="M14" s="294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2"/>
  <sheetViews>
    <sheetView workbookViewId="0">
      <pane ySplit="1" topLeftCell="A7" activePane="bottomLeft" state="frozen"/>
      <selection pane="bottomLeft" activeCell="G28" sqref="B9:G28"/>
    </sheetView>
  </sheetViews>
  <sheetFormatPr baseColWidth="10" defaultColWidth="12.625" defaultRowHeight="15" customHeight="1" x14ac:dyDescent="0.2"/>
  <cols>
    <col min="1" max="1" width="5.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2.75" customWidth="1"/>
    <col min="10" max="10" width="13.25" customWidth="1"/>
    <col min="11" max="11" width="14.375" customWidth="1"/>
    <col min="12" max="12" width="14.125" customWidth="1"/>
    <col min="13" max="13" width="14.875" customWidth="1"/>
    <col min="14" max="26" width="10" customWidth="1"/>
  </cols>
  <sheetData>
    <row r="1" spans="1:26" ht="74.25" customHeight="1" x14ac:dyDescent="0.25">
      <c r="A1" s="167"/>
      <c r="B1" s="167"/>
      <c r="C1" s="167"/>
      <c r="D1" s="167"/>
      <c r="E1" s="168" t="s">
        <v>133</v>
      </c>
      <c r="F1" s="169"/>
      <c r="G1" s="169"/>
      <c r="H1" s="167"/>
      <c r="I1" s="167"/>
      <c r="J1" s="167"/>
      <c r="K1" s="167"/>
      <c r="L1" s="167"/>
      <c r="M1" s="167"/>
      <c r="N1" s="167"/>
      <c r="O1" s="167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1"/>
      <c r="D3" s="1"/>
      <c r="E3" s="1"/>
      <c r="F3" s="1"/>
      <c r="G3" s="1"/>
      <c r="H3" s="44"/>
      <c r="I3" s="1"/>
      <c r="J3" s="1"/>
      <c r="K3" s="526" t="s">
        <v>51</v>
      </c>
      <c r="L3" s="469"/>
      <c r="M3" s="417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61"/>
      <c r="I4" s="1"/>
      <c r="J4" s="1"/>
      <c r="K4" s="170">
        <v>2022</v>
      </c>
      <c r="L4" s="170">
        <v>2023</v>
      </c>
      <c r="M4" s="170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70"/>
      <c r="I5" s="1"/>
      <c r="J5" s="1"/>
      <c r="K5" s="337">
        <f>'Mod. ingresos'!C20</f>
        <v>23910000</v>
      </c>
      <c r="L5" s="337">
        <f>'Mod. ingresos'!D20</f>
        <v>72900000</v>
      </c>
      <c r="M5" s="337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" thickBot="1" x14ac:dyDescent="0.45">
      <c r="A7" s="1"/>
      <c r="B7" s="1"/>
      <c r="C7" s="1"/>
      <c r="D7" s="1"/>
      <c r="E7" s="1"/>
      <c r="F7" s="1"/>
      <c r="G7" s="1"/>
      <c r="H7" s="44"/>
      <c r="I7" s="1"/>
      <c r="J7" s="1"/>
      <c r="K7" s="526" t="s">
        <v>134</v>
      </c>
      <c r="L7" s="469"/>
      <c r="M7" s="417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61"/>
      <c r="I8" s="1"/>
      <c r="J8" s="1"/>
      <c r="K8" s="170">
        <v>2022</v>
      </c>
      <c r="L8" s="170">
        <v>2023</v>
      </c>
      <c r="M8" s="170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24" t="s">
        <v>133</v>
      </c>
      <c r="C9" s="422"/>
      <c r="D9" s="422"/>
      <c r="E9" s="422"/>
      <c r="F9" s="422"/>
      <c r="G9" s="422"/>
      <c r="H9" s="70"/>
      <c r="I9" s="1"/>
      <c r="J9" s="299" t="s">
        <v>135</v>
      </c>
      <c r="K9" s="83">
        <f>'Costos fijos'!$D$5</f>
        <v>11450400</v>
      </c>
      <c r="L9" s="62">
        <f>'Costos fijos'!P24</f>
        <v>6950400</v>
      </c>
      <c r="M9" s="84">
        <f>'Costos fijos'!P33</f>
        <v>7250400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">
      <c r="A10" s="1"/>
      <c r="B10" s="567" t="s">
        <v>136</v>
      </c>
      <c r="C10" s="422"/>
      <c r="D10" s="194" t="s">
        <v>137</v>
      </c>
      <c r="E10" s="194">
        <v>2022</v>
      </c>
      <c r="F10" s="194">
        <v>2023</v>
      </c>
      <c r="G10" s="194">
        <v>2024</v>
      </c>
      <c r="H10" s="1"/>
      <c r="I10" s="1"/>
      <c r="J10" s="170" t="s">
        <v>253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68" t="s">
        <v>51</v>
      </c>
      <c r="C11" s="400"/>
      <c r="D11" s="290" t="s">
        <v>127</v>
      </c>
      <c r="E11" s="295">
        <f>+'Mod. ingresos'!C20</f>
        <v>23910000</v>
      </c>
      <c r="F11" s="295">
        <f>+'Mod. ingresos'!D20</f>
        <v>72900000</v>
      </c>
      <c r="G11" s="295">
        <f>+'Mod. ingresos'!E20</f>
        <v>123780000</v>
      </c>
      <c r="H11" s="1"/>
      <c r="I11" s="1"/>
      <c r="J11" s="570" t="s">
        <v>120</v>
      </c>
      <c r="K11" s="572">
        <f>'Costos RRHH'!$E$6</f>
        <v>14292556.496400004</v>
      </c>
      <c r="L11" s="574">
        <f>'Costos RRHH'!$F$6</f>
        <v>18211950.2707</v>
      </c>
      <c r="M11" s="576">
        <f>'Costos RRHH'!$G$6</f>
        <v>21484062.605900001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">
      <c r="A12" s="1"/>
      <c r="B12" s="569" t="s">
        <v>138</v>
      </c>
      <c r="C12" s="578" t="s">
        <v>135</v>
      </c>
      <c r="D12" s="578" t="s">
        <v>127</v>
      </c>
      <c r="E12" s="579">
        <f>K9</f>
        <v>11450400</v>
      </c>
      <c r="F12" s="579">
        <f>L9</f>
        <v>6950400</v>
      </c>
      <c r="G12" s="579">
        <f>M9</f>
        <v>7250400</v>
      </c>
      <c r="H12" s="1"/>
      <c r="I12" s="1"/>
      <c r="J12" s="571"/>
      <c r="K12" s="573"/>
      <c r="L12" s="575"/>
      <c r="M12" s="577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thickBot="1" x14ac:dyDescent="0.3">
      <c r="A13" s="1"/>
      <c r="B13" s="400"/>
      <c r="C13" s="578"/>
      <c r="D13" s="578"/>
      <c r="E13" s="579"/>
      <c r="F13" s="579"/>
      <c r="G13" s="579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thickBot="1" x14ac:dyDescent="0.45">
      <c r="A14" s="107"/>
      <c r="B14" s="400"/>
      <c r="C14" s="290" t="s">
        <v>253</v>
      </c>
      <c r="D14" s="290" t="s">
        <v>127</v>
      </c>
      <c r="E14" s="325">
        <f>'Costos variables'!Q16</f>
        <v>3690000</v>
      </c>
      <c r="F14" s="325">
        <f>'Costos variables'!Q26</f>
        <v>8940000</v>
      </c>
      <c r="G14" s="325">
        <f>'Costos variables'!Q36</f>
        <v>11755000</v>
      </c>
      <c r="H14" s="107"/>
      <c r="I14" s="107"/>
      <c r="J14" s="1"/>
      <c r="K14" s="526" t="s">
        <v>17</v>
      </c>
      <c r="L14" s="469"/>
      <c r="M14" s="417"/>
      <c r="N14" s="107"/>
      <c r="O14" s="107"/>
      <c r="P14" s="107"/>
      <c r="Q14" s="107"/>
      <c r="R14" s="107"/>
      <c r="S14" s="107"/>
      <c r="T14" s="107"/>
      <c r="U14" s="107"/>
      <c r="V14" s="107"/>
      <c r="W14" s="107"/>
    </row>
    <row r="15" spans="1:26" ht="15.75" thickBot="1" x14ac:dyDescent="0.3">
      <c r="A15" s="1"/>
      <c r="B15" s="400"/>
      <c r="C15" s="290" t="s">
        <v>120</v>
      </c>
      <c r="D15" s="290" t="s">
        <v>127</v>
      </c>
      <c r="E15" s="295">
        <f>K11</f>
        <v>14292556.496400004</v>
      </c>
      <c r="F15" s="295">
        <f>L11</f>
        <v>18211950.2707</v>
      </c>
      <c r="G15" s="295">
        <f>M11</f>
        <v>21484062.605900001</v>
      </c>
      <c r="H15" s="1"/>
      <c r="I15" s="1"/>
      <c r="J15" s="107"/>
      <c r="K15" s="170">
        <v>2022</v>
      </c>
      <c r="L15" s="170">
        <v>2023</v>
      </c>
      <c r="M15" s="170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thickBot="1" x14ac:dyDescent="0.3">
      <c r="A16" s="107"/>
      <c r="B16" s="564" t="s">
        <v>260</v>
      </c>
      <c r="C16" s="564"/>
      <c r="D16" s="327"/>
      <c r="E16" s="328">
        <f t="shared" ref="E16:F16" si="0">SUM(E12:E15)</f>
        <v>29432956.496400006</v>
      </c>
      <c r="F16" s="328">
        <f t="shared" si="0"/>
        <v>34102350.2707</v>
      </c>
      <c r="G16" s="328">
        <f>SUM(G12:G15)</f>
        <v>40489462.605900005</v>
      </c>
      <c r="H16" s="107"/>
      <c r="I16" s="107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7"/>
      <c r="O16" s="107"/>
      <c r="P16" s="107"/>
      <c r="Q16" s="107"/>
      <c r="R16" s="107"/>
      <c r="S16" s="107"/>
      <c r="T16" s="107"/>
      <c r="U16" s="107"/>
      <c r="V16" s="107"/>
      <c r="W16" s="107"/>
    </row>
    <row r="17" spans="1:26" ht="15.75" thickBot="1" x14ac:dyDescent="0.3">
      <c r="A17" s="1"/>
      <c r="B17" s="565" t="s">
        <v>139</v>
      </c>
      <c r="C17" s="400"/>
      <c r="D17" s="326" t="s">
        <v>127</v>
      </c>
      <c r="E17" s="292">
        <f t="shared" ref="E17:F17" si="1">E11-E16</f>
        <v>-5522956.4964000061</v>
      </c>
      <c r="F17" s="292">
        <f t="shared" si="1"/>
        <v>38797649.7293</v>
      </c>
      <c r="G17" s="292">
        <f>G11-G16</f>
        <v>83290537.394099995</v>
      </c>
      <c r="H17" s="1"/>
      <c r="I17" s="1"/>
      <c r="J17" s="107"/>
      <c r="K17" s="163"/>
      <c r="L17" s="163"/>
      <c r="M17" s="163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A18" s="1"/>
      <c r="B18" s="566" t="s">
        <v>140</v>
      </c>
      <c r="C18" s="400"/>
      <c r="D18" s="290" t="s">
        <v>127</v>
      </c>
      <c r="E18" s="295">
        <f>E11*0.03</f>
        <v>717300</v>
      </c>
      <c r="F18" s="295">
        <f>F11*0.03</f>
        <v>2187000</v>
      </c>
      <c r="G18" s="295">
        <f>G11*0.03</f>
        <v>3713400</v>
      </c>
      <c r="H18" s="1"/>
      <c r="I18" s="1"/>
      <c r="J18" s="261" t="s">
        <v>122</v>
      </c>
      <c r="K18" s="262"/>
      <c r="L18" s="262"/>
      <c r="M18" s="26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thickBot="1" x14ac:dyDescent="0.3">
      <c r="A19" s="1"/>
      <c r="B19" s="566" t="s">
        <v>141</v>
      </c>
      <c r="C19" s="400"/>
      <c r="D19" s="290" t="s">
        <v>127</v>
      </c>
      <c r="E19" s="295">
        <v>0</v>
      </c>
      <c r="F19" s="295">
        <f>(E17-E18)*0.35</f>
        <v>-2184089.773740002</v>
      </c>
      <c r="G19" s="295">
        <f>(F17-F18)*0.35</f>
        <v>12813727.405254999</v>
      </c>
      <c r="H19" s="1"/>
      <c r="I19" s="1"/>
      <c r="J19" s="277" t="s">
        <v>123</v>
      </c>
      <c r="K19" s="278">
        <v>2022</v>
      </c>
      <c r="L19" s="278">
        <v>2023</v>
      </c>
      <c r="M19" s="279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thickBot="1" x14ac:dyDescent="0.3">
      <c r="A20" s="1"/>
      <c r="B20" s="565" t="s">
        <v>142</v>
      </c>
      <c r="C20" s="400"/>
      <c r="D20" s="326" t="s">
        <v>127</v>
      </c>
      <c r="E20" s="292">
        <f>E17-E18-E19</f>
        <v>-6240256.4964000061</v>
      </c>
      <c r="F20" s="292">
        <f>F17-F18-F19</f>
        <v>38794739.503040001</v>
      </c>
      <c r="G20" s="292">
        <f>G17-G18-G19</f>
        <v>66763409.988844998</v>
      </c>
      <c r="H20" s="1"/>
      <c r="I20" s="1"/>
      <c r="J20" s="78">
        <f>'Mod. inversión'!$H$6</f>
        <v>7164746</v>
      </c>
      <c r="K20" s="79">
        <f>'Mod. inversión'!$I$6</f>
        <v>1100000</v>
      </c>
      <c r="L20" s="79">
        <f>'Mod. inversión'!$J$6</f>
        <v>1483839</v>
      </c>
      <c r="M20" s="80">
        <f>'Mod. inversión'!K6</f>
        <v>1651517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A21" s="1"/>
      <c r="B21" s="566" t="s">
        <v>143</v>
      </c>
      <c r="C21" s="400"/>
      <c r="D21" s="295">
        <f>-J20</f>
        <v>-7164746</v>
      </c>
      <c r="E21" s="295">
        <f>-K20</f>
        <v>-1100000</v>
      </c>
      <c r="F21" s="295">
        <f>-L20</f>
        <v>-1483839</v>
      </c>
      <c r="G21" s="295">
        <f>-M20</f>
        <v>-1651517</v>
      </c>
      <c r="H21" s="1"/>
      <c r="I21" s="1"/>
      <c r="J21" s="346"/>
      <c r="K21" s="346"/>
      <c r="L21" s="346"/>
      <c r="M21" s="346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565" t="s">
        <v>144</v>
      </c>
      <c r="C22" s="400"/>
      <c r="D22" s="292">
        <f>D21</f>
        <v>-7164746</v>
      </c>
      <c r="E22" s="292">
        <f t="shared" ref="E22:F22" si="2">E20+E21</f>
        <v>-7340256.4964000061</v>
      </c>
      <c r="F22" s="292">
        <f t="shared" si="2"/>
        <v>37310900.503040001</v>
      </c>
      <c r="G22" s="292">
        <f>G20+G21</f>
        <v>65111892.988844998</v>
      </c>
      <c r="H22" s="1"/>
      <c r="I22" s="1"/>
      <c r="J22" s="347"/>
      <c r="K22" s="347"/>
      <c r="L22" s="347"/>
      <c r="M22" s="34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20"/>
      <c r="K25" s="120"/>
      <c r="L25" s="12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1"/>
      <c r="I26" s="1"/>
      <c r="J26" s="120"/>
      <c r="K26" s="120"/>
      <c r="L26" s="12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1510263.0133254614</v>
      </c>
      <c r="H27" s="1"/>
      <c r="I27" s="1"/>
      <c r="J27" s="120"/>
      <c r="K27" s="120"/>
      <c r="L27" s="120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1.5042047945361188</v>
      </c>
      <c r="H28" s="1"/>
      <c r="I28" s="1"/>
      <c r="J28" s="120"/>
      <c r="K28" s="120"/>
      <c r="L28" s="12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20"/>
      <c r="E31" s="120"/>
      <c r="F31" s="120"/>
      <c r="G31" s="12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25">
      <c r="A32" s="1"/>
      <c r="B32" s="1"/>
      <c r="C32" s="1"/>
      <c r="D32" s="120"/>
      <c r="E32" s="1"/>
      <c r="F32" s="104"/>
      <c r="G32" s="1"/>
      <c r="H32" s="1"/>
      <c r="I32" s="104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20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28"/>
      <c r="E36" s="28"/>
      <c r="F36" s="28"/>
      <c r="G36" s="28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05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25">
      <c r="J1002" s="1"/>
      <c r="K1002" s="1"/>
      <c r="L1002" s="1"/>
      <c r="M1002" s="1"/>
    </row>
  </sheetData>
  <mergeCells count="23">
    <mergeCell ref="L11:L12"/>
    <mergeCell ref="M11:M12"/>
    <mergeCell ref="C12:C13"/>
    <mergeCell ref="D12:D13"/>
    <mergeCell ref="E12:E13"/>
    <mergeCell ref="F12:F13"/>
    <mergeCell ref="G12:G13"/>
    <mergeCell ref="B16:C16"/>
    <mergeCell ref="B20:C20"/>
    <mergeCell ref="B21:C21"/>
    <mergeCell ref="B22:C22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J11:J12"/>
    <mergeCell ref="K11:K12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11" sqref="C11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67"/>
      <c r="B1" s="167"/>
      <c r="C1" s="167"/>
      <c r="D1" s="168" t="s">
        <v>19</v>
      </c>
      <c r="E1" s="167"/>
      <c r="F1" s="167"/>
      <c r="G1" s="169"/>
      <c r="H1" s="169"/>
      <c r="I1" s="167"/>
      <c r="J1" s="167"/>
      <c r="K1" s="167"/>
      <c r="L1" s="167"/>
      <c r="M1" s="167"/>
      <c r="N1" s="167"/>
      <c r="O1" s="275"/>
      <c r="P1" s="27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80" t="s">
        <v>19</v>
      </c>
      <c r="C4" s="469"/>
      <c r="D4" s="469"/>
      <c r="E4" s="469"/>
      <c r="F4" s="469"/>
      <c r="G4" s="417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304" t="s">
        <v>148</v>
      </c>
      <c r="C5" s="305" t="s">
        <v>149</v>
      </c>
      <c r="D5" s="305" t="s">
        <v>150</v>
      </c>
      <c r="E5" s="305" t="s">
        <v>151</v>
      </c>
      <c r="F5" s="366" t="s">
        <v>152</v>
      </c>
      <c r="G5" s="351" t="s">
        <v>153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" customHeight="1" thickBot="1" x14ac:dyDescent="0.3">
      <c r="A6" s="1"/>
      <c r="B6" s="306">
        <v>1</v>
      </c>
      <c r="C6" s="358" t="s">
        <v>316</v>
      </c>
      <c r="D6" s="354" t="s">
        <v>317</v>
      </c>
      <c r="E6" s="354" t="s">
        <v>314</v>
      </c>
      <c r="F6" s="368" t="s">
        <v>288</v>
      </c>
      <c r="G6" s="368" t="s">
        <v>240</v>
      </c>
      <c r="H6" s="10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0.75" thickBot="1" x14ac:dyDescent="0.3">
      <c r="A7" s="1"/>
      <c r="B7" s="306">
        <v>2</v>
      </c>
      <c r="C7" s="307" t="s">
        <v>237</v>
      </c>
      <c r="D7" s="308" t="s">
        <v>318</v>
      </c>
      <c r="E7" s="308" t="s">
        <v>239</v>
      </c>
      <c r="F7" s="368" t="s">
        <v>288</v>
      </c>
      <c r="G7" s="368" t="s">
        <v>240</v>
      </c>
      <c r="H7" s="106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thickBot="1" x14ac:dyDescent="0.3">
      <c r="A8" s="1"/>
      <c r="B8" s="306">
        <v>3</v>
      </c>
      <c r="C8" s="355" t="s">
        <v>238</v>
      </c>
      <c r="D8" s="352" t="s">
        <v>235</v>
      </c>
      <c r="E8" s="352" t="s">
        <v>273</v>
      </c>
      <c r="F8" s="367" t="s">
        <v>288</v>
      </c>
      <c r="G8" s="367" t="s">
        <v>240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3.45" customHeight="1" thickBot="1" x14ac:dyDescent="0.3">
      <c r="A9" s="1"/>
      <c r="B9" s="306">
        <v>4</v>
      </c>
      <c r="C9" s="357" t="s">
        <v>278</v>
      </c>
      <c r="D9" s="352" t="s">
        <v>287</v>
      </c>
      <c r="E9" s="352" t="s">
        <v>308</v>
      </c>
      <c r="F9" s="367" t="s">
        <v>288</v>
      </c>
      <c r="G9" s="367" t="s">
        <v>276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5.5" customHeight="1" thickBot="1" x14ac:dyDescent="0.3">
      <c r="A10" s="1"/>
      <c r="B10" s="306">
        <v>5</v>
      </c>
      <c r="C10" s="357" t="s">
        <v>279</v>
      </c>
      <c r="D10" s="352" t="s">
        <v>292</v>
      </c>
      <c r="E10" s="352" t="s">
        <v>294</v>
      </c>
      <c r="F10" s="367" t="s">
        <v>288</v>
      </c>
      <c r="G10" s="367" t="s">
        <v>276</v>
      </c>
      <c r="H10" s="10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2.9" customHeight="1" thickBot="1" x14ac:dyDescent="0.3">
      <c r="A11" s="1"/>
      <c r="B11" s="306">
        <v>6</v>
      </c>
      <c r="C11" s="364" t="s">
        <v>242</v>
      </c>
      <c r="D11" s="365" t="s">
        <v>236</v>
      </c>
      <c r="E11" s="365" t="str">
        <f>'Escenario 3'!$I$11</f>
        <v>Las ventas disminuyen un 15% en 2023 y un 20% en 2024.</v>
      </c>
      <c r="F11" s="368" t="s">
        <v>169</v>
      </c>
      <c r="G11" s="368" t="s">
        <v>275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306">
        <v>7</v>
      </c>
      <c r="C12" s="355" t="s">
        <v>281</v>
      </c>
      <c r="D12" s="352" t="s">
        <v>300</v>
      </c>
      <c r="E12" s="352" t="s">
        <v>293</v>
      </c>
      <c r="F12" s="367" t="s">
        <v>169</v>
      </c>
      <c r="G12" s="367" t="s">
        <v>240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306">
        <v>8</v>
      </c>
      <c r="C13" s="359" t="s">
        <v>297</v>
      </c>
      <c r="D13" s="363" t="s">
        <v>298</v>
      </c>
      <c r="E13" s="363" t="s">
        <v>304</v>
      </c>
      <c r="F13" s="367" t="s">
        <v>169</v>
      </c>
      <c r="G13" s="367" t="s">
        <v>240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306">
        <v>9</v>
      </c>
      <c r="C14" s="361" t="s">
        <v>284</v>
      </c>
      <c r="D14" s="362" t="s">
        <v>305</v>
      </c>
      <c r="E14" s="362" t="s">
        <v>307</v>
      </c>
      <c r="F14" s="367" t="s">
        <v>169</v>
      </c>
      <c r="G14" s="367" t="s">
        <v>240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306">
        <v>10</v>
      </c>
      <c r="C15" s="360" t="s">
        <v>282</v>
      </c>
      <c r="D15" s="362" t="s">
        <v>295</v>
      </c>
      <c r="E15" s="362" t="s">
        <v>296</v>
      </c>
      <c r="F15" s="369" t="s">
        <v>291</v>
      </c>
      <c r="G15" s="369" t="s">
        <v>275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306">
        <v>11</v>
      </c>
      <c r="C16" s="359" t="s">
        <v>285</v>
      </c>
      <c r="D16" s="363" t="s">
        <v>312</v>
      </c>
      <c r="E16" s="363" t="s">
        <v>303</v>
      </c>
      <c r="F16" s="369" t="s">
        <v>291</v>
      </c>
      <c r="G16" s="369" t="s">
        <v>275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306">
        <v>12</v>
      </c>
      <c r="C17" s="361" t="s">
        <v>286</v>
      </c>
      <c r="D17" s="362" t="s">
        <v>306</v>
      </c>
      <c r="E17" s="362" t="s">
        <v>302</v>
      </c>
      <c r="F17" s="369" t="s">
        <v>291</v>
      </c>
      <c r="G17" s="369" t="s">
        <v>275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306">
        <v>13</v>
      </c>
      <c r="C18" s="355" t="s">
        <v>310</v>
      </c>
      <c r="D18" s="352" t="s">
        <v>309</v>
      </c>
      <c r="E18" s="352" t="s">
        <v>311</v>
      </c>
      <c r="F18" s="369" t="s">
        <v>291</v>
      </c>
      <c r="G18" s="369" t="s">
        <v>275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46.5" customHeight="1" thickBot="1" x14ac:dyDescent="0.3">
      <c r="A19" s="1"/>
      <c r="B19" s="306">
        <v>14</v>
      </c>
      <c r="C19" s="356" t="s">
        <v>280</v>
      </c>
      <c r="D19" s="353" t="s">
        <v>289</v>
      </c>
      <c r="E19" s="353" t="s">
        <v>290</v>
      </c>
      <c r="F19" s="369" t="s">
        <v>291</v>
      </c>
      <c r="G19" s="369" t="s">
        <v>276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306">
        <v>15</v>
      </c>
      <c r="C20" s="357" t="s">
        <v>283</v>
      </c>
      <c r="D20" s="352" t="s">
        <v>301</v>
      </c>
      <c r="E20" s="352" t="s">
        <v>299</v>
      </c>
      <c r="F20" s="369" t="s">
        <v>291</v>
      </c>
      <c r="G20" s="367" t="s">
        <v>276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sortState xmlns:xlrd2="http://schemas.microsoft.com/office/spreadsheetml/2017/richdata2" ref="B6:G20">
    <sortCondition ref="F6:F20"/>
    <sortCondition ref="G6:G20"/>
  </sortState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I2" sqref="I2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42" t="s">
        <v>149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91" t="str">
        <f>'Matriz de riesgo'!C6</f>
        <v>Aumento de carga impositiva para la contratación de servicios.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92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93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94" t="str">
        <f>'Matriz de riesgo'!D6</f>
        <v>Para frenar el desabastecimiento de reservas, el gobierno impulsa la creación de nuevos impuestos hacia la contratación extranjera de servicios.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92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93"/>
      <c r="J9" s="163"/>
      <c r="K9" s="163"/>
      <c r="L9" s="163"/>
      <c r="M9" s="163"/>
    </row>
    <row r="10" spans="1:13" ht="27" thickBot="1" x14ac:dyDescent="0.45">
      <c r="A10" s="1"/>
      <c r="B10" s="529" t="s">
        <v>133</v>
      </c>
      <c r="C10" s="530"/>
      <c r="D10" s="530"/>
      <c r="E10" s="530"/>
      <c r="F10" s="530"/>
      <c r="G10" s="531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95" t="s">
        <v>136</v>
      </c>
      <c r="C11" s="59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91" t="str">
        <f>'Matriz de riesgo'!E6</f>
        <v>Gasto en servicios externos aumentan un 20% en 2022, un 40% en 2023 y un 80% en 2024.</v>
      </c>
      <c r="J11" s="163"/>
      <c r="K11" s="163"/>
      <c r="L11" s="163"/>
      <c r="M11" s="163"/>
    </row>
    <row r="12" spans="1:13" ht="15.75" thickBot="1" x14ac:dyDescent="0.3">
      <c r="A12" s="1"/>
      <c r="B12" s="598" t="s">
        <v>51</v>
      </c>
      <c r="C12" s="599"/>
      <c r="D12" s="85" t="s">
        <v>127</v>
      </c>
      <c r="E12" s="125">
        <f>+'Mod. ingresos'!C20</f>
        <v>23910000</v>
      </c>
      <c r="F12" s="125">
        <f>+'Mod. ingresos'!D20</f>
        <v>72900000</v>
      </c>
      <c r="G12" s="125">
        <f>+'Mod. ingresos'!E20</f>
        <v>123780000</v>
      </c>
      <c r="H12" s="163"/>
      <c r="I12" s="597"/>
      <c r="J12" s="163"/>
      <c r="K12" s="163"/>
      <c r="L12" s="163"/>
      <c r="M12" s="163"/>
    </row>
    <row r="13" spans="1:13" ht="15" x14ac:dyDescent="0.25">
      <c r="A13" s="1"/>
      <c r="B13" s="600" t="s">
        <v>138</v>
      </c>
      <c r="C13" s="603" t="s">
        <v>135</v>
      </c>
      <c r="D13" s="605" t="s">
        <v>127</v>
      </c>
      <c r="E13" s="589">
        <f>'Costos fijos'!P15 * 1.2</f>
        <v>13740480</v>
      </c>
      <c r="F13" s="589">
        <f>'Costos fijos'!P24 * 1.4</f>
        <v>9730560</v>
      </c>
      <c r="G13" s="589">
        <f>'Costos fijos'!P33 * 1.6</f>
        <v>11600640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601"/>
      <c r="C15" s="338" t="s">
        <v>264</v>
      </c>
      <c r="D15" s="339"/>
      <c r="E15" s="340">
        <f>'Costos variables'!Q16 * 1.2</f>
        <v>4428000</v>
      </c>
      <c r="F15" s="340">
        <f>'Costos variables'!Q26 * 1.4</f>
        <v>12516000</v>
      </c>
      <c r="G15" s="340">
        <f>'Costos variables'!Q36 * 1.6</f>
        <v>18808000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602"/>
      <c r="C16" s="35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81" t="s">
        <v>139</v>
      </c>
      <c r="C17" s="582"/>
      <c r="D17" s="90" t="s">
        <v>127</v>
      </c>
      <c r="E17" s="91">
        <f>E12-E13-E15-E14-E16</f>
        <v>-8551036.4964000043</v>
      </c>
      <c r="F17" s="91">
        <f t="shared" ref="F17:G17" si="0">F12-F13-F15-F14-F16</f>
        <v>32441489.7293</v>
      </c>
      <c r="G17" s="91">
        <f t="shared" si="0"/>
        <v>71887297.394099995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2187000</v>
      </c>
      <c r="G18" s="93">
        <f t="shared" ref="G18" si="1">G12*0.03</f>
        <v>3713400</v>
      </c>
      <c r="H18" s="341"/>
      <c r="I18" s="341"/>
      <c r="J18" s="163"/>
      <c r="K18" s="163"/>
      <c r="L18" s="163"/>
      <c r="M18" s="163"/>
    </row>
    <row r="19" spans="1:15" ht="15.75" thickBot="1" x14ac:dyDescent="0.3">
      <c r="A19" s="1"/>
      <c r="B19" s="585" t="s">
        <v>141</v>
      </c>
      <c r="C19" s="586"/>
      <c r="D19" s="88" t="s">
        <v>127</v>
      </c>
      <c r="E19" s="89">
        <v>0</v>
      </c>
      <c r="F19" s="82">
        <f>(E17-E18)*0.35</f>
        <v>-3243917.7737400015</v>
      </c>
      <c r="G19" s="82">
        <f>(F17-F18)*0.35</f>
        <v>10589071.405254999</v>
      </c>
      <c r="H19" s="341"/>
      <c r="I19" s="341"/>
      <c r="J19" s="163"/>
      <c r="K19" s="163"/>
      <c r="L19" s="163"/>
      <c r="M19" s="163"/>
    </row>
    <row r="20" spans="1:15" ht="15.75" thickBot="1" x14ac:dyDescent="0.3">
      <c r="A20" s="1"/>
      <c r="B20" s="581" t="s">
        <v>142</v>
      </c>
      <c r="C20" s="582"/>
      <c r="D20" s="90" t="s">
        <v>127</v>
      </c>
      <c r="E20" s="91">
        <f>E17-E18-E19</f>
        <v>-9268336.4964000043</v>
      </c>
      <c r="F20" s="91">
        <f>F17-F18-F19</f>
        <v>33498407.503040001</v>
      </c>
      <c r="G20" s="92">
        <f>G17-G18-G19</f>
        <v>57584825.988844998</v>
      </c>
      <c r="H20" s="341"/>
      <c r="I20" s="341"/>
      <c r="J20" s="163"/>
      <c r="K20" s="163"/>
      <c r="L20" s="163"/>
      <c r="M20" s="163"/>
    </row>
    <row r="21" spans="1:15" ht="15.75" thickBot="1" x14ac:dyDescent="0.3">
      <c r="A21" s="1"/>
      <c r="B21" s="587" t="s">
        <v>143</v>
      </c>
      <c r="C21" s="58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341"/>
      <c r="J21" s="163"/>
      <c r="K21" s="163"/>
      <c r="L21" s="163"/>
      <c r="M21" s="163"/>
    </row>
    <row r="22" spans="1:15" ht="15.75" thickBot="1" x14ac:dyDescent="0.3">
      <c r="A22" s="1"/>
      <c r="B22" s="581" t="s">
        <v>144</v>
      </c>
      <c r="C22" s="582"/>
      <c r="D22" s="97">
        <f>D21</f>
        <v>-7164746</v>
      </c>
      <c r="E22" s="91">
        <f t="shared" ref="E22:F22" si="2">E20+E21</f>
        <v>-10368336.496400004</v>
      </c>
      <c r="F22" s="91">
        <f t="shared" si="2"/>
        <v>32014568.503040001</v>
      </c>
      <c r="G22" s="92">
        <f>G20+G21</f>
        <v>55933308.988844998</v>
      </c>
      <c r="H22" s="341"/>
      <c r="I22" s="34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34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34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4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34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-4593.4513968923548</v>
      </c>
      <c r="H27" s="341"/>
      <c r="I27" s="34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1.1990848839016728</v>
      </c>
      <c r="H28" s="341"/>
      <c r="I28" s="341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workbookViewId="0">
      <selection activeCell="G28" sqref="B10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42" t="s">
        <v>149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91" t="str">
        <f>'Matriz de riesgo'!C7</f>
        <v>Rotación de personal.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92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93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94" t="str">
        <f>'Matriz de riesgo'!D7</f>
        <v>La aparicion de competidores y el amplio mercado de IT, hace que la rotación de recursos aumente.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92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93"/>
      <c r="J9" s="163"/>
      <c r="K9" s="163"/>
      <c r="L9" s="163"/>
      <c r="M9" s="163"/>
    </row>
    <row r="10" spans="1:13" ht="27" thickBot="1" x14ac:dyDescent="0.45">
      <c r="A10" s="1"/>
      <c r="B10" s="529" t="s">
        <v>133</v>
      </c>
      <c r="C10" s="530"/>
      <c r="D10" s="530"/>
      <c r="E10" s="530"/>
      <c r="F10" s="530"/>
      <c r="G10" s="531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95" t="s">
        <v>136</v>
      </c>
      <c r="C11" s="59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91" t="str">
        <f>'Matriz de riesgo'!E7</f>
        <v>La capacidad de administrar clientes disminuye en un 10% en 2023 y un 20% en 2024.</v>
      </c>
      <c r="J11" s="163"/>
      <c r="K11" s="163"/>
      <c r="L11" s="163"/>
      <c r="M11" s="163"/>
    </row>
    <row r="12" spans="1:13" ht="15.75" thickBot="1" x14ac:dyDescent="0.3">
      <c r="A12" s="1"/>
      <c r="B12" s="598" t="s">
        <v>51</v>
      </c>
      <c r="C12" s="599"/>
      <c r="D12" s="85" t="s">
        <v>127</v>
      </c>
      <c r="E12" s="125">
        <f>+'Mod. ingresos'!C20</f>
        <v>23910000</v>
      </c>
      <c r="F12" s="125">
        <f>+'Mod. ingresos'!D20*0.9</f>
        <v>65610000</v>
      </c>
      <c r="G12" s="125">
        <f>+'Mod. ingresos'!E20*0.8</f>
        <v>99024000</v>
      </c>
      <c r="H12" s="163"/>
      <c r="I12" s="597"/>
      <c r="J12" s="163"/>
      <c r="K12" s="163"/>
      <c r="L12" s="163"/>
      <c r="M12" s="163"/>
    </row>
    <row r="13" spans="1:13" ht="15" x14ac:dyDescent="0.25">
      <c r="A13" s="1"/>
      <c r="B13" s="600" t="s">
        <v>138</v>
      </c>
      <c r="C13" s="603" t="s">
        <v>135</v>
      </c>
      <c r="D13" s="605" t="s">
        <v>127</v>
      </c>
      <c r="E13" s="589">
        <f>'Costos fijos'!P15</f>
        <v>11450400</v>
      </c>
      <c r="F13" s="589">
        <f>'Costos fijos'!P24</f>
        <v>6950400</v>
      </c>
      <c r="G13" s="589">
        <f>'Costos fijos'!P33</f>
        <v>7250400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601"/>
      <c r="C15" s="338" t="s">
        <v>264</v>
      </c>
      <c r="D15" s="339"/>
      <c r="E15" s="340">
        <f>'Costos variables'!Q16</f>
        <v>3690000</v>
      </c>
      <c r="F15" s="340">
        <f>'Costos variables'!Q26</f>
        <v>8940000</v>
      </c>
      <c r="G15" s="34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602"/>
      <c r="C16" s="35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81" t="s">
        <v>139</v>
      </c>
      <c r="C17" s="582"/>
      <c r="D17" s="90" t="s">
        <v>127</v>
      </c>
      <c r="E17" s="91">
        <f>E12-E13-E15-E14-E16</f>
        <v>-5522956.4964000043</v>
      </c>
      <c r="F17" s="91">
        <f t="shared" ref="F17:G17" si="0">F12-F13-F15-F14-F16</f>
        <v>31507649.7293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1968300</v>
      </c>
      <c r="G18" s="93">
        <f t="shared" ref="G18" si="1">G12*0.03</f>
        <v>2970720</v>
      </c>
      <c r="H18" s="341"/>
      <c r="I18" s="341"/>
      <c r="J18" s="163"/>
      <c r="K18" s="163"/>
      <c r="L18" s="163"/>
      <c r="M18" s="163"/>
    </row>
    <row r="19" spans="1:15" ht="15.75" thickBot="1" x14ac:dyDescent="0.3">
      <c r="A19" s="1"/>
      <c r="B19" s="585" t="s">
        <v>141</v>
      </c>
      <c r="C19" s="586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10338772.405254999</v>
      </c>
      <c r="H19" s="341"/>
      <c r="I19" s="341"/>
      <c r="J19" s="163"/>
      <c r="K19" s="163"/>
      <c r="L19" s="163"/>
      <c r="M19" s="163"/>
    </row>
    <row r="20" spans="1:15" ht="15.75" thickBot="1" x14ac:dyDescent="0.3">
      <c r="A20" s="1"/>
      <c r="B20" s="581" t="s">
        <v>142</v>
      </c>
      <c r="C20" s="582"/>
      <c r="D20" s="90" t="s">
        <v>127</v>
      </c>
      <c r="E20" s="91">
        <f>E17-E18-E19</f>
        <v>-6240256.4964000043</v>
      </c>
      <c r="F20" s="91">
        <f>F17-F18-F19</f>
        <v>31723439.503040001</v>
      </c>
      <c r="G20" s="92">
        <f>G17-G18-G19</f>
        <v>45225044.988844998</v>
      </c>
      <c r="H20" s="341"/>
      <c r="I20" s="341"/>
      <c r="J20" s="163"/>
      <c r="K20" s="163"/>
      <c r="L20" s="163"/>
      <c r="M20" s="163"/>
    </row>
    <row r="21" spans="1:15" ht="15.75" thickBot="1" x14ac:dyDescent="0.3">
      <c r="A21" s="1"/>
      <c r="B21" s="587" t="s">
        <v>143</v>
      </c>
      <c r="C21" s="58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341"/>
      <c r="J21" s="163"/>
      <c r="K21" s="163"/>
      <c r="L21" s="163"/>
      <c r="M21" s="163"/>
    </row>
    <row r="22" spans="1:15" ht="15.75" thickBot="1" x14ac:dyDescent="0.3">
      <c r="A22" s="1"/>
      <c r="B22" s="581" t="s">
        <v>144</v>
      </c>
      <c r="C22" s="582"/>
      <c r="D22" s="97">
        <f>D21</f>
        <v>-7164746</v>
      </c>
      <c r="E22" s="91">
        <f t="shared" ref="E22:F22" si="2">E20+E21</f>
        <v>-7340256.4964000043</v>
      </c>
      <c r="F22" s="91">
        <f t="shared" si="2"/>
        <v>30239600.503040001</v>
      </c>
      <c r="G22" s="92">
        <f>G20+G21</f>
        <v>43573527.988844998</v>
      </c>
      <c r="H22" s="341"/>
      <c r="I22" s="34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34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34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4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34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-73270.599474209477</v>
      </c>
      <c r="H27" s="341"/>
      <c r="I27" s="34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1.1836843779200934</v>
      </c>
      <c r="H28" s="341"/>
      <c r="I28" s="341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workbookViewId="0">
      <selection activeCell="G28" sqref="B10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.75" thickBot="1" x14ac:dyDescent="0.3">
      <c r="A2" s="1"/>
      <c r="B2" s="1"/>
      <c r="C2" s="1"/>
      <c r="D2" s="1"/>
      <c r="E2" s="1"/>
      <c r="F2" s="1"/>
      <c r="G2" s="1"/>
      <c r="H2" s="163"/>
      <c r="I2" s="342" t="s">
        <v>265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591" t="str">
        <f>'Matriz de riesgo'!C11</f>
        <v>Aparecen nuevos competidores que logran captar mercado.</v>
      </c>
      <c r="J3" s="163"/>
      <c r="K3" s="163"/>
      <c r="L3" s="163"/>
      <c r="M3" s="163"/>
    </row>
    <row r="4" spans="1:13" ht="15" x14ac:dyDescent="0.25">
      <c r="A4" s="1"/>
      <c r="B4" s="1"/>
      <c r="C4" s="1"/>
      <c r="D4" s="1"/>
      <c r="E4" s="1"/>
      <c r="F4" s="1"/>
      <c r="G4" s="1"/>
      <c r="H4" s="163"/>
      <c r="I4" s="592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593"/>
      <c r="J5" s="163"/>
      <c r="K5" s="163"/>
      <c r="L5" s="163"/>
      <c r="M5" s="163"/>
    </row>
    <row r="6" spans="1:13" ht="15.75" thickBot="1" x14ac:dyDescent="0.3">
      <c r="A6" s="1"/>
      <c r="B6" s="1"/>
      <c r="C6" s="1"/>
      <c r="D6" s="1"/>
      <c r="E6" s="1"/>
      <c r="F6" s="1"/>
      <c r="G6" s="1"/>
      <c r="H6" s="163"/>
      <c r="I6" s="194" t="s">
        <v>150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594" t="str">
        <f>'Matriz de riesgo'!D11</f>
        <v>Competidores con caracteristicas similares aparecen en el mercado.</v>
      </c>
      <c r="J7" s="163"/>
      <c r="K7" s="163"/>
      <c r="L7" s="163"/>
      <c r="M7" s="163"/>
    </row>
    <row r="8" spans="1:13" ht="15" x14ac:dyDescent="0.25">
      <c r="A8" s="1"/>
      <c r="B8" s="1"/>
      <c r="C8" s="1"/>
      <c r="D8" s="1"/>
      <c r="E8" s="1"/>
      <c r="F8" s="1"/>
      <c r="G8" s="1"/>
      <c r="H8" s="163"/>
      <c r="I8" s="592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593"/>
      <c r="J9" s="163"/>
      <c r="K9" s="163"/>
      <c r="L9" s="163"/>
      <c r="M9" s="163"/>
    </row>
    <row r="10" spans="1:13" ht="27" thickBot="1" x14ac:dyDescent="0.45">
      <c r="A10" s="1"/>
      <c r="B10" s="529" t="s">
        <v>133</v>
      </c>
      <c r="C10" s="530"/>
      <c r="D10" s="530"/>
      <c r="E10" s="530"/>
      <c r="F10" s="530"/>
      <c r="G10" s="531"/>
      <c r="H10" s="163"/>
      <c r="I10" s="194" t="s">
        <v>151</v>
      </c>
      <c r="J10" s="163"/>
      <c r="K10" s="163"/>
      <c r="L10" s="163"/>
      <c r="M10" s="163"/>
    </row>
    <row r="11" spans="1:13" ht="15.75" thickBot="1" x14ac:dyDescent="0.3">
      <c r="A11" s="1"/>
      <c r="B11" s="595" t="s">
        <v>136</v>
      </c>
      <c r="C11" s="59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591" t="s">
        <v>274</v>
      </c>
      <c r="J11" s="163"/>
      <c r="K11" s="163"/>
      <c r="L11" s="163"/>
      <c r="M11" s="163"/>
    </row>
    <row r="12" spans="1:13" ht="15.75" thickBot="1" x14ac:dyDescent="0.3">
      <c r="A12" s="1"/>
      <c r="B12" s="598" t="s">
        <v>51</v>
      </c>
      <c r="C12" s="599"/>
      <c r="D12" s="85" t="s">
        <v>127</v>
      </c>
      <c r="E12" s="125">
        <f>+'Mod. ingresos'!C20</f>
        <v>23910000</v>
      </c>
      <c r="F12" s="125">
        <f>+'Mod. ingresos'!D20*0.85</f>
        <v>61965000</v>
      </c>
      <c r="G12" s="125">
        <f>+'Mod. ingresos'!E20*0.8</f>
        <v>99024000</v>
      </c>
      <c r="H12" s="163"/>
      <c r="I12" s="597"/>
      <c r="J12" s="163"/>
      <c r="K12" s="163"/>
      <c r="L12" s="163"/>
      <c r="M12" s="163"/>
    </row>
    <row r="13" spans="1:13" ht="15" x14ac:dyDescent="0.25">
      <c r="A13" s="1"/>
      <c r="B13" s="600" t="s">
        <v>138</v>
      </c>
      <c r="C13" s="603" t="s">
        <v>135</v>
      </c>
      <c r="D13" s="605" t="s">
        <v>127</v>
      </c>
      <c r="E13" s="589">
        <f>'Costos fijos'!P15</f>
        <v>11450400</v>
      </c>
      <c r="F13" s="589">
        <f>'Costos fijos'!P24</f>
        <v>6950400</v>
      </c>
      <c r="G13" s="589">
        <f>'Costos fijos'!P33</f>
        <v>7250400</v>
      </c>
      <c r="H13" s="163"/>
      <c r="I13" s="163"/>
      <c r="J13" s="163"/>
      <c r="K13" s="163"/>
      <c r="L13" s="163"/>
      <c r="M13" s="163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63"/>
      <c r="I14" s="163"/>
      <c r="J14" s="163"/>
      <c r="K14" s="163"/>
      <c r="L14" s="163"/>
      <c r="M14" s="163"/>
    </row>
    <row r="15" spans="1:13" ht="15" x14ac:dyDescent="0.25">
      <c r="A15" s="107"/>
      <c r="B15" s="601"/>
      <c r="C15" s="338" t="s">
        <v>264</v>
      </c>
      <c r="D15" s="339"/>
      <c r="E15" s="340">
        <f>'Costos variables'!Q16</f>
        <v>3690000</v>
      </c>
      <c r="F15" s="340">
        <f>'Costos variables'!Q26</f>
        <v>8940000</v>
      </c>
      <c r="G15" s="340">
        <f>'Costos variables'!Q36</f>
        <v>11755000</v>
      </c>
      <c r="H15" s="163"/>
      <c r="I15" s="163"/>
      <c r="J15" s="163"/>
      <c r="K15" s="163"/>
      <c r="L15" s="163"/>
      <c r="M15" s="163"/>
    </row>
    <row r="16" spans="1:13" ht="15.75" thickBot="1" x14ac:dyDescent="0.3">
      <c r="A16" s="1"/>
      <c r="B16" s="602"/>
      <c r="C16" s="350" t="s">
        <v>120</v>
      </c>
      <c r="D16" s="88" t="s">
        <v>127</v>
      </c>
      <c r="E16" s="89">
        <f>'Costos RRHH'!AA30</f>
        <v>14292556.496400004</v>
      </c>
      <c r="F16" s="89">
        <f>'Costos RRHH'!AA42</f>
        <v>18211950.2707</v>
      </c>
      <c r="G16" s="89">
        <f>'Costos RRHH'!AA54</f>
        <v>21484062.605900001</v>
      </c>
      <c r="H16" s="163"/>
      <c r="I16" s="163"/>
      <c r="J16" s="163"/>
      <c r="K16" s="163"/>
      <c r="L16" s="163"/>
      <c r="M16" s="163"/>
    </row>
    <row r="17" spans="1:15" ht="15.75" thickBot="1" x14ac:dyDescent="0.3">
      <c r="A17" s="1"/>
      <c r="B17" s="581" t="s">
        <v>139</v>
      </c>
      <c r="C17" s="582"/>
      <c r="D17" s="90" t="s">
        <v>127</v>
      </c>
      <c r="E17" s="91">
        <f>E12-E13-E15-E14-E16</f>
        <v>-5522956.4964000043</v>
      </c>
      <c r="F17" s="91">
        <f t="shared" ref="F17:G17" si="0">F12-F13-F15-F14-F16</f>
        <v>27862649.7293</v>
      </c>
      <c r="G17" s="91">
        <f t="shared" si="0"/>
        <v>58534537.394099995</v>
      </c>
      <c r="H17" s="163"/>
      <c r="I17" s="163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41"/>
      <c r="I18" s="341"/>
      <c r="J18" s="163"/>
      <c r="K18" s="163"/>
      <c r="L18" s="163"/>
      <c r="M18" s="163"/>
    </row>
    <row r="19" spans="1:15" ht="15.75" thickBot="1" x14ac:dyDescent="0.3">
      <c r="A19" s="1"/>
      <c r="B19" s="585" t="s">
        <v>141</v>
      </c>
      <c r="C19" s="586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9101294.9052549992</v>
      </c>
      <c r="H19" s="341"/>
      <c r="I19" s="341"/>
      <c r="J19" s="163"/>
      <c r="K19" s="163"/>
      <c r="L19" s="163"/>
      <c r="M19" s="163"/>
    </row>
    <row r="20" spans="1:15" ht="15.75" thickBot="1" x14ac:dyDescent="0.3">
      <c r="A20" s="1"/>
      <c r="B20" s="581" t="s">
        <v>142</v>
      </c>
      <c r="C20" s="582"/>
      <c r="D20" s="90" t="s">
        <v>127</v>
      </c>
      <c r="E20" s="91">
        <f>E17-E18-E19</f>
        <v>-6240256.4964000043</v>
      </c>
      <c r="F20" s="91">
        <f>F17-F18-F19</f>
        <v>28187789.503040001</v>
      </c>
      <c r="G20" s="92">
        <f>G17-G18-G19</f>
        <v>46462522.488844998</v>
      </c>
      <c r="H20" s="341"/>
      <c r="I20" s="341"/>
      <c r="J20" s="163"/>
      <c r="K20" s="163"/>
      <c r="L20" s="163"/>
      <c r="M20" s="163"/>
    </row>
    <row r="21" spans="1:15" ht="15.75" thickBot="1" x14ac:dyDescent="0.3">
      <c r="A21" s="1"/>
      <c r="B21" s="587" t="s">
        <v>143</v>
      </c>
      <c r="C21" s="58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341"/>
      <c r="J21" s="163"/>
      <c r="K21" s="163"/>
      <c r="L21" s="163"/>
      <c r="M21" s="163"/>
    </row>
    <row r="22" spans="1:15" ht="15.75" thickBot="1" x14ac:dyDescent="0.3">
      <c r="A22" s="1"/>
      <c r="B22" s="581" t="s">
        <v>144</v>
      </c>
      <c r="C22" s="582"/>
      <c r="D22" s="97">
        <f>D21</f>
        <v>-7164746</v>
      </c>
      <c r="E22" s="91">
        <f t="shared" ref="E22:F22" si="2">E20+E21</f>
        <v>-7340256.4964000043</v>
      </c>
      <c r="F22" s="91">
        <f t="shared" si="2"/>
        <v>26703950.503040001</v>
      </c>
      <c r="G22" s="92">
        <f>G20+G21</f>
        <v>44811005.488844998</v>
      </c>
      <c r="H22" s="341"/>
      <c r="I22" s="34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341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341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41"/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341"/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-352493.00999944645</v>
      </c>
      <c r="H27" s="341"/>
      <c r="I27" s="341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1.1216488505744726</v>
      </c>
      <c r="H28" s="341"/>
      <c r="I28" s="341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18"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workbookViewId="0">
      <selection activeCell="G28" sqref="G25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63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</row>
    <row r="2" spans="1:13" ht="15" x14ac:dyDescent="0.25">
      <c r="A2" s="1"/>
      <c r="B2" s="1"/>
      <c r="C2" s="1"/>
      <c r="D2" s="1"/>
      <c r="E2" s="1"/>
      <c r="F2" s="1"/>
      <c r="G2" s="1"/>
      <c r="H2" s="163"/>
      <c r="I2" s="591" t="s">
        <v>242</v>
      </c>
      <c r="J2" s="163"/>
      <c r="K2" s="163"/>
      <c r="L2" s="163"/>
      <c r="M2" s="163"/>
    </row>
    <row r="3" spans="1:13" ht="29.25" customHeight="1" x14ac:dyDescent="0.25">
      <c r="A3" s="1"/>
      <c r="B3" s="1"/>
      <c r="C3" s="167"/>
      <c r="D3" s="1"/>
      <c r="E3" s="1"/>
      <c r="F3" s="1"/>
      <c r="G3" s="1"/>
      <c r="H3" s="163"/>
      <c r="I3" s="613"/>
      <c r="J3" s="163"/>
      <c r="K3" s="163"/>
      <c r="L3" s="163"/>
      <c r="M3" s="163"/>
    </row>
    <row r="4" spans="1:13" ht="15.75" thickBot="1" x14ac:dyDescent="0.3">
      <c r="A4" s="1"/>
      <c r="B4" s="1"/>
      <c r="C4" s="1"/>
      <c r="D4" s="1"/>
      <c r="E4" s="1"/>
      <c r="F4" s="1"/>
      <c r="G4" s="1"/>
      <c r="H4" s="163"/>
      <c r="I4" s="614"/>
      <c r="J4" s="163"/>
      <c r="K4" s="163"/>
      <c r="L4" s="163"/>
      <c r="M4" s="163"/>
    </row>
    <row r="5" spans="1:13" ht="15.75" thickBot="1" x14ac:dyDescent="0.3">
      <c r="A5" s="1"/>
      <c r="B5" s="1"/>
      <c r="C5" s="1"/>
      <c r="D5" s="1"/>
      <c r="E5" s="1"/>
      <c r="F5" s="1"/>
      <c r="G5" s="1"/>
      <c r="H5" s="163"/>
      <c r="I5" s="194" t="s">
        <v>150</v>
      </c>
      <c r="J5" s="163"/>
      <c r="K5" s="163"/>
      <c r="L5" s="163"/>
      <c r="M5" s="163"/>
    </row>
    <row r="6" spans="1:13" ht="15" x14ac:dyDescent="0.25">
      <c r="A6" s="1"/>
      <c r="B6" s="1"/>
      <c r="C6" s="1"/>
      <c r="D6" s="1"/>
      <c r="E6" s="1"/>
      <c r="F6" s="1"/>
      <c r="G6" s="1"/>
      <c r="H6" s="163"/>
      <c r="I6" s="594" t="s">
        <v>168</v>
      </c>
      <c r="J6" s="163"/>
      <c r="K6" s="163"/>
      <c r="L6" s="163"/>
      <c r="M6" s="163"/>
    </row>
    <row r="7" spans="1:13" ht="15" x14ac:dyDescent="0.25">
      <c r="A7" s="1"/>
      <c r="B7" s="1"/>
      <c r="C7" s="1"/>
      <c r="D7" s="1"/>
      <c r="E7" s="1"/>
      <c r="F7" s="1"/>
      <c r="G7" s="1"/>
      <c r="H7" s="163"/>
      <c r="I7" s="613"/>
      <c r="J7" s="163"/>
      <c r="K7" s="163"/>
      <c r="L7" s="163"/>
      <c r="M7" s="163"/>
    </row>
    <row r="8" spans="1:13" ht="15.75" thickBot="1" x14ac:dyDescent="0.3">
      <c r="A8" s="1"/>
      <c r="B8" s="1"/>
      <c r="C8" s="1"/>
      <c r="D8" s="1"/>
      <c r="E8" s="1"/>
      <c r="F8" s="1"/>
      <c r="G8" s="1"/>
      <c r="H8" s="163"/>
      <c r="I8" s="614"/>
      <c r="J8" s="163"/>
      <c r="K8" s="163"/>
      <c r="L8" s="163"/>
      <c r="M8" s="163"/>
    </row>
    <row r="9" spans="1:13" ht="15.75" thickBot="1" x14ac:dyDescent="0.3">
      <c r="A9" s="1"/>
      <c r="B9" s="1"/>
      <c r="C9" s="1"/>
      <c r="D9" s="1"/>
      <c r="E9" s="1"/>
      <c r="F9" s="1"/>
      <c r="G9" s="1"/>
      <c r="H9" s="163"/>
      <c r="I9" s="194" t="s">
        <v>151</v>
      </c>
      <c r="J9" s="163"/>
      <c r="K9" s="163"/>
      <c r="L9" s="163"/>
      <c r="M9" s="163"/>
    </row>
    <row r="10" spans="1:13" ht="27" thickBot="1" x14ac:dyDescent="0.45">
      <c r="A10" s="1"/>
      <c r="B10" s="529" t="s">
        <v>133</v>
      </c>
      <c r="C10" s="530"/>
      <c r="D10" s="530"/>
      <c r="E10" s="530"/>
      <c r="F10" s="530"/>
      <c r="G10" s="531"/>
      <c r="H10" s="163"/>
      <c r="I10" s="591" t="s">
        <v>274</v>
      </c>
      <c r="J10" s="163"/>
      <c r="K10" s="163"/>
      <c r="L10" s="163"/>
      <c r="M10" s="163"/>
    </row>
    <row r="11" spans="1:13" ht="15.75" thickBot="1" x14ac:dyDescent="0.3">
      <c r="A11" s="1"/>
      <c r="B11" s="595" t="s">
        <v>136</v>
      </c>
      <c r="C11" s="596"/>
      <c r="D11" s="300" t="s">
        <v>137</v>
      </c>
      <c r="E11" s="301">
        <v>2022</v>
      </c>
      <c r="F11" s="301">
        <v>2023</v>
      </c>
      <c r="G11" s="302">
        <v>2024</v>
      </c>
      <c r="H11" s="163"/>
      <c r="I11" s="615"/>
      <c r="J11" s="163"/>
      <c r="K11" s="163"/>
      <c r="L11" s="163"/>
      <c r="M11" s="163"/>
    </row>
    <row r="12" spans="1:13" ht="15" x14ac:dyDescent="0.25">
      <c r="A12" s="1"/>
      <c r="B12" s="598" t="s">
        <v>51</v>
      </c>
      <c r="C12" s="599"/>
      <c r="D12" s="85" t="s">
        <v>127</v>
      </c>
      <c r="E12" s="125">
        <f>'Escenario 3'!E12</f>
        <v>23910000</v>
      </c>
      <c r="F12" s="125">
        <f>'Escenario 3'!F12</f>
        <v>61965000</v>
      </c>
      <c r="G12" s="125">
        <f>'Escenario 3'!G12</f>
        <v>99024000</v>
      </c>
      <c r="H12" s="163"/>
      <c r="J12" s="163"/>
      <c r="K12" s="163"/>
      <c r="L12" s="163"/>
      <c r="M12" s="163"/>
    </row>
    <row r="13" spans="1:13" ht="15" x14ac:dyDescent="0.25">
      <c r="A13" s="1"/>
      <c r="B13" s="600" t="s">
        <v>138</v>
      </c>
      <c r="C13" s="603" t="s">
        <v>135</v>
      </c>
      <c r="D13" s="605" t="s">
        <v>127</v>
      </c>
      <c r="E13" s="589">
        <f>'Costos fijos'!P15</f>
        <v>11450400</v>
      </c>
      <c r="F13" s="589">
        <f>'Costos fijos'!P24</f>
        <v>6950400</v>
      </c>
      <c r="G13" s="589">
        <f>'Costos fijos'!P33</f>
        <v>7250400</v>
      </c>
      <c r="H13" s="163"/>
      <c r="I13" s="309" t="s">
        <v>154</v>
      </c>
      <c r="J13" s="163"/>
      <c r="K13" s="163"/>
      <c r="L13" s="163"/>
      <c r="M13" s="163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63"/>
      <c r="I14" s="610" t="s">
        <v>315</v>
      </c>
      <c r="J14" s="163"/>
      <c r="K14" s="163"/>
      <c r="L14" s="163"/>
      <c r="M14" s="163"/>
    </row>
    <row r="15" spans="1:13" ht="15" x14ac:dyDescent="0.25">
      <c r="A15" s="107"/>
      <c r="B15" s="601"/>
      <c r="C15" s="338" t="s">
        <v>264</v>
      </c>
      <c r="D15" s="339"/>
      <c r="E15" s="340">
        <f>'Costos variables'!Q16</f>
        <v>3690000</v>
      </c>
      <c r="F15" s="340">
        <f>'Costos variables'!Q26</f>
        <v>8940000</v>
      </c>
      <c r="G15" s="340">
        <f>'Costos variables'!Q36</f>
        <v>11755000</v>
      </c>
      <c r="H15" s="163"/>
      <c r="I15" s="611"/>
      <c r="J15" s="163"/>
      <c r="K15" s="163"/>
      <c r="L15" s="163"/>
      <c r="M15" s="163"/>
    </row>
    <row r="16" spans="1:13" ht="15.75" thickBot="1" x14ac:dyDescent="0.3">
      <c r="A16" s="1"/>
      <c r="B16" s="602"/>
      <c r="C16" s="87" t="s">
        <v>120</v>
      </c>
      <c r="D16" s="88" t="s">
        <v>127</v>
      </c>
      <c r="E16" s="89">
        <f>'Costos RRHH'!AA30</f>
        <v>14292556.496400004</v>
      </c>
      <c r="F16" s="89">
        <f>'Costos RRHH'!AA30 * 1.1</f>
        <v>15721812.146040006</v>
      </c>
      <c r="G16" s="89">
        <f>'Costos RRHH'!AA30 * 1.2</f>
        <v>17151067.795680005</v>
      </c>
      <c r="H16" s="163"/>
      <c r="I16" s="611"/>
      <c r="J16" s="163"/>
      <c r="K16" s="163"/>
      <c r="L16" s="163"/>
      <c r="M16" s="163"/>
    </row>
    <row r="17" spans="1:15" ht="15.75" thickBot="1" x14ac:dyDescent="0.3">
      <c r="A17" s="1"/>
      <c r="B17" s="581" t="s">
        <v>139</v>
      </c>
      <c r="C17" s="582"/>
      <c r="D17" s="90" t="s">
        <v>127</v>
      </c>
      <c r="E17" s="91">
        <f>E12-E13-E15-E14-E16</f>
        <v>-5522956.4964000043</v>
      </c>
      <c r="F17" s="91">
        <f t="shared" ref="F17:G17" si="0">F12-F13-F15-F14-F16</f>
        <v>30352787.853959993</v>
      </c>
      <c r="G17" s="91">
        <f t="shared" si="0"/>
        <v>62867532.204319999</v>
      </c>
      <c r="H17" s="163"/>
      <c r="I17" s="611"/>
      <c r="J17" s="163"/>
      <c r="K17" s="163"/>
      <c r="L17" s="163"/>
      <c r="M17" s="163"/>
    </row>
    <row r="18" spans="1:15" ht="15" x14ac:dyDescent="0.25">
      <c r="A18" s="1"/>
      <c r="B18" s="583" t="s">
        <v>140</v>
      </c>
      <c r="C18" s="584"/>
      <c r="D18" s="85" t="s">
        <v>127</v>
      </c>
      <c r="E18" s="86">
        <f>E12*0.03</f>
        <v>717300</v>
      </c>
      <c r="F18" s="86">
        <f>F12*0.03</f>
        <v>1858950</v>
      </c>
      <c r="G18" s="93">
        <f t="shared" ref="G18" si="1">G12*0.03</f>
        <v>2970720</v>
      </c>
      <c r="H18" s="341"/>
      <c r="I18" s="611"/>
      <c r="J18" s="163"/>
      <c r="K18" s="163"/>
      <c r="L18" s="163"/>
      <c r="M18" s="163"/>
    </row>
    <row r="19" spans="1:15" ht="15.75" thickBot="1" x14ac:dyDescent="0.3">
      <c r="A19" s="1"/>
      <c r="B19" s="585" t="s">
        <v>141</v>
      </c>
      <c r="C19" s="586"/>
      <c r="D19" s="88" t="s">
        <v>127</v>
      </c>
      <c r="E19" s="89">
        <v>0</v>
      </c>
      <c r="F19" s="82">
        <f>(E17-E18)*0.35</f>
        <v>-2184089.7737400015</v>
      </c>
      <c r="G19" s="82">
        <f>(F17-F18)*0.35</f>
        <v>9972843.2488859966</v>
      </c>
      <c r="H19" s="341"/>
      <c r="I19" s="611"/>
      <c r="J19" s="163"/>
      <c r="K19" s="163"/>
      <c r="L19" s="163"/>
      <c r="M19" s="163"/>
    </row>
    <row r="20" spans="1:15" ht="15.75" thickBot="1" x14ac:dyDescent="0.3">
      <c r="A20" s="1"/>
      <c r="B20" s="581" t="s">
        <v>142</v>
      </c>
      <c r="C20" s="582"/>
      <c r="D20" s="90" t="s">
        <v>127</v>
      </c>
      <c r="E20" s="91">
        <f>E17-E18-E19</f>
        <v>-6240256.4964000043</v>
      </c>
      <c r="F20" s="91">
        <f>F17-F18-F19</f>
        <v>30677927.627699994</v>
      </c>
      <c r="G20" s="92">
        <f>G17-G18-G19</f>
        <v>49923968.955434002</v>
      </c>
      <c r="H20" s="341"/>
      <c r="I20" s="611"/>
      <c r="J20" s="163"/>
      <c r="K20" s="163"/>
      <c r="L20" s="163"/>
      <c r="M20" s="163"/>
    </row>
    <row r="21" spans="1:15" ht="15.75" thickBot="1" x14ac:dyDescent="0.3">
      <c r="A21" s="1"/>
      <c r="B21" s="587" t="s">
        <v>143</v>
      </c>
      <c r="C21" s="588"/>
      <c r="D21" s="94">
        <f>-'Mod. inversión'!E14</f>
        <v>-7164746</v>
      </c>
      <c r="E21" s="95">
        <f>-'Mod. inversión'!E20</f>
        <v>-1100000</v>
      </c>
      <c r="F21" s="95">
        <f>-'Mod. inversión'!E28</f>
        <v>-1483839</v>
      </c>
      <c r="G21" s="96">
        <f>-'Mod. inversión'!E35</f>
        <v>-1651517</v>
      </c>
      <c r="H21" s="341"/>
      <c r="I21" s="611"/>
      <c r="J21" s="163"/>
      <c r="K21" s="163"/>
      <c r="L21" s="163"/>
      <c r="M21" s="163"/>
    </row>
    <row r="22" spans="1:15" ht="15.75" thickBot="1" x14ac:dyDescent="0.3">
      <c r="A22" s="1"/>
      <c r="B22" s="581" t="s">
        <v>144</v>
      </c>
      <c r="C22" s="582"/>
      <c r="D22" s="97">
        <f>D21</f>
        <v>-7164746</v>
      </c>
      <c r="E22" s="91">
        <f t="shared" ref="E22:F22" si="2">E20+E21</f>
        <v>-7340256.4964000043</v>
      </c>
      <c r="F22" s="91">
        <f t="shared" si="2"/>
        <v>29194088.627699994</v>
      </c>
      <c r="G22" s="92">
        <f>G20+G21</f>
        <v>48272451.955434002</v>
      </c>
      <c r="H22" s="341"/>
      <c r="I22" s="611"/>
      <c r="J22" s="163"/>
      <c r="K22" s="163"/>
      <c r="L22" s="163"/>
      <c r="M22" s="163"/>
    </row>
    <row r="23" spans="1:15" ht="15" x14ac:dyDescent="0.25">
      <c r="A23" s="1"/>
      <c r="B23" s="1"/>
      <c r="C23" s="1"/>
      <c r="D23" s="1"/>
      <c r="E23" s="1"/>
      <c r="F23" s="1"/>
      <c r="G23" s="1"/>
      <c r="H23" s="341"/>
      <c r="I23" s="612"/>
      <c r="J23" s="163"/>
      <c r="K23" s="163"/>
      <c r="L23" s="163"/>
      <c r="M23" s="163"/>
    </row>
    <row r="24" spans="1:15" ht="15" x14ac:dyDescent="0.25">
      <c r="A24" s="1"/>
      <c r="B24" s="1"/>
      <c r="C24" s="1"/>
      <c r="D24" s="1"/>
      <c r="E24" s="1"/>
      <c r="F24" s="1"/>
      <c r="G24" s="1"/>
      <c r="H24" s="341"/>
      <c r="I24" s="126"/>
      <c r="J24" s="163"/>
      <c r="K24" s="163"/>
      <c r="L24" s="163"/>
      <c r="M24" s="163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41"/>
      <c r="I25" s="310" t="s">
        <v>89</v>
      </c>
      <c r="J25" s="163"/>
      <c r="K25" s="163"/>
      <c r="L25" s="163"/>
      <c r="M25" s="163"/>
    </row>
    <row r="26" spans="1:15" ht="15" x14ac:dyDescent="0.25">
      <c r="A26" s="1"/>
      <c r="B26" s="1"/>
      <c r="C26" s="1"/>
      <c r="D26" s="1"/>
      <c r="E26" s="1"/>
      <c r="F26" s="98" t="s">
        <v>145</v>
      </c>
      <c r="G26" s="99">
        <v>1.2</v>
      </c>
      <c r="H26" s="341"/>
      <c r="I26" s="607" t="s">
        <v>241</v>
      </c>
      <c r="J26" s="163"/>
      <c r="K26" s="163"/>
      <c r="L26" s="163"/>
      <c r="M26" s="163"/>
    </row>
    <row r="27" spans="1:15" ht="15" x14ac:dyDescent="0.25">
      <c r="A27" s="1"/>
      <c r="B27" s="1"/>
      <c r="C27" s="1"/>
      <c r="D27" s="1"/>
      <c r="E27" s="1"/>
      <c r="F27" s="100" t="s">
        <v>146</v>
      </c>
      <c r="G27" s="101">
        <f>NPV(G26,D22:G22)</f>
        <v>29130.100650482978</v>
      </c>
      <c r="H27" s="341"/>
      <c r="I27" s="608"/>
      <c r="J27" s="163"/>
      <c r="K27" s="163"/>
      <c r="L27" s="163"/>
      <c r="M27" s="163"/>
    </row>
    <row r="28" spans="1:15" ht="15.75" thickBot="1" x14ac:dyDescent="0.3">
      <c r="A28" s="1"/>
      <c r="B28" s="1"/>
      <c r="C28" s="1"/>
      <c r="D28" s="1"/>
      <c r="E28" s="1"/>
      <c r="F28" s="102" t="s">
        <v>147</v>
      </c>
      <c r="G28" s="103">
        <f>IRR(D22:G22,G26)</f>
        <v>1.2063488622457097</v>
      </c>
      <c r="H28" s="341"/>
      <c r="I28" s="609"/>
      <c r="J28" s="163"/>
      <c r="K28" s="163"/>
      <c r="L28" s="163"/>
      <c r="M28" s="163"/>
    </row>
    <row r="29" spans="1:15" ht="15" x14ac:dyDescent="0.25">
      <c r="A29" s="1"/>
      <c r="B29" s="341"/>
      <c r="C29" s="341"/>
      <c r="D29" s="341"/>
      <c r="E29" s="341"/>
      <c r="F29" s="341"/>
      <c r="G29" s="341"/>
      <c r="H29" s="341"/>
      <c r="I29" s="341"/>
      <c r="J29" s="163"/>
      <c r="K29" s="163"/>
      <c r="L29" s="163"/>
      <c r="M29" s="163"/>
    </row>
    <row r="30" spans="1:15" x14ac:dyDescent="0.2">
      <c r="A30" s="341"/>
      <c r="B30" s="341"/>
      <c r="C30" s="341"/>
      <c r="D30" s="341"/>
      <c r="E30" s="341"/>
      <c r="F30" s="341"/>
      <c r="G30" s="341"/>
      <c r="H30" s="341"/>
      <c r="I30" s="341"/>
      <c r="J30" s="163"/>
      <c r="K30" s="163"/>
      <c r="L30" s="163"/>
      <c r="M30" s="163"/>
      <c r="N30" s="341"/>
      <c r="O30" s="341"/>
    </row>
    <row r="31" spans="1:15" ht="15.75" customHeight="1" x14ac:dyDescent="0.2">
      <c r="A31" s="341"/>
      <c r="B31" s="341"/>
      <c r="C31" s="341"/>
      <c r="D31" s="341"/>
      <c r="E31" s="341"/>
      <c r="F31" s="341"/>
      <c r="G31" s="341"/>
      <c r="H31" s="341"/>
      <c r="I31" s="341"/>
      <c r="J31" s="341"/>
      <c r="K31" s="341"/>
      <c r="L31" s="341"/>
      <c r="M31" s="341"/>
      <c r="N31" s="341"/>
      <c r="O31" s="341"/>
    </row>
    <row r="32" spans="1:15" x14ac:dyDescent="0.2">
      <c r="A32" s="341"/>
      <c r="B32" s="341"/>
      <c r="C32" s="341"/>
      <c r="D32" s="341"/>
      <c r="E32" s="341"/>
      <c r="F32" s="341"/>
      <c r="G32" s="341"/>
      <c r="H32" s="341"/>
      <c r="I32" s="341"/>
      <c r="J32" s="341"/>
      <c r="K32" s="341"/>
      <c r="L32" s="341"/>
      <c r="M32" s="341"/>
      <c r="N32" s="341"/>
      <c r="O32" s="341"/>
    </row>
    <row r="33" spans="1:15" x14ac:dyDescent="0.2">
      <c r="A33" s="341"/>
      <c r="B33" s="341"/>
      <c r="C33" s="341"/>
      <c r="D33" s="341"/>
      <c r="E33" s="341"/>
      <c r="F33" s="341"/>
      <c r="G33" s="341"/>
      <c r="H33" s="341"/>
      <c r="I33" s="341"/>
      <c r="J33" s="341"/>
      <c r="K33" s="341"/>
      <c r="L33" s="341"/>
      <c r="M33" s="341"/>
      <c r="N33" s="341"/>
      <c r="O33" s="341"/>
    </row>
    <row r="34" spans="1:15" ht="15" customHeight="1" x14ac:dyDescent="0.2">
      <c r="A34" s="341"/>
      <c r="B34" s="341"/>
      <c r="C34" s="341"/>
      <c r="D34" s="341"/>
      <c r="E34" s="341"/>
      <c r="F34" s="341"/>
      <c r="G34" s="341"/>
      <c r="H34" s="341"/>
      <c r="I34" s="341"/>
      <c r="J34" s="341"/>
      <c r="K34" s="341"/>
      <c r="L34" s="341"/>
      <c r="M34" s="341"/>
      <c r="N34" s="341"/>
      <c r="O34" s="341"/>
    </row>
    <row r="35" spans="1:15" ht="15" customHeight="1" x14ac:dyDescent="0.2">
      <c r="A35" s="341"/>
      <c r="B35" s="341"/>
      <c r="C35" s="341"/>
      <c r="D35" s="341"/>
      <c r="E35" s="341"/>
      <c r="F35" s="341"/>
      <c r="G35" s="341"/>
      <c r="H35" s="341"/>
      <c r="I35" s="341"/>
      <c r="J35" s="341"/>
      <c r="K35" s="341"/>
      <c r="L35" s="341"/>
      <c r="M35" s="341"/>
      <c r="N35" s="341"/>
      <c r="O35" s="341"/>
    </row>
    <row r="36" spans="1:15" x14ac:dyDescent="0.2">
      <c r="A36" s="341"/>
      <c r="B36" s="341"/>
      <c r="C36" s="341"/>
      <c r="D36" s="341"/>
      <c r="E36" s="341"/>
      <c r="F36" s="341"/>
      <c r="G36" s="341"/>
      <c r="H36" s="341"/>
      <c r="I36" s="341"/>
      <c r="J36" s="341"/>
      <c r="K36" s="341"/>
      <c r="L36" s="341"/>
      <c r="M36" s="341"/>
      <c r="N36" s="341"/>
      <c r="O36" s="341"/>
    </row>
    <row r="37" spans="1:15" x14ac:dyDescent="0.2">
      <c r="A37" s="341"/>
      <c r="B37" s="341"/>
      <c r="C37" s="341"/>
      <c r="D37" s="341"/>
      <c r="E37" s="341"/>
      <c r="F37" s="341"/>
      <c r="G37" s="341"/>
      <c r="H37" s="341"/>
      <c r="I37" s="341"/>
      <c r="J37" s="341"/>
      <c r="K37" s="341"/>
      <c r="L37" s="341"/>
      <c r="M37" s="341"/>
      <c r="N37" s="341"/>
      <c r="O37" s="341"/>
    </row>
    <row r="38" spans="1:15" x14ac:dyDescent="0.2">
      <c r="A38" s="341"/>
      <c r="B38" s="341"/>
      <c r="C38" s="341"/>
      <c r="D38" s="341"/>
      <c r="E38" s="341"/>
      <c r="F38" s="341"/>
      <c r="G38" s="341"/>
      <c r="H38" s="341"/>
      <c r="I38" s="341"/>
      <c r="J38" s="341"/>
      <c r="K38" s="341"/>
      <c r="L38" s="341"/>
      <c r="M38" s="341"/>
      <c r="N38" s="341"/>
      <c r="O38" s="341"/>
    </row>
    <row r="39" spans="1:15" x14ac:dyDescent="0.2">
      <c r="A39" s="341"/>
      <c r="H39" s="341"/>
      <c r="I39" s="341"/>
      <c r="J39" s="341"/>
      <c r="K39" s="341"/>
      <c r="L39" s="341"/>
      <c r="M39" s="341"/>
      <c r="N39" s="341"/>
      <c r="O39" s="341"/>
    </row>
  </sheetData>
  <mergeCells count="20">
    <mergeCell ref="G13:G14"/>
    <mergeCell ref="B10:G10"/>
    <mergeCell ref="B11:C11"/>
    <mergeCell ref="B12:C12"/>
    <mergeCell ref="B22:C22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  <mergeCell ref="I26:I28"/>
    <mergeCell ref="I14:I23"/>
    <mergeCell ref="I2:I4"/>
    <mergeCell ref="I6:I8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2022-10-24T15:53:17Z</dcterms:modified>
</cp:coreProperties>
</file>