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/>
  <mc:AlternateContent xmlns:mc="http://schemas.openxmlformats.org/markup-compatibility/2006">
    <mc:Choice Requires="x15">
      <x15ac:absPath xmlns:x15ac="http://schemas.microsoft.com/office/spreadsheetml/2010/11/ac" url="C:\Users\Franc\Downloads\5TO\TFI\Excel\"/>
    </mc:Choice>
  </mc:AlternateContent>
  <xr:revisionPtr revIDLastSave="0" documentId="13_ncr:1_{3EEB2C1B-EE07-4A63-84D5-BEFC0EE19F37}" xr6:coauthVersionLast="47" xr6:coauthVersionMax="47" xr10:uidLastSave="{00000000-0000-0000-0000-000000000000}"/>
  <bookViews>
    <workbookView xWindow="28680" yWindow="-120" windowWidth="29040" windowHeight="15840" tabRatio="787" activeTab="10" xr2:uid="{00000000-000D-0000-FFFF-FFFF00000000}"/>
  </bookViews>
  <sheets>
    <sheet name="Portada" sheetId="1" r:id="rId1"/>
    <sheet name="Indice" sheetId="2" r:id="rId2"/>
    <sheet name="Hipótesis" sheetId="3" r:id="rId3"/>
    <sheet name="Proy. ventas" sheetId="4" r:id="rId4"/>
    <sheet name="Anexo capacidad operativa" sheetId="5" r:id="rId5"/>
    <sheet name="Mod. ingresos" sheetId="6" r:id="rId6"/>
    <sheet name="Costos fijos" sheetId="7" r:id="rId7"/>
    <sheet name="Costos RRHH" sheetId="9" r:id="rId8"/>
    <sheet name="Mod. egresos" sheetId="10" r:id="rId9"/>
    <sheet name="Mod. inversión" sheetId="11" r:id="rId10"/>
    <sheet name="Amortizaciones" sheetId="12" r:id="rId11"/>
    <sheet name="Presupuesto financiero" sheetId="13" r:id="rId12"/>
    <sheet name="Matriz riesgo" sheetId="14" r:id="rId13"/>
    <sheet name="Mi Escenario 1" sheetId="20" r:id="rId14"/>
    <sheet name="Mi Escenario 2" sheetId="21" r:id="rId15"/>
    <sheet name="Mi Escenario 3" sheetId="22" r:id="rId16"/>
    <sheet name="Mi plan de contingencia" sheetId="23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83" i="4" l="1"/>
  <c r="AB83" i="4"/>
  <c r="AB19" i="4"/>
  <c r="AB20" i="4"/>
  <c r="Z20" i="4"/>
  <c r="G13" i="22"/>
  <c r="G15" i="23"/>
  <c r="F15" i="23"/>
  <c r="E6" i="14"/>
  <c r="M19" i="20"/>
  <c r="M19" i="21"/>
  <c r="M19" i="22"/>
  <c r="M19" i="23"/>
  <c r="Z48" i="5"/>
  <c r="X48" i="5"/>
  <c r="V48" i="5"/>
  <c r="T48" i="5"/>
  <c r="R48" i="5"/>
  <c r="P48" i="5"/>
  <c r="N48" i="5"/>
  <c r="N43" i="5"/>
  <c r="P43" i="5"/>
  <c r="R43" i="5"/>
  <c r="T43" i="5"/>
  <c r="V43" i="5"/>
  <c r="X43" i="5"/>
  <c r="Z43" i="5"/>
  <c r="N44" i="5"/>
  <c r="P44" i="5"/>
  <c r="R44" i="5"/>
  <c r="T44" i="5"/>
  <c r="V44" i="5"/>
  <c r="X44" i="5"/>
  <c r="Z44" i="5"/>
  <c r="N45" i="5"/>
  <c r="P45" i="5"/>
  <c r="R45" i="5"/>
  <c r="T45" i="5"/>
  <c r="V45" i="5"/>
  <c r="X45" i="5"/>
  <c r="Z45" i="5"/>
  <c r="N46" i="5"/>
  <c r="P46" i="5"/>
  <c r="R46" i="5"/>
  <c r="T46" i="5"/>
  <c r="V46" i="5"/>
  <c r="X46" i="5"/>
  <c r="Z46" i="5"/>
  <c r="N47" i="5"/>
  <c r="P47" i="5"/>
  <c r="R47" i="5"/>
  <c r="T47" i="5"/>
  <c r="V47" i="5"/>
  <c r="X47" i="5"/>
  <c r="Z47" i="5"/>
  <c r="J43" i="5"/>
  <c r="L43" i="5"/>
  <c r="J44" i="5"/>
  <c r="L44" i="5"/>
  <c r="J45" i="5"/>
  <c r="L45" i="5"/>
  <c r="J46" i="5"/>
  <c r="L46" i="5"/>
  <c r="J47" i="5"/>
  <c r="L47" i="5"/>
  <c r="J48" i="5"/>
  <c r="L48" i="5"/>
  <c r="H48" i="5"/>
  <c r="H47" i="5"/>
  <c r="H46" i="5"/>
  <c r="H45" i="5"/>
  <c r="H44" i="5"/>
  <c r="H43" i="5"/>
  <c r="F48" i="5"/>
  <c r="F47" i="5"/>
  <c r="F46" i="5"/>
  <c r="F45" i="5"/>
  <c r="F44" i="5"/>
  <c r="F43" i="5"/>
  <c r="D48" i="5"/>
  <c r="D47" i="5"/>
  <c r="D46" i="5"/>
  <c r="D45" i="5"/>
  <c r="D44" i="5"/>
  <c r="D43" i="5"/>
  <c r="N37" i="5"/>
  <c r="P37" i="5"/>
  <c r="R37" i="5"/>
  <c r="T37" i="5"/>
  <c r="V37" i="5"/>
  <c r="X37" i="5"/>
  <c r="Z37" i="5"/>
  <c r="J32" i="5"/>
  <c r="L32" i="5"/>
  <c r="N32" i="5"/>
  <c r="P32" i="5"/>
  <c r="R32" i="5"/>
  <c r="T32" i="5"/>
  <c r="V32" i="5"/>
  <c r="X32" i="5"/>
  <c r="Z32" i="5"/>
  <c r="J33" i="5"/>
  <c r="L33" i="5"/>
  <c r="N33" i="5"/>
  <c r="P33" i="5"/>
  <c r="R33" i="5"/>
  <c r="T33" i="5"/>
  <c r="V33" i="5"/>
  <c r="X33" i="5"/>
  <c r="Z33" i="5"/>
  <c r="J34" i="5"/>
  <c r="L34" i="5"/>
  <c r="N34" i="5"/>
  <c r="P34" i="5"/>
  <c r="R34" i="5"/>
  <c r="T34" i="5"/>
  <c r="V34" i="5"/>
  <c r="X34" i="5"/>
  <c r="Z34" i="5"/>
  <c r="J35" i="5"/>
  <c r="L35" i="5"/>
  <c r="N35" i="5"/>
  <c r="P35" i="5"/>
  <c r="R35" i="5"/>
  <c r="T35" i="5"/>
  <c r="V35" i="5"/>
  <c r="X35" i="5"/>
  <c r="Z35" i="5"/>
  <c r="J36" i="5"/>
  <c r="L36" i="5"/>
  <c r="N36" i="5"/>
  <c r="P36" i="5"/>
  <c r="R36" i="5"/>
  <c r="T36" i="5"/>
  <c r="V36" i="5"/>
  <c r="X36" i="5"/>
  <c r="Z36" i="5"/>
  <c r="D35" i="5"/>
  <c r="F35" i="5"/>
  <c r="H35" i="5"/>
  <c r="D36" i="5"/>
  <c r="F36" i="5"/>
  <c r="H36" i="5"/>
  <c r="H34" i="5"/>
  <c r="F34" i="5"/>
  <c r="D34" i="5"/>
  <c r="H33" i="5"/>
  <c r="F33" i="5"/>
  <c r="D33" i="5"/>
  <c r="Y40" i="9"/>
  <c r="H32" i="5"/>
  <c r="F32" i="5"/>
  <c r="D32" i="5"/>
  <c r="F22" i="5"/>
  <c r="H22" i="5"/>
  <c r="J22" i="5"/>
  <c r="L22" i="5"/>
  <c r="N22" i="5"/>
  <c r="P22" i="5"/>
  <c r="R22" i="5"/>
  <c r="T22" i="5"/>
  <c r="V22" i="5"/>
  <c r="X22" i="5"/>
  <c r="Z22" i="5"/>
  <c r="F23" i="5"/>
  <c r="H23" i="5"/>
  <c r="J23" i="5"/>
  <c r="L23" i="5"/>
  <c r="N23" i="5"/>
  <c r="P23" i="5"/>
  <c r="R23" i="5"/>
  <c r="T23" i="5"/>
  <c r="V23" i="5"/>
  <c r="X23" i="5"/>
  <c r="Z23" i="5"/>
  <c r="F24" i="5"/>
  <c r="H24" i="5"/>
  <c r="J24" i="5"/>
  <c r="L24" i="5"/>
  <c r="N24" i="5"/>
  <c r="P24" i="5"/>
  <c r="R24" i="5"/>
  <c r="T24" i="5"/>
  <c r="V24" i="5"/>
  <c r="X24" i="5"/>
  <c r="Z24" i="5"/>
  <c r="F25" i="5"/>
  <c r="H25" i="5"/>
  <c r="J25" i="5"/>
  <c r="L25" i="5"/>
  <c r="N25" i="5"/>
  <c r="P25" i="5"/>
  <c r="R25" i="5"/>
  <c r="T25" i="5"/>
  <c r="V25" i="5"/>
  <c r="X25" i="5"/>
  <c r="Z25" i="5"/>
  <c r="F26" i="5"/>
  <c r="H26" i="5"/>
  <c r="J26" i="5"/>
  <c r="L26" i="5"/>
  <c r="N26" i="5"/>
  <c r="P26" i="5"/>
  <c r="R26" i="5"/>
  <c r="T26" i="5"/>
  <c r="V26" i="5"/>
  <c r="X26" i="5"/>
  <c r="Z26" i="5"/>
  <c r="D23" i="5"/>
  <c r="D24" i="5"/>
  <c r="D25" i="5"/>
  <c r="D26" i="5"/>
  <c r="D22" i="5"/>
  <c r="B14" i="5"/>
  <c r="Z21" i="4"/>
  <c r="AB21" i="4"/>
  <c r="C51" i="7"/>
  <c r="E13" i="7"/>
  <c r="D13" i="11"/>
  <c r="E13" i="11" s="1"/>
  <c r="E28" i="7"/>
  <c r="F28" i="7"/>
  <c r="G28" i="7"/>
  <c r="H28" i="7"/>
  <c r="I28" i="7"/>
  <c r="J28" i="7"/>
  <c r="K28" i="7"/>
  <c r="L28" i="7"/>
  <c r="M28" i="7"/>
  <c r="N28" i="7"/>
  <c r="O28" i="7"/>
  <c r="D28" i="7"/>
  <c r="E41" i="7"/>
  <c r="F41" i="7"/>
  <c r="G41" i="7"/>
  <c r="H41" i="7"/>
  <c r="I41" i="7"/>
  <c r="J41" i="7"/>
  <c r="K41" i="7"/>
  <c r="L41" i="7"/>
  <c r="M41" i="7"/>
  <c r="N41" i="7"/>
  <c r="O41" i="7"/>
  <c r="D41" i="7"/>
  <c r="B82" i="4"/>
  <c r="R82" i="4" s="1"/>
  <c r="G53" i="4"/>
  <c r="I13" i="12"/>
  <c r="H12" i="12"/>
  <c r="C32" i="11"/>
  <c r="G12" i="12"/>
  <c r="H13" i="12"/>
  <c r="G13" i="12"/>
  <c r="E13" i="12"/>
  <c r="J13" i="12" s="1"/>
  <c r="E12" i="12"/>
  <c r="I12" i="12" s="1"/>
  <c r="E11" i="12"/>
  <c r="C58" i="11"/>
  <c r="C51" i="11"/>
  <c r="C52" i="11"/>
  <c r="C53" i="11"/>
  <c r="C54" i="11"/>
  <c r="C55" i="11"/>
  <c r="C56" i="11"/>
  <c r="C57" i="11"/>
  <c r="D59" i="11"/>
  <c r="C45" i="11"/>
  <c r="B46" i="11"/>
  <c r="B59" i="11" s="1"/>
  <c r="C20" i="11"/>
  <c r="E20" i="11" s="1"/>
  <c r="D15" i="11"/>
  <c r="E15" i="11" s="1"/>
  <c r="D16" i="11"/>
  <c r="E16" i="11" s="1"/>
  <c r="D17" i="11"/>
  <c r="E17" i="11" s="1"/>
  <c r="D18" i="11"/>
  <c r="E18" i="11" s="1"/>
  <c r="D12" i="11"/>
  <c r="E12" i="11" s="1"/>
  <c r="D11" i="11"/>
  <c r="E11" i="11" s="1"/>
  <c r="B11" i="11"/>
  <c r="B38" i="11" s="1"/>
  <c r="B51" i="11" s="1"/>
  <c r="B12" i="11"/>
  <c r="B39" i="11" s="1"/>
  <c r="B52" i="11" s="1"/>
  <c r="B13" i="11"/>
  <c r="B40" i="11" s="1"/>
  <c r="B53" i="11" s="1"/>
  <c r="B14" i="11"/>
  <c r="B41" i="11" s="1"/>
  <c r="B54" i="11" s="1"/>
  <c r="B15" i="11"/>
  <c r="B42" i="11" s="1"/>
  <c r="B55" i="11" s="1"/>
  <c r="B16" i="11"/>
  <c r="B43" i="11" s="1"/>
  <c r="B56" i="11" s="1"/>
  <c r="B17" i="11"/>
  <c r="B44" i="11" s="1"/>
  <c r="B57" i="11" s="1"/>
  <c r="B18" i="11"/>
  <c r="B45" i="11" s="1"/>
  <c r="B58" i="11" s="1"/>
  <c r="E19" i="11"/>
  <c r="C107" i="4"/>
  <c r="C75" i="4"/>
  <c r="C95" i="4"/>
  <c r="D95" i="4"/>
  <c r="C96" i="4"/>
  <c r="D96" i="4"/>
  <c r="C97" i="4"/>
  <c r="D97" i="4"/>
  <c r="C98" i="4"/>
  <c r="D98" i="4"/>
  <c r="C99" i="4"/>
  <c r="D99" i="4"/>
  <c r="C100" i="4"/>
  <c r="D100" i="4"/>
  <c r="C63" i="4"/>
  <c r="D63" i="4"/>
  <c r="C64" i="4"/>
  <c r="D64" i="4"/>
  <c r="C65" i="4"/>
  <c r="D65" i="4"/>
  <c r="C66" i="4"/>
  <c r="D66" i="4"/>
  <c r="C67" i="4"/>
  <c r="D67" i="4"/>
  <c r="C68" i="4"/>
  <c r="D68" i="4"/>
  <c r="C32" i="4"/>
  <c r="C43" i="4" s="1"/>
  <c r="D32" i="4"/>
  <c r="C33" i="4"/>
  <c r="D33" i="4"/>
  <c r="C34" i="4"/>
  <c r="D34" i="4"/>
  <c r="C35" i="4"/>
  <c r="D35" i="4"/>
  <c r="C36" i="4"/>
  <c r="D36" i="4"/>
  <c r="B83" i="4"/>
  <c r="P83" i="4" s="1"/>
  <c r="E22" i="4"/>
  <c r="E26" i="4" s="1"/>
  <c r="G22" i="4"/>
  <c r="I22" i="4"/>
  <c r="K22" i="4"/>
  <c r="M22" i="4"/>
  <c r="O22" i="4"/>
  <c r="Q22" i="4"/>
  <c r="S22" i="4"/>
  <c r="U22" i="4"/>
  <c r="W22" i="4"/>
  <c r="Y22" i="4"/>
  <c r="AA22" i="4"/>
  <c r="E23" i="4"/>
  <c r="G23" i="4" s="1"/>
  <c r="I23" i="4" s="1"/>
  <c r="K23" i="4" s="1"/>
  <c r="E24" i="4"/>
  <c r="G24" i="4" s="1"/>
  <c r="I24" i="4" s="1"/>
  <c r="E25" i="4"/>
  <c r="G25" i="4" s="1"/>
  <c r="D44" i="7"/>
  <c r="E44" i="7"/>
  <c r="F44" i="7"/>
  <c r="G44" i="7"/>
  <c r="H44" i="7"/>
  <c r="I44" i="7"/>
  <c r="J44" i="7"/>
  <c r="K44" i="7"/>
  <c r="L44" i="7"/>
  <c r="M44" i="7"/>
  <c r="N44" i="7"/>
  <c r="O44" i="7"/>
  <c r="C51" i="9"/>
  <c r="C52" i="9"/>
  <c r="C53" i="9"/>
  <c r="C54" i="9"/>
  <c r="C55" i="9"/>
  <c r="C56" i="9"/>
  <c r="E51" i="9"/>
  <c r="G51" i="9"/>
  <c r="I51" i="9"/>
  <c r="K51" i="9"/>
  <c r="M51" i="9"/>
  <c r="O51" i="9"/>
  <c r="Q51" i="9"/>
  <c r="S51" i="9"/>
  <c r="U51" i="9"/>
  <c r="W51" i="9"/>
  <c r="Y51" i="9"/>
  <c r="E52" i="9"/>
  <c r="G52" i="9"/>
  <c r="I52" i="9"/>
  <c r="K52" i="9"/>
  <c r="M52" i="9"/>
  <c r="O52" i="9"/>
  <c r="Q52" i="9"/>
  <c r="S52" i="9"/>
  <c r="U52" i="9"/>
  <c r="W52" i="9"/>
  <c r="Y52" i="9"/>
  <c r="E53" i="9"/>
  <c r="G53" i="9"/>
  <c r="I53" i="9"/>
  <c r="K53" i="9"/>
  <c r="M53" i="9"/>
  <c r="O53" i="9"/>
  <c r="Q53" i="9"/>
  <c r="S53" i="9"/>
  <c r="U53" i="9"/>
  <c r="W53" i="9"/>
  <c r="Y53" i="9"/>
  <c r="E54" i="9"/>
  <c r="G54" i="9"/>
  <c r="I54" i="9"/>
  <c r="K54" i="9"/>
  <c r="M54" i="9"/>
  <c r="O54" i="9"/>
  <c r="Q54" i="9"/>
  <c r="S54" i="9"/>
  <c r="U54" i="9"/>
  <c r="W54" i="9"/>
  <c r="Y54" i="9"/>
  <c r="E55" i="9"/>
  <c r="G55" i="9"/>
  <c r="I55" i="9"/>
  <c r="K55" i="9"/>
  <c r="M55" i="9"/>
  <c r="O55" i="9"/>
  <c r="Q55" i="9"/>
  <c r="S55" i="9"/>
  <c r="U55" i="9"/>
  <c r="W55" i="9"/>
  <c r="Y55" i="9"/>
  <c r="E56" i="9"/>
  <c r="G56" i="9"/>
  <c r="I56" i="9"/>
  <c r="K56" i="9"/>
  <c r="M56" i="9"/>
  <c r="O56" i="9"/>
  <c r="Q56" i="9"/>
  <c r="S56" i="9"/>
  <c r="U56" i="9"/>
  <c r="W56" i="9"/>
  <c r="Y56" i="9"/>
  <c r="G38" i="9"/>
  <c r="I38" i="9"/>
  <c r="K38" i="9"/>
  <c r="M38" i="9"/>
  <c r="O38" i="9"/>
  <c r="Q38" i="9"/>
  <c r="S38" i="9"/>
  <c r="U38" i="9"/>
  <c r="W38" i="9"/>
  <c r="Y38" i="9"/>
  <c r="G39" i="9"/>
  <c r="I39" i="9"/>
  <c r="K39" i="9"/>
  <c r="M39" i="9"/>
  <c r="O39" i="9"/>
  <c r="Q39" i="9"/>
  <c r="S39" i="9"/>
  <c r="U39" i="9"/>
  <c r="W39" i="9"/>
  <c r="Y39" i="9"/>
  <c r="G40" i="9"/>
  <c r="I40" i="9"/>
  <c r="K40" i="9"/>
  <c r="M40" i="9"/>
  <c r="O40" i="9"/>
  <c r="Q40" i="9"/>
  <c r="S40" i="9"/>
  <c r="U40" i="9"/>
  <c r="W40" i="9"/>
  <c r="G41" i="9"/>
  <c r="I41" i="9"/>
  <c r="K41" i="9"/>
  <c r="M41" i="9"/>
  <c r="O41" i="9"/>
  <c r="Q41" i="9"/>
  <c r="S41" i="9"/>
  <c r="U41" i="9"/>
  <c r="W41" i="9"/>
  <c r="Y41" i="9"/>
  <c r="G42" i="9"/>
  <c r="I42" i="9"/>
  <c r="K42" i="9"/>
  <c r="M42" i="9"/>
  <c r="O42" i="9"/>
  <c r="Q42" i="9"/>
  <c r="S42" i="9"/>
  <c r="U42" i="9"/>
  <c r="W42" i="9"/>
  <c r="Y42" i="9"/>
  <c r="G43" i="9"/>
  <c r="I43" i="9"/>
  <c r="K43" i="9"/>
  <c r="M43" i="9"/>
  <c r="O43" i="9"/>
  <c r="Q43" i="9"/>
  <c r="S43" i="9"/>
  <c r="U43" i="9"/>
  <c r="W43" i="9"/>
  <c r="Y43" i="9"/>
  <c r="E38" i="9"/>
  <c r="E39" i="9"/>
  <c r="E40" i="9"/>
  <c r="E41" i="9"/>
  <c r="E42" i="9"/>
  <c r="E43" i="9"/>
  <c r="C38" i="9"/>
  <c r="C39" i="9"/>
  <c r="C40" i="9"/>
  <c r="C41" i="9"/>
  <c r="C42" i="9"/>
  <c r="C43" i="9"/>
  <c r="E26" i="9"/>
  <c r="G26" i="9"/>
  <c r="I26" i="9"/>
  <c r="K26" i="9"/>
  <c r="M26" i="9"/>
  <c r="O26" i="9"/>
  <c r="Q26" i="9"/>
  <c r="S26" i="9"/>
  <c r="U26" i="9"/>
  <c r="W26" i="9"/>
  <c r="Y26" i="9"/>
  <c r="E27" i="9"/>
  <c r="G27" i="9"/>
  <c r="I27" i="9"/>
  <c r="K27" i="9"/>
  <c r="M27" i="9"/>
  <c r="O27" i="9"/>
  <c r="Q27" i="9"/>
  <c r="S27" i="9"/>
  <c r="U27" i="9"/>
  <c r="W27" i="9"/>
  <c r="Y27" i="9"/>
  <c r="E28" i="9"/>
  <c r="G28" i="9"/>
  <c r="I28" i="9"/>
  <c r="K28" i="9"/>
  <c r="M28" i="9"/>
  <c r="O28" i="9"/>
  <c r="Q28" i="9"/>
  <c r="S28" i="9"/>
  <c r="U28" i="9"/>
  <c r="W28" i="9"/>
  <c r="Y28" i="9"/>
  <c r="E29" i="9"/>
  <c r="G29" i="9"/>
  <c r="I29" i="9"/>
  <c r="K29" i="9"/>
  <c r="M29" i="9"/>
  <c r="O29" i="9"/>
  <c r="Q29" i="9"/>
  <c r="S29" i="9"/>
  <c r="U29" i="9"/>
  <c r="W29" i="9"/>
  <c r="Y29" i="9"/>
  <c r="E30" i="9"/>
  <c r="G30" i="9"/>
  <c r="I30" i="9"/>
  <c r="K30" i="9"/>
  <c r="M30" i="9"/>
  <c r="O30" i="9"/>
  <c r="Q30" i="9"/>
  <c r="S30" i="9"/>
  <c r="U30" i="9"/>
  <c r="W30" i="9"/>
  <c r="Y30" i="9"/>
  <c r="B51" i="9"/>
  <c r="B52" i="9"/>
  <c r="B53" i="9"/>
  <c r="B54" i="9"/>
  <c r="B55" i="9"/>
  <c r="B56" i="9"/>
  <c r="B38" i="9"/>
  <c r="B39" i="9"/>
  <c r="B40" i="9"/>
  <c r="B41" i="9"/>
  <c r="B42" i="9"/>
  <c r="B43" i="9"/>
  <c r="C26" i="9"/>
  <c r="C27" i="9"/>
  <c r="C28" i="9"/>
  <c r="C29" i="9"/>
  <c r="C30" i="9"/>
  <c r="B26" i="9"/>
  <c r="B27" i="9"/>
  <c r="B28" i="9"/>
  <c r="B29" i="9"/>
  <c r="B30" i="9"/>
  <c r="C14" i="9"/>
  <c r="C18" i="9"/>
  <c r="C15" i="9"/>
  <c r="C16" i="9"/>
  <c r="C17" i="9"/>
  <c r="C19" i="9"/>
  <c r="E31" i="7"/>
  <c r="F31" i="7"/>
  <c r="G31" i="7"/>
  <c r="H31" i="7"/>
  <c r="I31" i="7"/>
  <c r="J31" i="7"/>
  <c r="K31" i="7"/>
  <c r="L31" i="7"/>
  <c r="M31" i="7"/>
  <c r="N31" i="7"/>
  <c r="O31" i="7"/>
  <c r="D31" i="7"/>
  <c r="O43" i="7"/>
  <c r="N43" i="7"/>
  <c r="M43" i="7"/>
  <c r="L43" i="7"/>
  <c r="K43" i="7"/>
  <c r="J43" i="7"/>
  <c r="I43" i="7"/>
  <c r="H43" i="7"/>
  <c r="G43" i="7"/>
  <c r="F43" i="7"/>
  <c r="E43" i="7"/>
  <c r="D43" i="7"/>
  <c r="O42" i="7"/>
  <c r="N42" i="7"/>
  <c r="M42" i="7"/>
  <c r="L42" i="7"/>
  <c r="K42" i="7"/>
  <c r="J42" i="7"/>
  <c r="I42" i="7"/>
  <c r="H42" i="7"/>
  <c r="G42" i="7"/>
  <c r="F42" i="7"/>
  <c r="E42" i="7"/>
  <c r="D42" i="7"/>
  <c r="O38" i="7"/>
  <c r="N38" i="7"/>
  <c r="M38" i="7"/>
  <c r="L38" i="7"/>
  <c r="K38" i="7"/>
  <c r="J38" i="7"/>
  <c r="I38" i="7"/>
  <c r="H38" i="7"/>
  <c r="G38" i="7"/>
  <c r="F38" i="7"/>
  <c r="E38" i="7"/>
  <c r="D38" i="7"/>
  <c r="O37" i="7"/>
  <c r="N37" i="7"/>
  <c r="M37" i="7"/>
  <c r="L37" i="7"/>
  <c r="K37" i="7"/>
  <c r="J37" i="7"/>
  <c r="I37" i="7"/>
  <c r="H37" i="7"/>
  <c r="G37" i="7"/>
  <c r="F37" i="7"/>
  <c r="E37" i="7"/>
  <c r="D37" i="7"/>
  <c r="E24" i="7"/>
  <c r="F24" i="7"/>
  <c r="G24" i="7"/>
  <c r="H24" i="7"/>
  <c r="I24" i="7"/>
  <c r="J24" i="7"/>
  <c r="K24" i="7"/>
  <c r="L24" i="7"/>
  <c r="M24" i="7"/>
  <c r="N24" i="7"/>
  <c r="O24" i="7"/>
  <c r="D24" i="7"/>
  <c r="O30" i="7"/>
  <c r="N30" i="7"/>
  <c r="M30" i="7"/>
  <c r="L30" i="7"/>
  <c r="K30" i="7"/>
  <c r="J30" i="7"/>
  <c r="I30" i="7"/>
  <c r="H30" i="7"/>
  <c r="G30" i="7"/>
  <c r="F30" i="7"/>
  <c r="E30" i="7"/>
  <c r="D30" i="7"/>
  <c r="O29" i="7"/>
  <c r="N29" i="7"/>
  <c r="M29" i="7"/>
  <c r="L29" i="7"/>
  <c r="K29" i="7"/>
  <c r="J29" i="7"/>
  <c r="I29" i="7"/>
  <c r="H29" i="7"/>
  <c r="G29" i="7"/>
  <c r="F29" i="7"/>
  <c r="E29" i="7"/>
  <c r="D29" i="7"/>
  <c r="O25" i="7"/>
  <c r="N25" i="7"/>
  <c r="M25" i="7"/>
  <c r="L25" i="7"/>
  <c r="K25" i="7"/>
  <c r="J25" i="7"/>
  <c r="I25" i="7"/>
  <c r="H25" i="7"/>
  <c r="G25" i="7"/>
  <c r="F25" i="7"/>
  <c r="E25" i="7"/>
  <c r="D25" i="7"/>
  <c r="E18" i="7"/>
  <c r="F18" i="7"/>
  <c r="G18" i="7"/>
  <c r="H18" i="7"/>
  <c r="I18" i="7"/>
  <c r="J18" i="7"/>
  <c r="K18" i="7"/>
  <c r="L18" i="7"/>
  <c r="M18" i="7"/>
  <c r="N18" i="7"/>
  <c r="O18" i="7"/>
  <c r="D18" i="7"/>
  <c r="E17" i="7"/>
  <c r="F17" i="7"/>
  <c r="G17" i="7"/>
  <c r="H17" i="7"/>
  <c r="I17" i="7"/>
  <c r="J17" i="7"/>
  <c r="K17" i="7"/>
  <c r="L17" i="7"/>
  <c r="M17" i="7"/>
  <c r="N17" i="7"/>
  <c r="O17" i="7"/>
  <c r="D17" i="7"/>
  <c r="E16" i="7"/>
  <c r="F16" i="7"/>
  <c r="G16" i="7"/>
  <c r="H16" i="7"/>
  <c r="I16" i="7"/>
  <c r="J16" i="7"/>
  <c r="K16" i="7"/>
  <c r="L16" i="7"/>
  <c r="M16" i="7"/>
  <c r="N16" i="7"/>
  <c r="O16" i="7"/>
  <c r="D16" i="7"/>
  <c r="E15" i="7"/>
  <c r="F15" i="7"/>
  <c r="G15" i="7"/>
  <c r="H15" i="7"/>
  <c r="I15" i="7"/>
  <c r="J15" i="7"/>
  <c r="K15" i="7"/>
  <c r="L15" i="7"/>
  <c r="M15" i="7"/>
  <c r="N15" i="7"/>
  <c r="O15" i="7"/>
  <c r="D15" i="7"/>
  <c r="G12" i="7"/>
  <c r="H12" i="7"/>
  <c r="I12" i="7"/>
  <c r="J12" i="7"/>
  <c r="K12" i="7"/>
  <c r="L12" i="7"/>
  <c r="M12" i="7"/>
  <c r="N12" i="7"/>
  <c r="O12" i="7"/>
  <c r="F12" i="7"/>
  <c r="E12" i="7"/>
  <c r="D12" i="7"/>
  <c r="M11" i="7"/>
  <c r="N11" i="7"/>
  <c r="O11" i="7"/>
  <c r="L11" i="7"/>
  <c r="K11" i="7"/>
  <c r="J11" i="7"/>
  <c r="I11" i="7"/>
  <c r="H11" i="7"/>
  <c r="G11" i="7"/>
  <c r="F11" i="7"/>
  <c r="D11" i="7"/>
  <c r="E11" i="7"/>
  <c r="C55" i="7"/>
  <c r="G14" i="7" s="1"/>
  <c r="B26" i="11" l="1"/>
  <c r="B27" i="11"/>
  <c r="D14" i="11"/>
  <c r="E14" i="11" s="1"/>
  <c r="D32" i="11"/>
  <c r="E32" i="11" s="1"/>
  <c r="D30" i="11"/>
  <c r="E30" i="11" s="1"/>
  <c r="D25" i="11"/>
  <c r="E25" i="11" s="1"/>
  <c r="B25" i="11"/>
  <c r="B31" i="11"/>
  <c r="B30" i="11"/>
  <c r="M13" i="12"/>
  <c r="M12" i="12"/>
  <c r="L12" i="12"/>
  <c r="Z82" i="4"/>
  <c r="AB82" i="4"/>
  <c r="H83" i="4"/>
  <c r="J83" i="4"/>
  <c r="N83" i="4"/>
  <c r="B29" i="11"/>
  <c r="B28" i="11"/>
  <c r="D31" i="11"/>
  <c r="E31" i="11" s="1"/>
  <c r="D27" i="11"/>
  <c r="E27" i="11" s="1"/>
  <c r="D29" i="11"/>
  <c r="E29" i="11" s="1"/>
  <c r="D26" i="11"/>
  <c r="E26" i="11" s="1"/>
  <c r="B32" i="11"/>
  <c r="D11" i="12"/>
  <c r="G11" i="12"/>
  <c r="D42" i="11"/>
  <c r="D55" i="11" s="1"/>
  <c r="E55" i="11" s="1"/>
  <c r="D40" i="11"/>
  <c r="D53" i="11" s="1"/>
  <c r="E53" i="11" s="1"/>
  <c r="D39" i="11"/>
  <c r="D52" i="11" s="1"/>
  <c r="E52" i="11" s="1"/>
  <c r="D38" i="11"/>
  <c r="D51" i="11" s="1"/>
  <c r="E51" i="11" s="1"/>
  <c r="D45" i="11"/>
  <c r="D58" i="11" s="1"/>
  <c r="E58" i="11" s="1"/>
  <c r="D44" i="11"/>
  <c r="D57" i="11" s="1"/>
  <c r="E57" i="11" s="1"/>
  <c r="D43" i="11"/>
  <c r="D56" i="11" s="1"/>
  <c r="E56" i="11" s="1"/>
  <c r="C46" i="11"/>
  <c r="P42" i="7"/>
  <c r="F14" i="7"/>
  <c r="E14" i="7"/>
  <c r="E19" i="7" s="1"/>
  <c r="P43" i="7"/>
  <c r="D27" i="7"/>
  <c r="E27" i="7"/>
  <c r="F27" i="7"/>
  <c r="P37" i="7"/>
  <c r="H27" i="7"/>
  <c r="I27" i="7"/>
  <c r="P29" i="7"/>
  <c r="D40" i="7"/>
  <c r="P31" i="7"/>
  <c r="G27" i="7"/>
  <c r="E40" i="7"/>
  <c r="J27" i="7"/>
  <c r="K27" i="7"/>
  <c r="F40" i="7"/>
  <c r="O14" i="7"/>
  <c r="M27" i="7"/>
  <c r="H40" i="7"/>
  <c r="N27" i="7"/>
  <c r="I40" i="7"/>
  <c r="G40" i="7"/>
  <c r="M14" i="7"/>
  <c r="O27" i="7"/>
  <c r="J40" i="7"/>
  <c r="P30" i="7"/>
  <c r="L14" i="7"/>
  <c r="L19" i="7" s="1"/>
  <c r="K40" i="7"/>
  <c r="K14" i="7"/>
  <c r="P28" i="7"/>
  <c r="L40" i="7"/>
  <c r="J14" i="7"/>
  <c r="M40" i="7"/>
  <c r="P41" i="7"/>
  <c r="D14" i="7"/>
  <c r="L27" i="7"/>
  <c r="N14" i="7"/>
  <c r="I14" i="7"/>
  <c r="N40" i="7"/>
  <c r="H14" i="7"/>
  <c r="O40" i="7"/>
  <c r="P38" i="7"/>
  <c r="L83" i="4"/>
  <c r="I26" i="4"/>
  <c r="K26" i="4" s="1"/>
  <c r="M26" i="4" s="1"/>
  <c r="O26" i="4" s="1"/>
  <c r="Q26" i="4" s="1"/>
  <c r="S26" i="4" s="1"/>
  <c r="U26" i="4" s="1"/>
  <c r="W26" i="4" s="1"/>
  <c r="G26" i="4"/>
  <c r="I25" i="4"/>
  <c r="K24" i="4"/>
  <c r="M23" i="4"/>
  <c r="O23" i="4" s="1"/>
  <c r="Q23" i="4" s="1"/>
  <c r="S23" i="4" s="1"/>
  <c r="U23" i="4" s="1"/>
  <c r="W23" i="4" s="1"/>
  <c r="Y23" i="4" s="1"/>
  <c r="D26" i="7"/>
  <c r="E39" i="7"/>
  <c r="D13" i="7"/>
  <c r="E26" i="7"/>
  <c r="F39" i="7"/>
  <c r="O13" i="7"/>
  <c r="F26" i="7"/>
  <c r="G39" i="7"/>
  <c r="N13" i="7"/>
  <c r="G26" i="7"/>
  <c r="H39" i="7"/>
  <c r="M13" i="7"/>
  <c r="H26" i="7"/>
  <c r="I39" i="7"/>
  <c r="L13" i="7"/>
  <c r="I26" i="7"/>
  <c r="J39" i="7"/>
  <c r="J26" i="7"/>
  <c r="J13" i="7"/>
  <c r="K26" i="7"/>
  <c r="L39" i="7"/>
  <c r="H13" i="7"/>
  <c r="N26" i="7"/>
  <c r="O39" i="7"/>
  <c r="D39" i="7"/>
  <c r="K13" i="7"/>
  <c r="K39" i="7"/>
  <c r="I13" i="7"/>
  <c r="L26" i="7"/>
  <c r="M39" i="7"/>
  <c r="M26" i="7"/>
  <c r="N39" i="7"/>
  <c r="G13" i="7"/>
  <c r="G19" i="7" s="1"/>
  <c r="F13" i="7"/>
  <c r="O26" i="7"/>
  <c r="P44" i="7"/>
  <c r="P24" i="7"/>
  <c r="P25" i="7"/>
  <c r="D41" i="11" l="1"/>
  <c r="D54" i="11" s="1"/>
  <c r="E54" i="11" s="1"/>
  <c r="D28" i="11"/>
  <c r="E28" i="11" s="1"/>
  <c r="M19" i="7"/>
  <c r="N19" i="7"/>
  <c r="I19" i="7"/>
  <c r="H19" i="7"/>
  <c r="D19" i="7"/>
  <c r="O19" i="7"/>
  <c r="J19" i="7"/>
  <c r="F19" i="7"/>
  <c r="K19" i="7"/>
  <c r="E33" i="11"/>
  <c r="H5" i="11" s="1"/>
  <c r="D45" i="7"/>
  <c r="F32" i="7"/>
  <c r="E32" i="7"/>
  <c r="D32" i="7"/>
  <c r="L45" i="7"/>
  <c r="M11" i="12"/>
  <c r="M14" i="12" s="1"/>
  <c r="L11" i="12"/>
  <c r="L14" i="12" s="1"/>
  <c r="K11" i="12"/>
  <c r="K14" i="12" s="1"/>
  <c r="C59" i="11"/>
  <c r="D12" i="12"/>
  <c r="E46" i="11"/>
  <c r="E42" i="11"/>
  <c r="E40" i="11"/>
  <c r="E41" i="11"/>
  <c r="E43" i="11"/>
  <c r="E44" i="11"/>
  <c r="E45" i="11"/>
  <c r="E38" i="11"/>
  <c r="E39" i="11"/>
  <c r="N45" i="7"/>
  <c r="H45" i="7"/>
  <c r="J32" i="7"/>
  <c r="H32" i="7"/>
  <c r="I32" i="7"/>
  <c r="F45" i="7"/>
  <c r="P27" i="7"/>
  <c r="E45" i="7"/>
  <c r="J45" i="7"/>
  <c r="M32" i="7"/>
  <c r="M45" i="7"/>
  <c r="L32" i="7"/>
  <c r="G32" i="7"/>
  <c r="K45" i="7"/>
  <c r="G45" i="7"/>
  <c r="K32" i="7"/>
  <c r="P40" i="7"/>
  <c r="N32" i="7"/>
  <c r="O32" i="7"/>
  <c r="I45" i="7"/>
  <c r="M24" i="4"/>
  <c r="O24" i="4" s="1"/>
  <c r="Q24" i="4" s="1"/>
  <c r="S24" i="4" s="1"/>
  <c r="U24" i="4" s="1"/>
  <c r="W24" i="4" s="1"/>
  <c r="Y24" i="4" s="1"/>
  <c r="AA24" i="4" s="1"/>
  <c r="K25" i="4"/>
  <c r="P39" i="7"/>
  <c r="O45" i="7"/>
  <c r="P26" i="7"/>
  <c r="E47" i="11" l="1"/>
  <c r="I5" i="11" s="1"/>
  <c r="P32" i="7"/>
  <c r="E59" i="11"/>
  <c r="E60" i="11" s="1"/>
  <c r="J5" i="11" s="1"/>
  <c r="M20" i="13" s="1"/>
  <c r="G21" i="13" s="1"/>
  <c r="D13" i="12"/>
  <c r="P45" i="7"/>
  <c r="M25" i="4"/>
  <c r="O25" i="4" s="1"/>
  <c r="Q25" i="4" s="1"/>
  <c r="S25" i="4" s="1"/>
  <c r="U25" i="4" s="1"/>
  <c r="W25" i="4" s="1"/>
  <c r="Y25" i="4" s="1"/>
  <c r="AA25" i="4" s="1"/>
  <c r="Y26" i="4" l="1"/>
  <c r="P14" i="7" l="1"/>
  <c r="P15" i="7"/>
  <c r="P16" i="7"/>
  <c r="P17" i="7"/>
  <c r="P18" i="7"/>
  <c r="B84" i="4"/>
  <c r="T83" i="4"/>
  <c r="AA85" i="4"/>
  <c r="Y85" i="4"/>
  <c r="W85" i="4"/>
  <c r="U85" i="4"/>
  <c r="S85" i="4"/>
  <c r="Q85" i="4"/>
  <c r="O85" i="4"/>
  <c r="M85" i="4"/>
  <c r="K85" i="4"/>
  <c r="I85" i="4"/>
  <c r="G85" i="4"/>
  <c r="E85" i="4"/>
  <c r="C84" i="4"/>
  <c r="C83" i="4"/>
  <c r="C82" i="4"/>
  <c r="C50" i="4"/>
  <c r="C51" i="4"/>
  <c r="C52" i="4"/>
  <c r="AA53" i="4"/>
  <c r="Y53" i="4"/>
  <c r="W53" i="4"/>
  <c r="U53" i="4"/>
  <c r="S53" i="4"/>
  <c r="Q53" i="4"/>
  <c r="O53" i="4"/>
  <c r="M53" i="4"/>
  <c r="K53" i="4"/>
  <c r="I53" i="4"/>
  <c r="E53" i="4"/>
  <c r="N84" i="4" l="1"/>
  <c r="P84" i="4"/>
  <c r="T84" i="4"/>
  <c r="R84" i="4"/>
  <c r="L84" i="4"/>
  <c r="J84" i="4"/>
  <c r="H5" i="7"/>
  <c r="I5" i="7"/>
  <c r="D84" i="4"/>
  <c r="C85" i="4"/>
  <c r="F84" i="4"/>
  <c r="D83" i="4"/>
  <c r="H84" i="4"/>
  <c r="F83" i="4"/>
  <c r="R83" i="4"/>
  <c r="C53" i="4"/>
  <c r="E56" i="4" l="1"/>
  <c r="X83" i="4"/>
  <c r="V83" i="4"/>
  <c r="G56" i="4" l="1"/>
  <c r="I56" i="4" s="1"/>
  <c r="K56" i="4" s="1"/>
  <c r="M56" i="4" s="1"/>
  <c r="O56" i="4" s="1"/>
  <c r="Q56" i="4" s="1"/>
  <c r="S56" i="4" s="1"/>
  <c r="U56" i="4" s="1"/>
  <c r="W56" i="4" s="1"/>
  <c r="Y56" i="4" s="1"/>
  <c r="AA56" i="4" s="1"/>
  <c r="E88" i="4" s="1"/>
  <c r="AA23" i="4"/>
  <c r="E54" i="4" s="1"/>
  <c r="F88" i="4" l="1"/>
  <c r="G88" i="4"/>
  <c r="G54" i="4"/>
  <c r="I88" i="4" l="1"/>
  <c r="H88" i="4"/>
  <c r="I54" i="4"/>
  <c r="X84" i="4"/>
  <c r="V84" i="4"/>
  <c r="K54" i="4" l="1"/>
  <c r="K88" i="4"/>
  <c r="J88" i="4"/>
  <c r="E55" i="4"/>
  <c r="AA26" i="4"/>
  <c r="Z84" i="4"/>
  <c r="AB84" i="4"/>
  <c r="M88" i="4" l="1"/>
  <c r="L88" i="4"/>
  <c r="G55" i="4"/>
  <c r="G57" i="4" s="1"/>
  <c r="E57" i="4"/>
  <c r="M54" i="4"/>
  <c r="C19" i="4"/>
  <c r="C21" i="4"/>
  <c r="C20" i="4"/>
  <c r="A21" i="4"/>
  <c r="A20" i="4"/>
  <c r="A19" i="4"/>
  <c r="D12" i="3"/>
  <c r="E12" i="3" s="1"/>
  <c r="M5" i="23"/>
  <c r="L5" i="23"/>
  <c r="K5" i="23"/>
  <c r="M5" i="22"/>
  <c r="L5" i="22"/>
  <c r="K5" i="22"/>
  <c r="M5" i="21"/>
  <c r="L5" i="21"/>
  <c r="K5" i="21"/>
  <c r="M5" i="20"/>
  <c r="L5" i="20"/>
  <c r="K5" i="20"/>
  <c r="Y57" i="9"/>
  <c r="W57" i="9"/>
  <c r="U57" i="9"/>
  <c r="S57" i="9"/>
  <c r="Q57" i="9"/>
  <c r="O57" i="9"/>
  <c r="M57" i="9"/>
  <c r="K57" i="9"/>
  <c r="I57" i="9"/>
  <c r="G57" i="9"/>
  <c r="E57" i="9"/>
  <c r="C57" i="9"/>
  <c r="Y44" i="9"/>
  <c r="W44" i="9"/>
  <c r="U44" i="9"/>
  <c r="S44" i="9"/>
  <c r="Q44" i="9"/>
  <c r="O44" i="9"/>
  <c r="M44" i="9"/>
  <c r="K44" i="9"/>
  <c r="I44" i="9"/>
  <c r="G44" i="9"/>
  <c r="E44" i="9"/>
  <c r="C44" i="9"/>
  <c r="C31" i="9"/>
  <c r="P12" i="7"/>
  <c r="D26" i="3" l="1"/>
  <c r="D27" i="3"/>
  <c r="D25" i="3"/>
  <c r="I55" i="4"/>
  <c r="K55" i="4" s="1"/>
  <c r="O54" i="4"/>
  <c r="N88" i="4"/>
  <c r="O88" i="4"/>
  <c r="C22" i="4"/>
  <c r="C26" i="4" s="1"/>
  <c r="M5" i="13"/>
  <c r="L5" i="13"/>
  <c r="K5" i="13"/>
  <c r="D5" i="12"/>
  <c r="C5" i="12"/>
  <c r="B5" i="12"/>
  <c r="D5" i="11"/>
  <c r="C5" i="11"/>
  <c r="B5" i="11"/>
  <c r="D5" i="10"/>
  <c r="C5" i="10"/>
  <c r="B5" i="10"/>
  <c r="Y31" i="9"/>
  <c r="W31" i="9"/>
  <c r="U31" i="9"/>
  <c r="S31" i="9"/>
  <c r="Q31" i="9"/>
  <c r="O31" i="9"/>
  <c r="M31" i="9"/>
  <c r="K31" i="9"/>
  <c r="I31" i="9"/>
  <c r="G31" i="9"/>
  <c r="E31" i="9"/>
  <c r="J19" i="9"/>
  <c r="H19" i="9"/>
  <c r="G19" i="9"/>
  <c r="F19" i="9"/>
  <c r="E19" i="9"/>
  <c r="J17" i="9"/>
  <c r="H17" i="9"/>
  <c r="G17" i="9"/>
  <c r="F17" i="9"/>
  <c r="E17" i="9"/>
  <c r="J16" i="9"/>
  <c r="H16" i="9"/>
  <c r="G16" i="9"/>
  <c r="F16" i="9"/>
  <c r="E16" i="9"/>
  <c r="J15" i="9"/>
  <c r="H15" i="9"/>
  <c r="G15" i="9"/>
  <c r="F15" i="9"/>
  <c r="E15" i="9"/>
  <c r="J18" i="9"/>
  <c r="H18" i="9"/>
  <c r="G18" i="9"/>
  <c r="F18" i="9"/>
  <c r="E18" i="9"/>
  <c r="J14" i="9"/>
  <c r="H14" i="9"/>
  <c r="G14" i="9"/>
  <c r="F14" i="9"/>
  <c r="E14" i="9"/>
  <c r="D6" i="9"/>
  <c r="C6" i="9"/>
  <c r="B6" i="9"/>
  <c r="P13" i="7"/>
  <c r="P11" i="7"/>
  <c r="P19" i="7" s="1"/>
  <c r="E5" i="7"/>
  <c r="D5" i="7"/>
  <c r="C5" i="7"/>
  <c r="B19" i="6"/>
  <c r="B18" i="6"/>
  <c r="B17" i="6"/>
  <c r="D9" i="6"/>
  <c r="C9" i="6"/>
  <c r="B9" i="6"/>
  <c r="B10" i="5"/>
  <c r="B12" i="5" s="1"/>
  <c r="B13" i="5" s="1"/>
  <c r="B21" i="4"/>
  <c r="B20" i="4"/>
  <c r="B19" i="4"/>
  <c r="J19" i="4" s="1"/>
  <c r="D7" i="4"/>
  <c r="C7" i="4"/>
  <c r="B7" i="4"/>
  <c r="I57" i="4" l="1"/>
  <c r="M6" i="23"/>
  <c r="L20" i="4"/>
  <c r="J20" i="4"/>
  <c r="Q54" i="4"/>
  <c r="P88" i="4"/>
  <c r="Q88" i="4"/>
  <c r="M55" i="4"/>
  <c r="K57" i="4"/>
  <c r="F23" i="4"/>
  <c r="H23" i="4"/>
  <c r="J23" i="4"/>
  <c r="L23" i="4"/>
  <c r="N23" i="4" s="1"/>
  <c r="P23" i="4" s="1"/>
  <c r="R23" i="4" s="1"/>
  <c r="T23" i="4" s="1"/>
  <c r="V23" i="4" s="1"/>
  <c r="F25" i="4"/>
  <c r="H25" i="4"/>
  <c r="J25" i="4"/>
  <c r="L25" i="4"/>
  <c r="N25" i="4" s="1"/>
  <c r="P25" i="4" s="1"/>
  <c r="R25" i="4" s="1"/>
  <c r="T25" i="4" s="1"/>
  <c r="V25" i="4" s="1"/>
  <c r="F24" i="4"/>
  <c r="H24" i="4"/>
  <c r="J24" i="4"/>
  <c r="L24" i="4"/>
  <c r="N24" i="4" s="1"/>
  <c r="P24" i="4" s="1"/>
  <c r="R24" i="4" s="1"/>
  <c r="T24" i="4" s="1"/>
  <c r="V24" i="4" s="1"/>
  <c r="C57" i="4"/>
  <c r="C89" i="4" s="1"/>
  <c r="B52" i="4"/>
  <c r="B51" i="4"/>
  <c r="B50" i="4"/>
  <c r="H54" i="4" s="1"/>
  <c r="D19" i="4"/>
  <c r="L19" i="4"/>
  <c r="F19" i="4"/>
  <c r="P19" i="4"/>
  <c r="N19" i="4"/>
  <c r="H19" i="4"/>
  <c r="T19" i="4"/>
  <c r="D21" i="4"/>
  <c r="F21" i="4"/>
  <c r="H21" i="4"/>
  <c r="D20" i="4"/>
  <c r="H20" i="4"/>
  <c r="F20" i="4"/>
  <c r="T20" i="4"/>
  <c r="R20" i="4"/>
  <c r="M16" i="13"/>
  <c r="K5" i="12"/>
  <c r="M15" i="20"/>
  <c r="M15" i="23"/>
  <c r="M15" i="21"/>
  <c r="M15" i="22"/>
  <c r="L10" i="23"/>
  <c r="F13" i="23" s="1"/>
  <c r="L10" i="22"/>
  <c r="F13" i="22" s="1"/>
  <c r="L10" i="20"/>
  <c r="F13" i="20" s="1"/>
  <c r="L10" i="21"/>
  <c r="F13" i="21" s="1"/>
  <c r="M10" i="13"/>
  <c r="G13" i="13" s="1"/>
  <c r="M10" i="22"/>
  <c r="M10" i="20"/>
  <c r="G13" i="20" s="1"/>
  <c r="M10" i="21"/>
  <c r="G13" i="21" s="1"/>
  <c r="M10" i="23"/>
  <c r="G13" i="23" s="1"/>
  <c r="K18" i="9"/>
  <c r="L18" i="9" s="1"/>
  <c r="K15" i="9"/>
  <c r="L15" i="9" s="1"/>
  <c r="K17" i="9"/>
  <c r="L17" i="9" s="1"/>
  <c r="K19" i="9"/>
  <c r="L19" i="9" s="1"/>
  <c r="K16" i="9"/>
  <c r="L16" i="9" s="1"/>
  <c r="G5" i="7"/>
  <c r="K14" i="9"/>
  <c r="L14" i="9" s="1"/>
  <c r="H56" i="4" l="1"/>
  <c r="P52" i="4"/>
  <c r="N52" i="4"/>
  <c r="L52" i="4"/>
  <c r="J52" i="4"/>
  <c r="H55" i="4"/>
  <c r="H57" i="4" s="1"/>
  <c r="N51" i="4"/>
  <c r="J51" i="4"/>
  <c r="P51" i="4"/>
  <c r="L51" i="4"/>
  <c r="D6" i="10"/>
  <c r="D13" i="10" s="1"/>
  <c r="M6" i="13"/>
  <c r="E6" i="7"/>
  <c r="D6" i="11"/>
  <c r="M6" i="20"/>
  <c r="D10" i="6"/>
  <c r="D6" i="12"/>
  <c r="M6" i="22"/>
  <c r="M6" i="21"/>
  <c r="D8" i="4"/>
  <c r="D7" i="9"/>
  <c r="H52" i="4"/>
  <c r="F52" i="4"/>
  <c r="D22" i="4"/>
  <c r="O55" i="4"/>
  <c r="M57" i="4"/>
  <c r="S54" i="4"/>
  <c r="R88" i="4"/>
  <c r="S88" i="4"/>
  <c r="H22" i="4"/>
  <c r="F22" i="4"/>
  <c r="F26" i="4" s="1"/>
  <c r="R19" i="4"/>
  <c r="X19" i="4" s="1"/>
  <c r="L54" i="4"/>
  <c r="F54" i="4"/>
  <c r="J54" i="4"/>
  <c r="F55" i="4"/>
  <c r="J55" i="4"/>
  <c r="R55" i="9"/>
  <c r="Z55" i="9"/>
  <c r="F55" i="9"/>
  <c r="V55" i="9"/>
  <c r="D55" i="9"/>
  <c r="T55" i="9"/>
  <c r="N55" i="9"/>
  <c r="P55" i="9"/>
  <c r="X55" i="9"/>
  <c r="L55" i="9"/>
  <c r="J55" i="9"/>
  <c r="H55" i="9"/>
  <c r="J53" i="9"/>
  <c r="L53" i="9"/>
  <c r="R53" i="9"/>
  <c r="D53" i="9"/>
  <c r="F53" i="9"/>
  <c r="N53" i="9"/>
  <c r="T53" i="9"/>
  <c r="V53" i="9"/>
  <c r="P53" i="9"/>
  <c r="Z53" i="9"/>
  <c r="X53" i="9"/>
  <c r="H53" i="9"/>
  <c r="R56" i="9"/>
  <c r="X56" i="9"/>
  <c r="P56" i="9"/>
  <c r="J56" i="9"/>
  <c r="F56" i="9"/>
  <c r="H56" i="9"/>
  <c r="Z56" i="9"/>
  <c r="T56" i="9"/>
  <c r="D56" i="9"/>
  <c r="N56" i="9"/>
  <c r="L56" i="9"/>
  <c r="V56" i="9"/>
  <c r="J54" i="9"/>
  <c r="R54" i="9"/>
  <c r="H54" i="9"/>
  <c r="P54" i="9"/>
  <c r="Z54" i="9"/>
  <c r="V54" i="9"/>
  <c r="N54" i="9"/>
  <c r="F54" i="9"/>
  <c r="L54" i="9"/>
  <c r="X54" i="9"/>
  <c r="T54" i="9"/>
  <c r="D54" i="9"/>
  <c r="X51" i="9"/>
  <c r="D51" i="9"/>
  <c r="P51" i="9"/>
  <c r="Z51" i="9"/>
  <c r="V51" i="9"/>
  <c r="F51" i="9"/>
  <c r="R51" i="9"/>
  <c r="L51" i="9"/>
  <c r="H51" i="9"/>
  <c r="J51" i="9"/>
  <c r="T51" i="9"/>
  <c r="N51" i="9"/>
  <c r="D52" i="9"/>
  <c r="F52" i="9"/>
  <c r="L52" i="9"/>
  <c r="R52" i="9"/>
  <c r="X52" i="9"/>
  <c r="Z52" i="9"/>
  <c r="H52" i="9"/>
  <c r="J52" i="9"/>
  <c r="V52" i="9"/>
  <c r="T52" i="9"/>
  <c r="P52" i="9"/>
  <c r="N52" i="9"/>
  <c r="X40" i="9"/>
  <c r="Z40" i="9"/>
  <c r="N40" i="9"/>
  <c r="P40" i="9"/>
  <c r="R40" i="9"/>
  <c r="D40" i="9"/>
  <c r="L40" i="9"/>
  <c r="H40" i="9"/>
  <c r="F40" i="9"/>
  <c r="T40" i="9"/>
  <c r="V40" i="9"/>
  <c r="J40" i="9"/>
  <c r="F41" i="9"/>
  <c r="H41" i="9"/>
  <c r="N41" i="9"/>
  <c r="P41" i="9"/>
  <c r="X41" i="9"/>
  <c r="D41" i="9"/>
  <c r="Z41" i="9"/>
  <c r="L41" i="9"/>
  <c r="R41" i="9"/>
  <c r="J41" i="9"/>
  <c r="V41" i="9"/>
  <c r="T41" i="9"/>
  <c r="X39" i="9"/>
  <c r="Z39" i="9"/>
  <c r="P39" i="9"/>
  <c r="N39" i="9"/>
  <c r="L39" i="9"/>
  <c r="R39" i="9"/>
  <c r="H39" i="9"/>
  <c r="J39" i="9"/>
  <c r="D39" i="9"/>
  <c r="T39" i="9"/>
  <c r="F39" i="9"/>
  <c r="V39" i="9"/>
  <c r="F42" i="9"/>
  <c r="P42" i="9"/>
  <c r="X42" i="9"/>
  <c r="Z42" i="9"/>
  <c r="N42" i="9"/>
  <c r="T42" i="9"/>
  <c r="D42" i="9"/>
  <c r="R42" i="9"/>
  <c r="J42" i="9"/>
  <c r="H42" i="9"/>
  <c r="L42" i="9"/>
  <c r="V42" i="9"/>
  <c r="N43" i="9"/>
  <c r="X43" i="9"/>
  <c r="Z43" i="9"/>
  <c r="P43" i="9"/>
  <c r="L43" i="9"/>
  <c r="V43" i="9"/>
  <c r="H43" i="9"/>
  <c r="J43" i="9"/>
  <c r="D43" i="9"/>
  <c r="F43" i="9"/>
  <c r="T43" i="9"/>
  <c r="R43" i="9"/>
  <c r="D38" i="9"/>
  <c r="N38" i="9"/>
  <c r="P38" i="9"/>
  <c r="X38" i="9"/>
  <c r="Z38" i="9"/>
  <c r="T38" i="9"/>
  <c r="R38" i="9"/>
  <c r="J38" i="9"/>
  <c r="L38" i="9"/>
  <c r="H38" i="9"/>
  <c r="V38" i="9"/>
  <c r="F38" i="9"/>
  <c r="Z28" i="9"/>
  <c r="H28" i="9"/>
  <c r="V28" i="9"/>
  <c r="L28" i="9"/>
  <c r="R28" i="9"/>
  <c r="T28" i="9"/>
  <c r="X28" i="9"/>
  <c r="P28" i="9"/>
  <c r="F28" i="9"/>
  <c r="J28" i="9"/>
  <c r="N28" i="9"/>
  <c r="Z27" i="9"/>
  <c r="J27" i="9"/>
  <c r="L27" i="9"/>
  <c r="N27" i="9"/>
  <c r="R27" i="9"/>
  <c r="F27" i="9"/>
  <c r="V27" i="9"/>
  <c r="X27" i="9"/>
  <c r="P27" i="9"/>
  <c r="H27" i="9"/>
  <c r="T27" i="9"/>
  <c r="F30" i="9"/>
  <c r="X30" i="9"/>
  <c r="L30" i="9"/>
  <c r="P30" i="9"/>
  <c r="R30" i="9"/>
  <c r="T30" i="9"/>
  <c r="V30" i="9"/>
  <c r="Z30" i="9"/>
  <c r="D30" i="9"/>
  <c r="H30" i="9"/>
  <c r="J30" i="9"/>
  <c r="N30" i="9"/>
  <c r="J26" i="9"/>
  <c r="F26" i="9"/>
  <c r="X26" i="9"/>
  <c r="N26" i="9"/>
  <c r="P26" i="9"/>
  <c r="T26" i="9"/>
  <c r="V26" i="9"/>
  <c r="Z26" i="9"/>
  <c r="L26" i="9"/>
  <c r="R26" i="9"/>
  <c r="H26" i="9"/>
  <c r="Z29" i="9"/>
  <c r="H29" i="9"/>
  <c r="F29" i="9"/>
  <c r="J29" i="9"/>
  <c r="D29" i="9"/>
  <c r="N29" i="9"/>
  <c r="P29" i="9"/>
  <c r="R29" i="9"/>
  <c r="X29" i="9"/>
  <c r="T29" i="9"/>
  <c r="V29" i="9"/>
  <c r="L29" i="9"/>
  <c r="D28" i="9"/>
  <c r="D27" i="9"/>
  <c r="D26" i="9"/>
  <c r="D51" i="4"/>
  <c r="L55" i="4"/>
  <c r="D82" i="4"/>
  <c r="F56" i="4"/>
  <c r="J56" i="4"/>
  <c r="L56" i="4"/>
  <c r="N56" i="4" s="1"/>
  <c r="P56" i="4" s="1"/>
  <c r="R56" i="4" s="1"/>
  <c r="T56" i="4" s="1"/>
  <c r="V56" i="4" s="1"/>
  <c r="T50" i="4"/>
  <c r="D52" i="4"/>
  <c r="N50" i="4"/>
  <c r="R50" i="4" s="1"/>
  <c r="X50" i="4" s="1"/>
  <c r="H50" i="4"/>
  <c r="F50" i="4"/>
  <c r="J50" i="4" s="1"/>
  <c r="P50" i="4"/>
  <c r="D50" i="4"/>
  <c r="T51" i="4"/>
  <c r="R51" i="4"/>
  <c r="X51" i="4" s="1"/>
  <c r="L50" i="4"/>
  <c r="F51" i="4"/>
  <c r="H51" i="4"/>
  <c r="J21" i="4"/>
  <c r="L21" i="4"/>
  <c r="V20" i="4"/>
  <c r="X20" i="4"/>
  <c r="X24" i="4" s="1"/>
  <c r="Z24" i="4" s="1"/>
  <c r="G21" i="23"/>
  <c r="G21" i="21"/>
  <c r="G21" i="22"/>
  <c r="G21" i="20"/>
  <c r="L20" i="13"/>
  <c r="F21" i="13" s="1"/>
  <c r="L19" i="23"/>
  <c r="F21" i="23" s="1"/>
  <c r="L19" i="21"/>
  <c r="F21" i="21" s="1"/>
  <c r="L19" i="22"/>
  <c r="F21" i="22" s="1"/>
  <c r="L19" i="20"/>
  <c r="F21" i="20" s="1"/>
  <c r="K6" i="20"/>
  <c r="K6" i="21"/>
  <c r="K6" i="23"/>
  <c r="K6" i="22"/>
  <c r="L6" i="21"/>
  <c r="L6" i="23"/>
  <c r="L6" i="22"/>
  <c r="L6" i="20"/>
  <c r="K20" i="13"/>
  <c r="E21" i="13" s="1"/>
  <c r="K19" i="23"/>
  <c r="E21" i="23" s="1"/>
  <c r="K19" i="21"/>
  <c r="E21" i="21" s="1"/>
  <c r="K19" i="22"/>
  <c r="E21" i="22" s="1"/>
  <c r="K19" i="20"/>
  <c r="E21" i="20" s="1"/>
  <c r="I5" i="12"/>
  <c r="K15" i="20"/>
  <c r="K16" i="13"/>
  <c r="K15" i="23"/>
  <c r="K15" i="21"/>
  <c r="K15" i="22"/>
  <c r="K10" i="21"/>
  <c r="E13" i="21" s="1"/>
  <c r="K10" i="23"/>
  <c r="E13" i="23" s="1"/>
  <c r="K10" i="22"/>
  <c r="E13" i="22" s="1"/>
  <c r="K10" i="20"/>
  <c r="E13" i="20" s="1"/>
  <c r="L16" i="13"/>
  <c r="J5" i="12"/>
  <c r="L15" i="20"/>
  <c r="L15" i="21"/>
  <c r="L15" i="23"/>
  <c r="L15" i="22"/>
  <c r="D10" i="10"/>
  <c r="L10" i="13"/>
  <c r="F13" i="13" s="1"/>
  <c r="C10" i="10"/>
  <c r="E21" i="11"/>
  <c r="B6" i="10"/>
  <c r="B13" i="10" s="1"/>
  <c r="B6" i="12"/>
  <c r="B7" i="9"/>
  <c r="B6" i="11"/>
  <c r="K6" i="13"/>
  <c r="C6" i="7"/>
  <c r="B10" i="6"/>
  <c r="B8" i="4"/>
  <c r="K10" i="13"/>
  <c r="E13" i="13" s="1"/>
  <c r="B10" i="10"/>
  <c r="C6" i="12"/>
  <c r="C6" i="11"/>
  <c r="C6" i="10"/>
  <c r="C13" i="10" s="1"/>
  <c r="C7" i="9"/>
  <c r="L6" i="13"/>
  <c r="D6" i="7"/>
  <c r="C10" i="6"/>
  <c r="C8" i="4"/>
  <c r="J22" i="4" l="1"/>
  <c r="J57" i="4"/>
  <c r="T88" i="4"/>
  <c r="U88" i="4"/>
  <c r="U54" i="4"/>
  <c r="N54" i="4"/>
  <c r="L57" i="4"/>
  <c r="L22" i="4"/>
  <c r="Q55" i="4"/>
  <c r="O57" i="4"/>
  <c r="V19" i="4"/>
  <c r="Z19" i="4" s="1"/>
  <c r="X23" i="4"/>
  <c r="Z23" i="4" s="1"/>
  <c r="H26" i="4"/>
  <c r="J26" i="4" s="1"/>
  <c r="L26" i="4" s="1"/>
  <c r="F57" i="4"/>
  <c r="D53" i="4"/>
  <c r="H53" i="4"/>
  <c r="N55" i="4"/>
  <c r="P55" i="4" s="1"/>
  <c r="R55" i="4" s="1"/>
  <c r="T55" i="4" s="1"/>
  <c r="V55" i="4" s="1"/>
  <c r="X55" i="4" s="1"/>
  <c r="Z55" i="4" s="1"/>
  <c r="AB55" i="4" s="1"/>
  <c r="N82" i="4"/>
  <c r="L82" i="4"/>
  <c r="L85" i="4" s="1"/>
  <c r="P82" i="4"/>
  <c r="P85" i="4" s="1"/>
  <c r="F82" i="4"/>
  <c r="T82" i="4"/>
  <c r="T85" i="4" s="1"/>
  <c r="H82" i="4"/>
  <c r="H85" i="4" s="1"/>
  <c r="V50" i="4"/>
  <c r="AB50" i="4" s="1"/>
  <c r="D85" i="4"/>
  <c r="F53" i="4"/>
  <c r="L53" i="4"/>
  <c r="V51" i="4"/>
  <c r="AB51" i="4" s="1"/>
  <c r="J53" i="4"/>
  <c r="N21" i="4"/>
  <c r="P21" i="4"/>
  <c r="N20" i="4"/>
  <c r="P20" i="4"/>
  <c r="X44" i="9"/>
  <c r="J44" i="9"/>
  <c r="V44" i="9"/>
  <c r="L44" i="9"/>
  <c r="N44" i="9"/>
  <c r="H44" i="9"/>
  <c r="P44" i="9"/>
  <c r="R44" i="9"/>
  <c r="G5" i="11"/>
  <c r="T44" i="9"/>
  <c r="V57" i="9"/>
  <c r="H57" i="9"/>
  <c r="P57" i="9"/>
  <c r="X57" i="9"/>
  <c r="F57" i="9"/>
  <c r="R57" i="9"/>
  <c r="N57" i="9"/>
  <c r="L57" i="9"/>
  <c r="J57" i="9"/>
  <c r="D57" i="9"/>
  <c r="Z57" i="9"/>
  <c r="T57" i="9"/>
  <c r="AA55" i="9"/>
  <c r="D44" i="9"/>
  <c r="AA53" i="9"/>
  <c r="AA56" i="9"/>
  <c r="F44" i="9"/>
  <c r="AA54" i="9"/>
  <c r="Z44" i="9"/>
  <c r="AA51" i="9"/>
  <c r="AA52" i="9"/>
  <c r="AA40" i="9"/>
  <c r="AA39" i="9"/>
  <c r="AA43" i="9"/>
  <c r="AA41" i="9"/>
  <c r="AA42" i="9"/>
  <c r="AA38" i="9"/>
  <c r="AA27" i="9"/>
  <c r="AA30" i="9"/>
  <c r="AA29" i="9"/>
  <c r="AA28" i="9"/>
  <c r="H31" i="9"/>
  <c r="X31" i="9"/>
  <c r="T31" i="9"/>
  <c r="L31" i="9"/>
  <c r="P31" i="9"/>
  <c r="F31" i="9"/>
  <c r="J31" i="9"/>
  <c r="N31" i="9"/>
  <c r="R31" i="9"/>
  <c r="Z31" i="9"/>
  <c r="AA26" i="9"/>
  <c r="D31" i="9"/>
  <c r="V31" i="9"/>
  <c r="N22" i="4" l="1"/>
  <c r="W54" i="4"/>
  <c r="S55" i="4"/>
  <c r="Q57" i="4"/>
  <c r="V88" i="4"/>
  <c r="W88" i="4"/>
  <c r="P54" i="4"/>
  <c r="N57" i="4"/>
  <c r="P22" i="4"/>
  <c r="N26" i="4"/>
  <c r="P26" i="4" s="1"/>
  <c r="D55" i="4"/>
  <c r="D18" i="6" s="1"/>
  <c r="Z51" i="4"/>
  <c r="Z50" i="4"/>
  <c r="F85" i="4"/>
  <c r="J82" i="4"/>
  <c r="J85" i="4" s="1"/>
  <c r="N85" i="4"/>
  <c r="N53" i="4"/>
  <c r="T52" i="4"/>
  <c r="T53" i="4" s="1"/>
  <c r="R52" i="4"/>
  <c r="P53" i="4"/>
  <c r="R21" i="4"/>
  <c r="R22" i="4" s="1"/>
  <c r="T21" i="4"/>
  <c r="T22" i="4" s="1"/>
  <c r="J20" i="13"/>
  <c r="D21" i="13" s="1"/>
  <c r="D22" i="13" s="1"/>
  <c r="J19" i="23"/>
  <c r="D21" i="23" s="1"/>
  <c r="D22" i="23" s="1"/>
  <c r="J19" i="21"/>
  <c r="D21" i="21" s="1"/>
  <c r="D22" i="21" s="1"/>
  <c r="J19" i="20"/>
  <c r="D21" i="20" s="1"/>
  <c r="D22" i="20" s="1"/>
  <c r="J19" i="22"/>
  <c r="D21" i="22" s="1"/>
  <c r="D22" i="22" s="1"/>
  <c r="AA57" i="9"/>
  <c r="J6" i="9" s="1"/>
  <c r="AA44" i="9"/>
  <c r="I6" i="9" s="1"/>
  <c r="C11" i="10" s="1"/>
  <c r="AA31" i="9"/>
  <c r="H6" i="9" s="1"/>
  <c r="R54" i="4" l="1"/>
  <c r="P57" i="4"/>
  <c r="Y54" i="4"/>
  <c r="Y88" i="4"/>
  <c r="X88" i="4"/>
  <c r="U55" i="4"/>
  <c r="S57" i="4"/>
  <c r="R26" i="4"/>
  <c r="T26" i="4" s="1"/>
  <c r="X82" i="4"/>
  <c r="R85" i="4"/>
  <c r="V82" i="4"/>
  <c r="X52" i="4"/>
  <c r="V52" i="4"/>
  <c r="R53" i="4"/>
  <c r="V21" i="4"/>
  <c r="V22" i="4" s="1"/>
  <c r="X21" i="4"/>
  <c r="X22" i="4" s="1"/>
  <c r="M11" i="22"/>
  <c r="G15" i="22" s="1"/>
  <c r="M11" i="20"/>
  <c r="G15" i="20" s="1"/>
  <c r="M11" i="23"/>
  <c r="M11" i="21"/>
  <c r="G15" i="21" s="1"/>
  <c r="K11" i="22"/>
  <c r="E15" i="22" s="1"/>
  <c r="K11" i="20"/>
  <c r="E15" i="20" s="1"/>
  <c r="K11" i="23"/>
  <c r="E15" i="23" s="1"/>
  <c r="K11" i="21"/>
  <c r="E15" i="21" s="1"/>
  <c r="L11" i="22"/>
  <c r="F15" i="22" s="1"/>
  <c r="L11" i="20"/>
  <c r="F15" i="20" s="1"/>
  <c r="L11" i="13"/>
  <c r="L11" i="23"/>
  <c r="L11" i="21"/>
  <c r="F15" i="21" s="1"/>
  <c r="K11" i="13"/>
  <c r="E15" i="13" s="1"/>
  <c r="B11" i="10"/>
  <c r="B12" i="10" s="1"/>
  <c r="M11" i="13"/>
  <c r="D11" i="10"/>
  <c r="D12" i="10" s="1"/>
  <c r="Z88" i="4" l="1"/>
  <c r="AA88" i="4"/>
  <c r="AB88" i="4" s="1"/>
  <c r="AA54" i="4"/>
  <c r="W55" i="4"/>
  <c r="U57" i="4"/>
  <c r="T54" i="4"/>
  <c r="R57" i="4"/>
  <c r="X25" i="4"/>
  <c r="Z25" i="4" s="1"/>
  <c r="V26" i="4"/>
  <c r="X26" i="4" s="1"/>
  <c r="AB85" i="4"/>
  <c r="Z85" i="4"/>
  <c r="V85" i="4"/>
  <c r="X53" i="4"/>
  <c r="X56" i="4"/>
  <c r="X85" i="4"/>
  <c r="Z52" i="4"/>
  <c r="Z53" i="4" s="1"/>
  <c r="AB52" i="4"/>
  <c r="AB53" i="4" s="1"/>
  <c r="V53" i="4"/>
  <c r="AB22" i="4"/>
  <c r="Z22" i="4"/>
  <c r="F15" i="13"/>
  <c r="G15" i="13"/>
  <c r="D88" i="4" l="1"/>
  <c r="E19" i="6" s="1"/>
  <c r="Y55" i="4"/>
  <c r="W57" i="4"/>
  <c r="E86" i="4"/>
  <c r="V54" i="4"/>
  <c r="T57" i="4"/>
  <c r="Z26" i="4"/>
  <c r="Z56" i="4"/>
  <c r="AB56" i="4" s="1"/>
  <c r="AA55" i="4" l="1"/>
  <c r="Y57" i="4"/>
  <c r="V57" i="4"/>
  <c r="X54" i="4"/>
  <c r="G86" i="4"/>
  <c r="F86" i="4"/>
  <c r="D56" i="4"/>
  <c r="I86" i="4" l="1"/>
  <c r="H86" i="4"/>
  <c r="Z54" i="4"/>
  <c r="X57" i="4"/>
  <c r="E87" i="4"/>
  <c r="E89" i="4" s="1"/>
  <c r="AA57" i="4"/>
  <c r="D19" i="6"/>
  <c r="C12" i="10"/>
  <c r="F87" i="4" l="1"/>
  <c r="F89" i="4" s="1"/>
  <c r="G87" i="4"/>
  <c r="G89" i="4" s="1"/>
  <c r="AB54" i="4"/>
  <c r="AB57" i="4" s="1"/>
  <c r="Z57" i="4"/>
  <c r="K86" i="4"/>
  <c r="J86" i="4"/>
  <c r="D54" i="4" l="1"/>
  <c r="D17" i="6" s="1"/>
  <c r="D20" i="6" s="1"/>
  <c r="D57" i="4"/>
  <c r="L86" i="4"/>
  <c r="M86" i="4"/>
  <c r="H87" i="4"/>
  <c r="H89" i="4" s="1"/>
  <c r="I87" i="4"/>
  <c r="I89" i="4" s="1"/>
  <c r="F12" i="13" l="1"/>
  <c r="F12" i="23"/>
  <c r="F12" i="20"/>
  <c r="F12" i="22"/>
  <c r="F12" i="21"/>
  <c r="O86" i="4"/>
  <c r="N86" i="4"/>
  <c r="J87" i="4"/>
  <c r="J89" i="4" s="1"/>
  <c r="K87" i="4"/>
  <c r="K89" i="4" s="1"/>
  <c r="T85" i="9"/>
  <c r="F17" i="22" l="1"/>
  <c r="F16" i="22"/>
  <c r="F17" i="23"/>
  <c r="F16" i="23"/>
  <c r="L87" i="4"/>
  <c r="L89" i="4" s="1"/>
  <c r="M87" i="4"/>
  <c r="M89" i="4" s="1"/>
  <c r="F17" i="21"/>
  <c r="F16" i="21"/>
  <c r="F17" i="20"/>
  <c r="F16" i="20"/>
  <c r="F16" i="13"/>
  <c r="F17" i="13"/>
  <c r="P86" i="4"/>
  <c r="Q86" i="4"/>
  <c r="R86" i="4" l="1"/>
  <c r="S86" i="4"/>
  <c r="G19" i="13"/>
  <c r="F18" i="13"/>
  <c r="F18" i="20"/>
  <c r="G19" i="20"/>
  <c r="F18" i="21"/>
  <c r="G19" i="21"/>
  <c r="N87" i="4"/>
  <c r="N89" i="4" s="1"/>
  <c r="O87" i="4"/>
  <c r="O89" i="4" s="1"/>
  <c r="F18" i="23"/>
  <c r="G19" i="23"/>
  <c r="F18" i="22"/>
  <c r="G19" i="22"/>
  <c r="Q87" i="4" l="1"/>
  <c r="Q89" i="4" s="1"/>
  <c r="P87" i="4"/>
  <c r="P89" i="4" s="1"/>
  <c r="U86" i="4"/>
  <c r="T86" i="4"/>
  <c r="AB26" i="4"/>
  <c r="AB25" i="4"/>
  <c r="D25" i="4" s="1"/>
  <c r="C19" i="6" s="1"/>
  <c r="AB24" i="4"/>
  <c r="D24" i="4" s="1"/>
  <c r="AB23" i="4"/>
  <c r="D23" i="4" s="1"/>
  <c r="C17" i="6" s="1"/>
  <c r="C18" i="6" l="1"/>
  <c r="D26" i="4"/>
  <c r="V86" i="4"/>
  <c r="W86" i="4"/>
  <c r="S87" i="4"/>
  <c r="S89" i="4" s="1"/>
  <c r="R87" i="4"/>
  <c r="R89" i="4" s="1"/>
  <c r="C20" i="6"/>
  <c r="E12" i="22" s="1"/>
  <c r="E12" i="20" l="1"/>
  <c r="E12" i="13"/>
  <c r="E12" i="21"/>
  <c r="T87" i="4"/>
  <c r="T89" i="4" s="1"/>
  <c r="U87" i="4"/>
  <c r="U89" i="4" s="1"/>
  <c r="X86" i="4"/>
  <c r="Y86" i="4"/>
  <c r="E12" i="23"/>
  <c r="E16" i="21"/>
  <c r="E17" i="21"/>
  <c r="E16" i="22"/>
  <c r="E17" i="22"/>
  <c r="E17" i="13"/>
  <c r="E16" i="13"/>
  <c r="E17" i="23"/>
  <c r="E16" i="23"/>
  <c r="E17" i="20"/>
  <c r="E16" i="20"/>
  <c r="F19" i="20" s="1"/>
  <c r="Z86" i="4" l="1"/>
  <c r="AA86" i="4"/>
  <c r="V87" i="4"/>
  <c r="V89" i="4" s="1"/>
  <c r="W87" i="4"/>
  <c r="W89" i="4" s="1"/>
  <c r="E18" i="20"/>
  <c r="E20" i="20"/>
  <c r="E22" i="20" s="1"/>
  <c r="F20" i="20"/>
  <c r="F22" i="20" s="1"/>
  <c r="E20" i="13"/>
  <c r="E22" i="13" s="1"/>
  <c r="E18" i="13"/>
  <c r="F19" i="13"/>
  <c r="F20" i="13" s="1"/>
  <c r="F22" i="13" s="1"/>
  <c r="F19" i="23"/>
  <c r="F20" i="23" s="1"/>
  <c r="F22" i="23" s="1"/>
  <c r="E20" i="23"/>
  <c r="E22" i="23" s="1"/>
  <c r="E18" i="23"/>
  <c r="E18" i="22"/>
  <c r="E20" i="22"/>
  <c r="E22" i="22" s="1"/>
  <c r="F19" i="22"/>
  <c r="F20" i="22" s="1"/>
  <c r="F22" i="22" s="1"/>
  <c r="E20" i="21"/>
  <c r="E22" i="21" s="1"/>
  <c r="E18" i="21"/>
  <c r="F19" i="21"/>
  <c r="F20" i="21" s="1"/>
  <c r="F22" i="21" s="1"/>
  <c r="AB86" i="4" l="1"/>
  <c r="X87" i="4"/>
  <c r="X89" i="4" s="1"/>
  <c r="Y87" i="4"/>
  <c r="Y89" i="4" s="1"/>
  <c r="D86" i="4" l="1"/>
  <c r="E17" i="6" s="1"/>
  <c r="AA87" i="4"/>
  <c r="Z87" i="4"/>
  <c r="Z89" i="4" s="1"/>
  <c r="AB87" i="4" l="1"/>
  <c r="AA89" i="4"/>
  <c r="D87" i="4" l="1"/>
  <c r="E18" i="6" s="1"/>
  <c r="E20" i="6" s="1"/>
  <c r="AB89" i="4"/>
  <c r="D89" i="4" s="1"/>
  <c r="G12" i="13" l="1"/>
  <c r="G12" i="23"/>
  <c r="G12" i="22"/>
  <c r="G12" i="20"/>
  <c r="G12" i="21"/>
  <c r="G17" i="22"/>
  <c r="G16" i="22"/>
  <c r="G17" i="21"/>
  <c r="G16" i="21"/>
  <c r="G16" i="23"/>
  <c r="G17" i="23"/>
  <c r="G17" i="20"/>
  <c r="G16" i="20"/>
  <c r="G17" i="13"/>
  <c r="G16" i="13"/>
  <c r="G18" i="13" l="1"/>
  <c r="G20" i="13"/>
  <c r="G22" i="13" s="1"/>
  <c r="G28" i="13" s="1"/>
  <c r="G18" i="23"/>
  <c r="G20" i="23"/>
  <c r="G22" i="23" s="1"/>
  <c r="G18" i="20"/>
  <c r="G20" i="20"/>
  <c r="G22" i="20" s="1"/>
  <c r="G18" i="21"/>
  <c r="G20" i="21"/>
  <c r="G22" i="21" s="1"/>
  <c r="G18" i="22"/>
  <c r="G20" i="22"/>
  <c r="G22" i="22" s="1"/>
  <c r="G27" i="23" l="1"/>
  <c r="G28" i="23"/>
  <c r="G27" i="22"/>
  <c r="G28" i="22"/>
  <c r="G28" i="21"/>
  <c r="G27" i="21"/>
  <c r="G27" i="20"/>
  <c r="G28" i="20"/>
  <c r="G27" i="13"/>
</calcChain>
</file>

<file path=xl/sharedStrings.xml><?xml version="1.0" encoding="utf-8"?>
<sst xmlns="http://schemas.openxmlformats.org/spreadsheetml/2006/main" count="1478" uniqueCount="278">
  <si>
    <t>TRABAJO FINAL DE INGENIERÍA</t>
  </si>
  <si>
    <t xml:space="preserve">Alumno: </t>
  </si>
  <si>
    <t xml:space="preserve">Legajo: </t>
  </si>
  <si>
    <t xml:space="preserve">Docentes: </t>
  </si>
  <si>
    <t>Scali, Jorge</t>
  </si>
  <si>
    <t xml:space="preserve">Comisión: </t>
  </si>
  <si>
    <t xml:space="preserve">Localización: </t>
  </si>
  <si>
    <t>Centro</t>
  </si>
  <si>
    <t xml:space="preserve">Email: </t>
  </si>
  <si>
    <t>Índice</t>
  </si>
  <si>
    <t>Hipótesis</t>
  </si>
  <si>
    <t>Proyección de ventas</t>
  </si>
  <si>
    <t>Modelo de ingresos</t>
  </si>
  <si>
    <t>Estructura de costos fijos</t>
  </si>
  <si>
    <t>Estructura de costos variables</t>
  </si>
  <si>
    <t>Estructura de costos de RRHH</t>
  </si>
  <si>
    <t>Modelo de egresos</t>
  </si>
  <si>
    <t>Modelo de inversión</t>
  </si>
  <si>
    <t>Amortizaciones</t>
  </si>
  <si>
    <t>Presupuesto Financiero</t>
  </si>
  <si>
    <t>Matriz de riesgos</t>
  </si>
  <si>
    <t>Escenario 1</t>
  </si>
  <si>
    <t>Escenario 2</t>
  </si>
  <si>
    <t>Escenario 3</t>
  </si>
  <si>
    <t>Plan de contingencia</t>
  </si>
  <si>
    <t>1 - Descripción del negocio</t>
  </si>
  <si>
    <t>2 - Mercado meta</t>
  </si>
  <si>
    <t>3 - Participación del mercado</t>
  </si>
  <si>
    <t>Evolución de la participación en el mercado</t>
  </si>
  <si>
    <t>Año</t>
  </si>
  <si>
    <t>Porcentaje</t>
  </si>
  <si>
    <t>Total</t>
  </si>
  <si>
    <t>Lista de precios</t>
  </si>
  <si>
    <t>Producto</t>
  </si>
  <si>
    <t>Precio</t>
  </si>
  <si>
    <t>Detalle</t>
  </si>
  <si>
    <t>Premium</t>
  </si>
  <si>
    <t>Evolución de la participación</t>
  </si>
  <si>
    <t>Estacionalidad</t>
  </si>
  <si>
    <t>.</t>
  </si>
  <si>
    <t>Anual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</si>
  <si>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</si>
  <si>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</si>
  <si>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</si>
  <si>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</si>
  <si>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</si>
  <si>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</si>
  <si>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</si>
  <si>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</si>
  <si>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</si>
  <si>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</si>
  <si>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</si>
  <si>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</si>
  <si>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Ingresos</t>
  </si>
  <si>
    <t>Cantidad</t>
  </si>
  <si>
    <t>Ingreso Total</t>
  </si>
  <si>
    <t>Comentarios</t>
  </si>
  <si>
    <t>Concepto</t>
  </si>
  <si>
    <t>Año cero - Kick off</t>
  </si>
  <si>
    <t>RRHH</t>
  </si>
  <si>
    <t>Gerente general</t>
  </si>
  <si>
    <t>Sin cambios</t>
  </si>
  <si>
    <t>Gerente de tecnologia</t>
  </si>
  <si>
    <t>Infraestructura</t>
  </si>
  <si>
    <t>Servicio Cloud De hosting</t>
  </si>
  <si>
    <t>Servicio Cloud de monitoreo</t>
  </si>
  <si>
    <t>Servicio Cloud de Vpn</t>
  </si>
  <si>
    <t>Servicio Cloud de Repositorio</t>
  </si>
  <si>
    <t>Servicio Cloud De CD y CI</t>
  </si>
  <si>
    <t>Servicio Cloud Serverless</t>
  </si>
  <si>
    <t>Instalaciones</t>
  </si>
  <si>
    <t>Proyección de ventas 2022</t>
  </si>
  <si>
    <t>Proyección de ventas 2023</t>
  </si>
  <si>
    <t>Capacidad operativa - Año 2023</t>
  </si>
  <si>
    <t>Anexo capacidad operativa</t>
  </si>
  <si>
    <t xml:space="preserve">Producción de </t>
  </si>
  <si>
    <t>Cálculo de horas laborables de un empleado por mes</t>
  </si>
  <si>
    <t>Semanas por año</t>
  </si>
  <si>
    <t>Semanas</t>
  </si>
  <si>
    <t>Semanas de licencias varias al año</t>
  </si>
  <si>
    <t>* licencias por enfermedad, trámites, días de estudio, etc.</t>
  </si>
  <si>
    <t>Días festivos</t>
  </si>
  <si>
    <t>Días</t>
  </si>
  <si>
    <t>Días laborales totales</t>
  </si>
  <si>
    <t>* Se contempla medio día de sábado</t>
  </si>
  <si>
    <t>Jornada laboral</t>
  </si>
  <si>
    <t>Horas</t>
  </si>
  <si>
    <t>Horas laborables anuales por empleado</t>
  </si>
  <si>
    <t>Consideraremos en promedio:</t>
  </si>
  <si>
    <t>Horas laborables anuales / empleado</t>
  </si>
  <si>
    <t>Horas laborables mensuales / empleado
[HsLaboralesXMes]</t>
  </si>
  <si>
    <t>Horas Hombre requeridas</t>
  </si>
  <si>
    <t>TOTALES</t>
  </si>
  <si>
    <t>CONCLUSIÓN</t>
  </si>
  <si>
    <t>Ingresos 2022</t>
  </si>
  <si>
    <t>Ingresos 2023</t>
  </si>
  <si>
    <t>Costos fijos - Totales</t>
  </si>
  <si>
    <t>Conceptos</t>
  </si>
  <si>
    <t>Total anual</t>
  </si>
  <si>
    <t>Observaciones</t>
  </si>
  <si>
    <t>Publicidad online</t>
  </si>
  <si>
    <t>Costos fijos - Año 2022</t>
  </si>
  <si>
    <t>Costos fijos - Año 2023</t>
  </si>
  <si>
    <t>Subtotal</t>
  </si>
  <si>
    <t>Costo</t>
  </si>
  <si>
    <t>Costos de RRHH - Totales</t>
  </si>
  <si>
    <t>Costo mensual por puesto</t>
  </si>
  <si>
    <t>Area</t>
  </si>
  <si>
    <t>Puesto</t>
  </si>
  <si>
    <t>Sueldo bruto</t>
  </si>
  <si>
    <t>Jubilación</t>
  </si>
  <si>
    <t>Ley 1932</t>
  </si>
  <si>
    <t>Obra social</t>
  </si>
  <si>
    <t>F. Nac. Des.</t>
  </si>
  <si>
    <t>S. de Vida</t>
  </si>
  <si>
    <t>ART (Aprox.)</t>
  </si>
  <si>
    <t>Total aportes</t>
  </si>
  <si>
    <t>Costo mensual para empresa</t>
  </si>
  <si>
    <t>$ 18,57 c/u</t>
  </si>
  <si>
    <t>Junio + SAC</t>
  </si>
  <si>
    <t>Diciembre + SAC</t>
  </si>
  <si>
    <t>Totales</t>
  </si>
  <si>
    <t>Costos totales</t>
  </si>
  <si>
    <t>Costos Fijos</t>
  </si>
  <si>
    <t>Costos de RRHH</t>
  </si>
  <si>
    <t>Objetivo ingresos</t>
  </si>
  <si>
    <t>Modelo de Inversión</t>
  </si>
  <si>
    <t>Inversión Inicial</t>
  </si>
  <si>
    <t>Inversión inicial - Año cero</t>
  </si>
  <si>
    <t>Precio unitario</t>
  </si>
  <si>
    <t>Referencia</t>
  </si>
  <si>
    <t>-</t>
  </si>
  <si>
    <t>Rubro</t>
  </si>
  <si>
    <t>Amortización
( en años )</t>
  </si>
  <si>
    <t>Valor de adquisiciones</t>
  </si>
  <si>
    <t>Amortización</t>
  </si>
  <si>
    <t>Año cero</t>
  </si>
  <si>
    <t>Presupuesto financiero</t>
  </si>
  <si>
    <t>Costos</t>
  </si>
  <si>
    <t>Costos fijos</t>
  </si>
  <si>
    <t>Ejercicio</t>
  </si>
  <si>
    <t>Inicio</t>
  </si>
  <si>
    <t>Egresos</t>
  </si>
  <si>
    <t>Utilidad Antes de Impuestos (UAII)</t>
  </si>
  <si>
    <t>Impuesto Ingresos Brutos (3%) (IIB)</t>
  </si>
  <si>
    <t>Monto Imponible</t>
  </si>
  <si>
    <t>Impuesto a las ganancias (35%) (IIGG)</t>
  </si>
  <si>
    <t>Utilidad despues de Impuestos (UDII)</t>
  </si>
  <si>
    <t>Inversión</t>
  </si>
  <si>
    <t>Flujo de Fondos (FF)</t>
  </si>
  <si>
    <t>Tasa de Corte</t>
  </si>
  <si>
    <t>VAN</t>
  </si>
  <si>
    <t>TIR</t>
  </si>
  <si>
    <t>Número</t>
  </si>
  <si>
    <t>Riesgo</t>
  </si>
  <si>
    <t>Causa</t>
  </si>
  <si>
    <t>Efecto</t>
  </si>
  <si>
    <t>Probabilidad</t>
  </si>
  <si>
    <t>Impacto</t>
  </si>
  <si>
    <t>PLAN DE CONTINGENCIA</t>
  </si>
  <si>
    <t>Cantidad de Recursos</t>
  </si>
  <si>
    <t>ANALISIS CAPACIDAD OPERATIVA ANUAL EN HORAS TRABAJADAS</t>
  </si>
  <si>
    <t>CAPACIDAD OPERATIVA AÑO 2022</t>
  </si>
  <si>
    <t>CAPACIDAD OPERATIVA AÑO 2023</t>
  </si>
  <si>
    <t>Sumatorial Total</t>
  </si>
  <si>
    <t>(+1)</t>
  </si>
  <si>
    <t>Vpn</t>
  </si>
  <si>
    <t>Publicidad Online</t>
  </si>
  <si>
    <t>Campaña interna de venta</t>
  </si>
  <si>
    <t>Desarrollo de plataforma</t>
  </si>
  <si>
    <t>Notebook</t>
  </si>
  <si>
    <t>Notebooks</t>
  </si>
  <si>
    <t>(1) Notebook Dell Inspiron 3505 gris 15.6", AMD Ryzen 5 3450U 16GB de RAM 1TB HDD 256GB SSD, AMD Radeon Vega 8 1366x768px Windows 10 Home | Mercado Libre</t>
  </si>
  <si>
    <t>Competidores con caracteristicas similares aparecen en el mercado</t>
  </si>
  <si>
    <t>Durante el 2022, aparecen nuevos competidores que logran reducir los costos en un 25%</t>
  </si>
  <si>
    <t xml:space="preserve">Alta </t>
  </si>
  <si>
    <t>Rotación de personal</t>
  </si>
  <si>
    <t>La aparecicion de competidores y el amplio mercado de IT, hace que la rotación de rercursos aumente en un 26%</t>
  </si>
  <si>
    <t>Aumentan los costos de proveedores cloud</t>
  </si>
  <si>
    <t>Los costos de servicios cloud, se ven afectados por la creciente cantidad de usuarios que lo consumen</t>
  </si>
  <si>
    <t>Media</t>
  </si>
  <si>
    <t>Baja</t>
  </si>
  <si>
    <t>Franco Fazzito</t>
  </si>
  <si>
    <t>5A</t>
  </si>
  <si>
    <t>B00019358</t>
  </si>
  <si>
    <t>francofazzito7@gmail.com</t>
  </si>
  <si>
    <r>
      <rPr>
        <b/>
        <sz val="14"/>
        <color theme="1"/>
        <rFont val="Calibri"/>
        <family val="2"/>
      </rPr>
      <t>FSolutions</t>
    </r>
    <r>
      <rPr>
        <sz val="14"/>
        <color theme="1"/>
        <rFont val="Calibri"/>
        <family val="2"/>
      </rPr>
      <t xml:space="preserve"> es una empresa dedicada al desarrollo, mantenimiento y comercialización de </t>
    </r>
    <r>
      <rPr>
        <b/>
        <sz val="14"/>
        <color theme="1"/>
        <rFont val="Calibri"/>
        <family val="2"/>
      </rPr>
      <t>soluciones de software para locales de venta de hardware.</t>
    </r>
    <r>
      <rPr>
        <sz val="14"/>
        <color theme="1"/>
        <rFont val="Calibri"/>
        <family val="2"/>
      </rPr>
      <t xml:space="preserve">
Actualmente nos encontramos ubicados en Capital Federal y focalizamos nuestros recursos en captar y mantener </t>
    </r>
    <r>
      <rPr>
        <b/>
        <sz val="14"/>
        <color theme="1"/>
        <rFont val="Calibri"/>
        <family val="2"/>
      </rPr>
      <t>clientes que se encuentran localizados en Ciudad Autónoma de Buenos Aires.</t>
    </r>
    <r>
      <rPr>
        <sz val="14"/>
        <color theme="1"/>
        <rFont val="Calibri"/>
        <family val="2"/>
      </rPr>
      <t xml:space="preserve">
Desde FSolutions ofrecemos una solución de gestión integral para la automatización de los procesos de venta de las computadoras de estos locales de venta de hardware en forma de </t>
    </r>
    <r>
      <rPr>
        <b/>
        <sz val="14"/>
        <color theme="1"/>
        <rFont val="Calibri"/>
        <family val="2"/>
      </rPr>
      <t>servicio.</t>
    </r>
  </si>
  <si>
    <t>Gasto promedio mensual</t>
  </si>
  <si>
    <t>Gasto promedio annual</t>
  </si>
  <si>
    <t>Numero clientes</t>
  </si>
  <si>
    <t>Inicial</t>
  </si>
  <si>
    <t>Normal</t>
  </si>
  <si>
    <t>Servicio</t>
  </si>
  <si>
    <t>Nuestro emprendimiento saldrá al mercado habiendo realizado inversiones en los siguientes puntos:
- Contratación de hosting especializado para el despliegue de nuestro producto
- Contratación de una VPN que permita a todos los empleados conectarse de manera remota a nuestros servicios y poder trabajar.
- Servicios de repositorio para poder almacenar todo nuestro código.
- Servicios de CD y CI, para poder realizar las compilaciones de nuestro producto y desplegarlo en nuestros servidores
- Contratación todos los recursos técnicos necesarios para iniciar el desarrollo de nuestro producto (Desarrolladores, Tester, Analistas)
- Contratado profesionales de marketing y diseño gráfico con la intención de generar publicidad en redes y realizar un buen marketing.</t>
  </si>
  <si>
    <t>Gerente de servicios</t>
  </si>
  <si>
    <t>Gerente de administracion</t>
  </si>
  <si>
    <t>Gerente de comuinicacion</t>
  </si>
  <si>
    <t>Soluciones de software para locales de venta de hardware (servicios)</t>
  </si>
  <si>
    <t>Capacidad operativa Kick off - Año 2022</t>
  </si>
  <si>
    <t>Proyección de ventas 2024</t>
  </si>
  <si>
    <t>Capacidad operativa - Año 2024</t>
  </si>
  <si>
    <t>CAPACIDAD OPERATIVA AÑO 2024</t>
  </si>
  <si>
    <t>Sumatorial Inicial</t>
  </si>
  <si>
    <t>Sumatoria normal</t>
  </si>
  <si>
    <t>sumatoria premium</t>
  </si>
  <si>
    <t>Ingresos por servicios</t>
  </si>
  <si>
    <t>Costos fijos - Año 2024</t>
  </si>
  <si>
    <t>Servicio VPN</t>
  </si>
  <si>
    <t>Servicio Hosting</t>
  </si>
  <si>
    <t>Servicio Monitoreo</t>
  </si>
  <si>
    <t>Servicio Repositorio</t>
  </si>
  <si>
    <t>Servicio CD/CI</t>
  </si>
  <si>
    <t>Servicio Cloud serverless</t>
  </si>
  <si>
    <t>hosting para los servicios</t>
  </si>
  <si>
    <t>servicios de monitoreo de los servicios</t>
  </si>
  <si>
    <t>servicio de guardado de datos y codigo</t>
  </si>
  <si>
    <t>servicios para poder desplegar en los ambientes de los clientes</t>
  </si>
  <si>
    <t>servidor donde se alojan los servicios</t>
  </si>
  <si>
    <r>
      <t xml:space="preserve">En la proyección de ventas se podrá apreciar el efecto de la </t>
    </r>
    <r>
      <rPr>
        <b/>
        <sz val="12"/>
        <color theme="1"/>
        <rFont val="Calibri"/>
        <family val="2"/>
        <scheme val="minor"/>
      </rPr>
      <t>estacionalidad</t>
    </r>
    <r>
      <rPr>
        <sz val="12"/>
        <color theme="1"/>
        <rFont val="Calibri"/>
        <family val="2"/>
        <scheme val="minor"/>
      </rPr>
      <t xml:space="preserve"> remarcada por las siguientes situaciones:
</t>
    </r>
    <r>
      <rPr>
        <b/>
        <u/>
        <sz val="12"/>
        <color theme="1"/>
        <rFont val="Calibri"/>
        <family val="2"/>
        <scheme val="minor"/>
      </rPr>
      <t xml:space="preserve">a) Efecto Aguinaldo: </t>
    </r>
    <r>
      <rPr>
        <sz val="12"/>
        <color theme="1"/>
        <rFont val="Calibri"/>
        <family val="2"/>
        <scheme val="minor"/>
      </rPr>
      <t>Preveemos mayores ventas en los meses de diciembre y junio cuando las personas que integran nuestro mercado meta perciban su Sueldo Anual Complementario para destinarlo a gastos en deseos o gustos personales.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b) Navidad: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ademas del aguinaldo para diciembre se encuentra navidad que es una epoca donde las tiendas de hardware trabajan mas ya que muchos padres y jovenes aprovechan a comprar su computadora personalizada en forma de regalo y para poder usarlas durante el verano.</t>
    </r>
    <r>
      <rPr>
        <u/>
        <sz val="12"/>
        <color theme="1"/>
        <rFont val="Calibri"/>
        <family val="2"/>
        <scheme val="minor"/>
      </rPr>
      <t xml:space="preserve">
</t>
    </r>
    <r>
      <rPr>
        <b/>
        <u/>
        <sz val="12"/>
        <color theme="1"/>
        <rFont val="Calibri"/>
        <family val="2"/>
        <scheme val="minor"/>
      </rPr>
      <t>c) Vacaciones:</t>
    </r>
    <r>
      <rPr>
        <u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durante las vacaciones las ventas se ven reducidas debido al aumento del gasto que se hacen durante esta temporada para vacacionar y no para gastos relacionados a hardware y computacion.</t>
    </r>
  </si>
  <si>
    <t>campana interna de venta</t>
  </si>
  <si>
    <t>publicdad online</t>
  </si>
  <si>
    <t>link: https://www.perimeter81.com/pricing</t>
  </si>
  <si>
    <t>Para nuestro tercer año buscaremos ampliar nuestro staff de la siguiente manera:
- Sumaremos un administrativo de ventas, para poder tener un control más preciso de todas nuestras actividades y gastos relacionados a las ventas
- También sumaremos un empleado de marketing para poder gestionar las estrategias de promoción
- Programador SR para poder llevar a cabo los ajustes y desarrollos de nuevas funcionalidades, así como de las necesidades de los clientes.
De igual forma buscaremos aumentar nuestra capacidad técnica de la siguiente manera:
- Agregaremos servicios de cloud con el fin de obtener una correcta disponibilidad y accesibilidad de nuestros servicios.</t>
  </si>
  <si>
    <t>costo final servicio hosting</t>
  </si>
  <si>
    <t>servicio monitoreo</t>
  </si>
  <si>
    <t>servicio de repositorio</t>
  </si>
  <si>
    <t>servicio CD/CI</t>
  </si>
  <si>
    <t>servidor cloud serverless</t>
  </si>
  <si>
    <t>link: https://www.hostinger.com.ar/?ppc_campaign=google_search_brand&amp;bidkw=hostinger</t>
  </si>
  <si>
    <t>link: https://azure.microsoft.com/en-us/pricing/calculator/</t>
  </si>
  <si>
    <t>link : https://sendpulse.com/latam/prices</t>
  </si>
  <si>
    <t>link: https://pencilspeech.com/publicidad-en-internet/</t>
  </si>
  <si>
    <t>costo VPN</t>
  </si>
  <si>
    <t>Nombre</t>
  </si>
  <si>
    <t>Fuente</t>
  </si>
  <si>
    <t>se agrego un nuevo servidor cloud serverless para poder manejar una mayor cantidad de datos correspondiente a nuestros clientes</t>
  </si>
  <si>
    <t>Gerente de comunicacion</t>
  </si>
  <si>
    <t>comunicacion</t>
  </si>
  <si>
    <t>tecnologia</t>
  </si>
  <si>
    <t>gerencia general</t>
  </si>
  <si>
    <t>Desarrollador</t>
  </si>
  <si>
    <t>administracion y finanzas</t>
  </si>
  <si>
    <t>Para el segundo año de nuestro servicio se plantea la incorporación de:
- Desarrollador para poder llevar a cabo los ajustes y desarrollos de nuevas funcionalidades.
De igual forma buscaremos aumentar nuestra capacidad técnica de la siguiente manera:
- Agregaremos servicios de cloud con el fin de obtener una correcta disponibilidad y accesibilidad de nuestros servicios.</t>
  </si>
  <si>
    <t>link: https://github.com/pricing</t>
  </si>
  <si>
    <t>Inversión inicial - Año 2022</t>
  </si>
  <si>
    <t>Inversión inicial - Año 2023</t>
  </si>
  <si>
    <t>Inversión inicial - Año 2024</t>
  </si>
  <si>
    <t>Informática y comunicaciones</t>
  </si>
  <si>
    <t>Año 2022</t>
  </si>
  <si>
    <t>Año 2023</t>
  </si>
  <si>
    <t>Año 2024</t>
  </si>
  <si>
    <t xml:space="preserve">Este plan está orientado hacia locales medianos más consolidados y pasando a ser grandes e incluye las siguientes funcionalidades:
•	 Asistente de armado.
•	 Asistente de entrega.
•	 Gestión de stock.
•	 Gestión de empleados.
•	 Facturación y entrega de documentos. </t>
  </si>
  <si>
    <t>Este plan está orientado hacia locales medianos en crecimiento e incluye las siguientes funcionalidades:
•	 Asistente de armado.
•	 Asistente de entrega.
•	 Gestión de stock.</t>
  </si>
  <si>
    <t>Este plan está orientado hacia locales grandes más consolidados e incluye las siguientes funcionalidades:
•	 Asistente de armado.
•	 Asistente de entrega.
•	 Gestión de stock.
•	 Gestión de empleados.
•	 Facturación y entrega de documentos.
•	 Gestión de proveedores.
•	 Reporting.
•	 Soporte especializado.</t>
  </si>
  <si>
    <t>Ingresos 2024</t>
  </si>
  <si>
    <t>Costos de RRHH - Año 2022</t>
  </si>
  <si>
    <t>Costos de RRHH - Año 2023</t>
  </si>
  <si>
    <t>Costos de RRHH - Año 2024</t>
  </si>
  <si>
    <t>servicio hosting por unidad</t>
  </si>
  <si>
    <t>numero de hostings no productivos</t>
  </si>
  <si>
    <t>numero de hostings productivos</t>
  </si>
  <si>
    <t>se agrego un nuevo servicio de monitoreo para el nuevo servidor cloud</t>
  </si>
  <si>
    <r>
      <t xml:space="preserve">Nuestro mercado está compuesto por medianos y grandes locales de venta minoristas dedicados a la venta de hardware.
Además, nos estamos centrando en Ciudad de Buenos Aires en principio debido a que es la zona de mayor demanda de hardware y a su vez en la que más creció durante el último tiempo.
A su vez identificamos que según el tamaño del local de venta gastan en mayor o menor medidas en este tipo de servicios, pero al estimar un promedio dimos con que gastan </t>
    </r>
    <r>
      <rPr>
        <b/>
        <sz val="14"/>
        <color theme="1"/>
        <rFont val="Calibri"/>
        <family val="2"/>
      </rPr>
      <t xml:space="preserve">$90000 mensuales </t>
    </r>
    <r>
      <rPr>
        <sz val="14"/>
        <color theme="1"/>
        <rFont val="Calibri"/>
        <family val="2"/>
      </rPr>
      <t xml:space="preserve">en este tipo de servicios.
Es por ello por lo que observamos que el potencial de nuestro mercado meta está conformado por unos </t>
    </r>
    <r>
      <rPr>
        <b/>
        <sz val="14"/>
        <color theme="1"/>
        <rFont val="Calibri"/>
        <family val="2"/>
      </rPr>
      <t>270 locales de venta</t>
    </r>
    <r>
      <rPr>
        <sz val="14"/>
        <color theme="1"/>
        <rFont val="Calibri"/>
        <family val="2"/>
      </rPr>
      <t xml:space="preserve"> entre los cuales distinguimos en </t>
    </r>
    <r>
      <rPr>
        <b/>
        <sz val="14"/>
        <color theme="1"/>
        <rFont val="Calibri"/>
        <family val="2"/>
      </rPr>
      <t>140 locales medianos</t>
    </r>
    <r>
      <rPr>
        <sz val="14"/>
        <color theme="1"/>
        <rFont val="Calibri"/>
        <family val="2"/>
      </rPr>
      <t xml:space="preserve"> y </t>
    </r>
    <r>
      <rPr>
        <b/>
        <sz val="14"/>
        <color theme="1"/>
        <rFont val="Calibri"/>
        <family val="2"/>
      </rPr>
      <t>130 locales grandes.</t>
    </r>
    <r>
      <rPr>
        <sz val="14"/>
        <color theme="1"/>
        <rFont val="Calibri"/>
        <family val="2"/>
      </rPr>
      <t xml:space="preserve">
Por lo que podemos concluir que el total de mercado meta sería de unos </t>
    </r>
    <r>
      <rPr>
        <b/>
        <sz val="14"/>
        <color theme="1"/>
        <rFont val="Calibri"/>
        <family val="2"/>
      </rPr>
      <t>$291.600.000,00 anuales.</t>
    </r>
  </si>
  <si>
    <t>Campañas de venta</t>
  </si>
  <si>
    <r>
      <t>El objetivo estratégico de nuestro emprendimiento es el de alcanzar el 30</t>
    </r>
    <r>
      <rPr>
        <b/>
        <sz val="14"/>
        <color theme="1"/>
        <rFont val="Calibri"/>
        <family val="2"/>
      </rPr>
      <t>%</t>
    </r>
    <r>
      <rPr>
        <sz val="14"/>
        <color theme="1"/>
        <rFont val="Calibri"/>
        <family val="2"/>
      </rPr>
      <t xml:space="preserve"> de penetración del mercado meta </t>
    </r>
    <r>
      <rPr>
        <b/>
        <sz val="14"/>
        <color theme="1"/>
        <rFont val="Calibri"/>
        <family val="2"/>
      </rPr>
      <t xml:space="preserve">en un horizonte temporal de 3 años. </t>
    </r>
    <r>
      <rPr>
        <sz val="14"/>
        <color theme="1"/>
        <rFont val="Calibri"/>
        <family val="2"/>
      </rPr>
      <t xml:space="preserve">Esto representaría un total de $87.480.000.
</t>
    </r>
  </si>
  <si>
    <t>La aparecicion de competidores y el amplio mercado de IT, hace que la rotación de rercursos aumente.</t>
  </si>
  <si>
    <t>Los costos de servicios cloud, se ven afectados por la creciente cantidad de usuarios que lo consumen.</t>
  </si>
  <si>
    <t>Competidores con caracteristicas similares aparecen en el mercado.</t>
  </si>
  <si>
    <t>Rotación de personal.</t>
  </si>
  <si>
    <t>Aumentan los costos de proveedores cloud.</t>
  </si>
  <si>
    <t>La capacidad de administrar clientes disminuye en un 10% en 2023 y un 20% en 2024.</t>
  </si>
  <si>
    <t>Gasto en servicios aumenta un 20% en 2023 y un 40% en 2024.</t>
  </si>
  <si>
    <t>Medio</t>
  </si>
  <si>
    <t>Las ventas disminuten un 20% en 2023 y un 30% en 2024.</t>
  </si>
  <si>
    <t>Como se puede observar, aplicando el plan de contingencia pasamos de un escenario de pérdidas, con VAN negativo y TIR menor a la tasa de corte requerida, a una situación favorable superando levemente la misma y convirtiendo el VAN a valores positivos.</t>
  </si>
  <si>
    <t>Aparecen nuevos competidores que logran captar mercado.</t>
  </si>
  <si>
    <r>
      <t xml:space="preserve">El plan de contingencia que se adoptará para este riesgo sera el de contratar menos personal calificado y darle mas tareas al personal restante.
</t>
    </r>
    <r>
      <rPr>
        <b/>
        <sz val="11"/>
        <color theme="1"/>
        <rFont val="Calibri"/>
        <family val="2"/>
        <scheme val="minor"/>
      </rPr>
      <t xml:space="preserve">
Medida nº1:</t>
    </r>
    <r>
      <rPr>
        <sz val="11"/>
        <color theme="1"/>
        <rFont val="Calibri"/>
        <family val="2"/>
        <scheme val="minor"/>
      </rPr>
      <t xml:space="preserve"> Se reduce la contratación del recurso en el año 2023.
</t>
    </r>
    <r>
      <rPr>
        <b/>
        <sz val="11"/>
        <color theme="1"/>
        <rFont val="Calibri"/>
        <family val="2"/>
        <scheme val="minor"/>
      </rPr>
      <t xml:space="preserve">Medida nº2: </t>
    </r>
    <r>
      <rPr>
        <sz val="11"/>
        <color theme="1"/>
        <rFont val="Calibri"/>
        <family val="2"/>
        <scheme val="minor"/>
      </rPr>
      <t xml:space="preserve">Se reduce la contratación del recurso en el año 2024.
</t>
    </r>
  </si>
  <si>
    <t>Plan de contingencia para el escenario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</si>
</sst>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8" formatCode="&quot;$&quot;\ #,##0.00;[Red]\-&quot;$&quot;\ #,##0.00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&quot;$&quot;#,##0_);[Red]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-* #,##0\ _€_-;\-* #,##0\ _€_-;_-* &quot;-&quot;??\ _€_-;_-@"/>
    <numFmt numFmtId="168" formatCode="_-[$$-2C0A]\ * #,##0.00_-;\-[$$-2C0A]\ * #,##0.00_-;_-[$$-2C0A]\ * &quot;-&quot;??_-;_-@"/>
    <numFmt numFmtId="169" formatCode="_-&quot;$&quot;\ * #,##0.00_-;\-&quot;$&quot;\ * #,##0.00_-;_-&quot;$&quot;\ * &quot;-&quot;??_-;_-@"/>
    <numFmt numFmtId="170" formatCode="0.0%"/>
    <numFmt numFmtId="171" formatCode="_-* #,##0.00\ _€_-;\-* #,##0.00\ _€_-;_-* &quot;-&quot;??\ _€_-;_-@"/>
    <numFmt numFmtId="172" formatCode="_ [$$-2C0A]\ * #,##0.00_ ;_ [$$-2C0A]\ * \-#,##0.00_ ;_ [$$-2C0A]\ * &quot;-&quot;??_ ;_ @_ "/>
    <numFmt numFmtId="173" formatCode="&quot;$&quot;\ #,##0.00"/>
    <numFmt numFmtId="174" formatCode="#,##0_ ;\-#,##0\ "/>
    <numFmt numFmtId="175" formatCode="&quot;$&quot;#,##0.00"/>
    <numFmt numFmtId="176" formatCode="_-* #,##0.00\ &quot;€&quot;_-;\-* #,##0.00\ &quot;€&quot;_-;_-* &quot;-&quot;??\ &quot;€&quot;_-;_-@_-"/>
    <numFmt numFmtId="177" formatCode="_ [$€-2]\ * #,##0.00_ ;_ [$€-2]\ * \-#,##0.00_ ;_ [$€-2]\ * &quot;-&quot;??_ "/>
    <numFmt numFmtId="178" formatCode="_-* #,##0.00\ _€_-;\-* #,##0.00\ _€_-;_-* &quot;-&quot;??\ _€_-;_-@_-"/>
    <numFmt numFmtId="179" formatCode="General_)"/>
    <numFmt numFmtId="180" formatCode="_-* #,##0_-;\-* #,##0_-;_-* &quot;-&quot;??_-;_-@_-"/>
  </numFmts>
  <fonts count="48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22"/>
      <color theme="1"/>
      <name val="Calibri"/>
      <family val="2"/>
    </font>
    <font>
      <b/>
      <sz val="22"/>
      <color theme="1"/>
      <name val="Arial"/>
      <family val="2"/>
    </font>
    <font>
      <sz val="22"/>
      <color theme="1"/>
      <name val="Calibri"/>
      <family val="2"/>
    </font>
    <font>
      <b/>
      <u/>
      <sz val="22"/>
      <color theme="1"/>
      <name val="Arial"/>
      <family val="2"/>
    </font>
    <font>
      <b/>
      <sz val="16"/>
      <color theme="1"/>
      <name val="Calibri"/>
      <family val="2"/>
    </font>
    <font>
      <b/>
      <sz val="36"/>
      <color theme="1"/>
      <name val="Calibri"/>
      <family val="2"/>
    </font>
    <font>
      <b/>
      <sz val="48"/>
      <color theme="1"/>
      <name val="Calibri"/>
      <family val="2"/>
    </font>
    <font>
      <sz val="11"/>
      <color rgb="FFE7E6E6"/>
      <name val="Calibri"/>
      <family val="2"/>
    </font>
    <font>
      <b/>
      <sz val="20"/>
      <color theme="1"/>
      <name val="Calibri"/>
      <family val="2"/>
    </font>
    <font>
      <sz val="11"/>
      <name val="Arial"/>
      <family val="2"/>
    </font>
    <font>
      <sz val="14"/>
      <color theme="1"/>
      <name val="Calibri"/>
      <family val="2"/>
    </font>
    <font>
      <b/>
      <sz val="12"/>
      <color theme="1"/>
      <name val="Calibri"/>
      <family val="2"/>
    </font>
    <font>
      <b/>
      <sz val="14"/>
      <color theme="1"/>
      <name val="Calibri"/>
      <family val="2"/>
    </font>
    <font>
      <sz val="12"/>
      <color theme="1"/>
      <name val="Calibri"/>
      <family val="2"/>
    </font>
    <font>
      <u/>
      <sz val="11"/>
      <color theme="10"/>
      <name val="Arial"/>
      <family val="2"/>
    </font>
    <font>
      <b/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48"/>
      <color theme="0"/>
      <name val="Calibri"/>
      <family val="2"/>
    </font>
    <font>
      <u/>
      <sz val="11"/>
      <color theme="10"/>
      <name val="Calibri"/>
      <family val="2"/>
    </font>
    <font>
      <b/>
      <sz val="36"/>
      <color theme="0"/>
      <name val="Calibri"/>
      <family val="2"/>
    </font>
    <font>
      <u/>
      <sz val="11"/>
      <color theme="10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20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Courier"/>
      <family val="3"/>
    </font>
    <font>
      <sz val="11"/>
      <color theme="1"/>
      <name val="Arial"/>
      <family val="2"/>
    </font>
    <font>
      <sz val="18"/>
      <color theme="10"/>
      <name val="Arial"/>
      <family val="2"/>
    </font>
    <font>
      <b/>
      <u/>
      <sz val="14"/>
      <name val="Arial"/>
      <family val="2"/>
    </font>
    <font>
      <b/>
      <sz val="20"/>
      <name val="Calibri"/>
      <family val="2"/>
    </font>
    <font>
      <b/>
      <sz val="14"/>
      <name val="Calibri"/>
      <family val="2"/>
    </font>
    <font>
      <b/>
      <sz val="2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ajor"/>
    </font>
    <font>
      <sz val="11"/>
      <color theme="1"/>
      <name val="Arial"/>
      <family val="2"/>
    </font>
    <font>
      <u/>
      <sz val="11"/>
      <color theme="1"/>
      <name val="Arial"/>
      <family val="2"/>
    </font>
  </fonts>
  <fills count="5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EF2CB"/>
        <bgColor rgb="FFFEF2CB"/>
      </patternFill>
    </fill>
    <fill>
      <patternFill patternType="solid">
        <fgColor rgb="FFFBE4D5"/>
        <bgColor rgb="FFFBE4D5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theme="1"/>
      </patternFill>
    </fill>
    <fill>
      <patternFill patternType="solid">
        <fgColor rgb="FFE2EFD9"/>
        <bgColor rgb="FFE2EFD9"/>
      </patternFill>
    </fill>
    <fill>
      <patternFill patternType="solid">
        <fgColor rgb="FFA8D08D"/>
        <bgColor rgb="FFA8D08D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theme="1"/>
        <bgColor theme="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59999389629810485"/>
        <bgColor rgb="FFD9E2F3"/>
      </patternFill>
    </fill>
    <fill>
      <patternFill patternType="solid">
        <fgColor rgb="FFFFFF00"/>
        <bgColor rgb="FFE2EFD9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59999389629810485"/>
        <bgColor rgb="FFFB6D6D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5" tint="0.79998168889431442"/>
        <bgColor rgb="FFFBE4D5"/>
      </patternFill>
    </fill>
    <fill>
      <patternFill patternType="solid">
        <fgColor theme="9" tint="0.79998168889431442"/>
        <bgColor rgb="FFECECEC"/>
      </patternFill>
    </fill>
    <fill>
      <patternFill patternType="solid">
        <fgColor theme="9" tint="0.79998168889431442"/>
        <bgColor rgb="FFF2F2F2"/>
      </patternFill>
    </fill>
    <fill>
      <patternFill patternType="solid">
        <fgColor theme="4" tint="0.59999389629810485"/>
        <bgColor rgb="FFF48080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theme="1"/>
      </patternFill>
    </fill>
    <fill>
      <patternFill patternType="solid">
        <fgColor theme="5" tint="0.79998168889431442"/>
        <bgColor rgb="FFD9E2F3"/>
      </patternFill>
    </fill>
    <fill>
      <patternFill patternType="solid">
        <fgColor theme="9" tint="0.79998168889431442"/>
        <bgColor rgb="FFD9E2F3"/>
      </patternFill>
    </fill>
    <fill>
      <patternFill patternType="solid">
        <fgColor theme="9" tint="0.79998168889431442"/>
        <bgColor rgb="FFFBE4D5"/>
      </patternFill>
    </fill>
    <fill>
      <patternFill patternType="solid">
        <fgColor theme="4" tint="0.79998168889431442"/>
        <bgColor rgb="FFF4808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8" tint="0.79998168889431442"/>
        <bgColor rgb="FFF4808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rgb="FFD9E2F3"/>
      </patternFill>
    </fill>
    <fill>
      <patternFill patternType="solid">
        <fgColor theme="7" tint="0.79998168889431442"/>
        <bgColor rgb="FFFBE4D5"/>
      </patternFill>
    </fill>
    <fill>
      <patternFill patternType="solid">
        <fgColor theme="4" tint="0.79998168889431442"/>
        <bgColor theme="0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rgb="FFFB6D6D"/>
      </patternFill>
    </fill>
    <fill>
      <patternFill patternType="solid">
        <fgColor theme="7" tint="0.79998168889431442"/>
        <bgColor theme="1"/>
      </patternFill>
    </fill>
    <fill>
      <patternFill patternType="solid">
        <fgColor theme="5" tint="0.79998168889431442"/>
        <bgColor theme="0"/>
      </patternFill>
    </fill>
    <fill>
      <patternFill patternType="solid">
        <fgColor theme="5" tint="0.79998168889431442"/>
        <bgColor theme="1"/>
      </patternFill>
    </fill>
    <fill>
      <patternFill patternType="solid">
        <fgColor theme="9" tint="0.79998168889431442"/>
        <bgColor theme="0"/>
      </patternFill>
    </fill>
    <fill>
      <patternFill patternType="solid">
        <fgColor theme="9" tint="0.79998168889431442"/>
        <bgColor theme="1"/>
      </patternFill>
    </fill>
    <fill>
      <patternFill patternType="solid">
        <fgColor theme="8" tint="0.79998168889431442"/>
        <bgColor theme="0"/>
      </patternFill>
    </fill>
    <fill>
      <patternFill patternType="solid">
        <fgColor theme="5" tint="0.79998168889431442"/>
        <bgColor rgb="FFDEEAF6"/>
      </patternFill>
    </fill>
    <fill>
      <patternFill patternType="solid">
        <fgColor theme="9" tint="0.79998168889431442"/>
        <bgColor rgb="FFDEEAF6"/>
      </patternFill>
    </fill>
    <fill>
      <patternFill patternType="solid">
        <fgColor theme="7" tint="0.79998168889431442"/>
        <bgColor rgb="FFDEEAF6"/>
      </patternFill>
    </fill>
    <fill>
      <patternFill patternType="solid">
        <fgColor theme="2"/>
        <bgColor rgb="FFFB6D6D"/>
      </patternFill>
    </fill>
    <fill>
      <patternFill patternType="solid">
        <fgColor theme="0"/>
        <bgColor rgb="FFFB6D6D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7" tint="0.79998168889431442"/>
        <bgColor rgb="FFC5E0B3"/>
      </patternFill>
    </fill>
    <fill>
      <patternFill patternType="solid">
        <fgColor theme="9" tint="0.79998168889431442"/>
        <bgColor rgb="FFC5E0B3"/>
      </patternFill>
    </fill>
  </fills>
  <borders count="134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1">
    <xf numFmtId="0" fontId="0" fillId="0" borderId="0"/>
    <xf numFmtId="0" fontId="26" fillId="0" borderId="76"/>
    <xf numFmtId="0" fontId="19" fillId="0" borderId="0" applyNumberFormat="0" applyFill="0" applyBorder="0" applyAlignment="0" applyProtection="0"/>
    <xf numFmtId="0" fontId="3" fillId="0" borderId="76"/>
    <xf numFmtId="176" fontId="3" fillId="0" borderId="76" applyFont="0" applyFill="0" applyBorder="0" applyAlignment="0" applyProtection="0"/>
    <xf numFmtId="0" fontId="31" fillId="0" borderId="76" applyNumberFormat="0" applyFill="0" applyBorder="0" applyAlignment="0" applyProtection="0"/>
    <xf numFmtId="176" fontId="3" fillId="0" borderId="76" applyFont="0" applyFill="0" applyBorder="0" applyAlignment="0" applyProtection="0"/>
    <xf numFmtId="0" fontId="3" fillId="0" borderId="76"/>
    <xf numFmtId="177" fontId="32" fillId="0" borderId="76" applyFont="0" applyFill="0" applyBorder="0" applyAlignment="0" applyProtection="0"/>
    <xf numFmtId="9" fontId="3" fillId="0" borderId="76" applyFont="0" applyFill="0" applyBorder="0" applyAlignment="0" applyProtection="0"/>
    <xf numFmtId="0" fontId="2" fillId="0" borderId="76"/>
    <xf numFmtId="0" fontId="2" fillId="17" borderId="76" applyNumberFormat="0" applyBorder="0" applyAlignment="0" applyProtection="0"/>
    <xf numFmtId="166" fontId="2" fillId="0" borderId="76" applyFont="0" applyFill="0" applyBorder="0" applyAlignment="0" applyProtection="0"/>
    <xf numFmtId="178" fontId="2" fillId="0" borderId="76" applyFont="0" applyFill="0" applyBorder="0" applyAlignment="0" applyProtection="0"/>
    <xf numFmtId="179" fontId="34" fillId="0" borderId="76"/>
    <xf numFmtId="179" fontId="34" fillId="0" borderId="76"/>
    <xf numFmtId="44" fontId="2" fillId="0" borderId="76" applyFont="0" applyFill="0" applyBorder="0" applyAlignment="0" applyProtection="0"/>
    <xf numFmtId="9" fontId="2" fillId="0" borderId="76" applyFont="0" applyFill="0" applyBorder="0" applyAlignment="0" applyProtection="0"/>
    <xf numFmtId="165" fontId="2" fillId="0" borderId="76" applyFont="0" applyFill="0" applyBorder="0" applyAlignment="0" applyProtection="0"/>
    <xf numFmtId="44" fontId="35" fillId="0" borderId="0" applyFont="0" applyFill="0" applyBorder="0" applyAlignment="0" applyProtection="0"/>
    <xf numFmtId="43" fontId="46" fillId="0" borderId="0" applyFont="0" applyFill="0" applyBorder="0" applyAlignment="0" applyProtection="0"/>
  </cellStyleXfs>
  <cellXfs count="637">
    <xf numFmtId="0" fontId="0" fillId="0" borderId="0" xfId="0"/>
    <xf numFmtId="0" fontId="4" fillId="2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left"/>
    </xf>
    <xf numFmtId="0" fontId="7" fillId="2" borderId="1" xfId="0" applyFont="1" applyFill="1" applyBorder="1"/>
    <xf numFmtId="0" fontId="8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/>
    </xf>
    <xf numFmtId="0" fontId="4" fillId="0" borderId="0" xfId="0" applyFont="1"/>
    <xf numFmtId="0" fontId="12" fillId="0" borderId="0" xfId="0" applyFont="1"/>
    <xf numFmtId="0" fontId="4" fillId="2" borderId="1" xfId="0" applyFont="1" applyFill="1" applyBorder="1" applyAlignment="1">
      <alignment vertical="center" wrapText="1"/>
    </xf>
    <xf numFmtId="0" fontId="15" fillId="2" borderId="1" xfId="0" applyFont="1" applyFill="1" applyBorder="1" applyAlignment="1">
      <alignment horizontal="left" vertical="top" wrapText="1"/>
    </xf>
    <xf numFmtId="168" fontId="4" fillId="2" borderId="1" xfId="0" applyNumberFormat="1" applyFont="1" applyFill="1" applyBorder="1"/>
    <xf numFmtId="0" fontId="18" fillId="2" borderId="1" xfId="0" applyFont="1" applyFill="1" applyBorder="1" applyAlignment="1">
      <alignment horizontal="left" vertical="top" wrapText="1"/>
    </xf>
    <xf numFmtId="0" fontId="18" fillId="2" borderId="15" xfId="0" applyFont="1" applyFill="1" applyBorder="1" applyAlignment="1">
      <alignment horizontal="center" vertical="top" wrapText="1"/>
    </xf>
    <xf numFmtId="170" fontId="18" fillId="2" borderId="15" xfId="0" applyNumberFormat="1" applyFont="1" applyFill="1" applyBorder="1" applyAlignment="1">
      <alignment horizontal="center" vertical="top" wrapText="1"/>
    </xf>
    <xf numFmtId="169" fontId="18" fillId="2" borderId="15" xfId="0" applyNumberFormat="1" applyFont="1" applyFill="1" applyBorder="1" applyAlignment="1">
      <alignment horizontal="left" vertical="top" wrapText="1"/>
    </xf>
    <xf numFmtId="9" fontId="18" fillId="2" borderId="1" xfId="0" applyNumberFormat="1" applyFont="1" applyFill="1" applyBorder="1" applyAlignment="1">
      <alignment horizontal="left" vertical="top" wrapText="1"/>
    </xf>
    <xf numFmtId="169" fontId="18" fillId="2" borderId="1" xfId="0" applyNumberFormat="1" applyFont="1" applyFill="1" applyBorder="1" applyAlignment="1">
      <alignment horizontal="left" vertical="top" wrapText="1"/>
    </xf>
    <xf numFmtId="171" fontId="18" fillId="2" borderId="1" xfId="0" applyNumberFormat="1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wrapText="1"/>
    </xf>
    <xf numFmtId="0" fontId="13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left" vertical="top" wrapText="1"/>
    </xf>
    <xf numFmtId="170" fontId="4" fillId="2" borderId="29" xfId="0" applyNumberFormat="1" applyFont="1" applyFill="1" applyBorder="1" applyAlignment="1">
      <alignment horizontal="center"/>
    </xf>
    <xf numFmtId="170" fontId="4" fillId="2" borderId="15" xfId="0" applyNumberFormat="1" applyFont="1" applyFill="1" applyBorder="1" applyAlignment="1">
      <alignment horizontal="center"/>
    </xf>
    <xf numFmtId="170" fontId="4" fillId="2" borderId="30" xfId="0" applyNumberFormat="1" applyFont="1" applyFill="1" applyBorder="1" applyAlignment="1">
      <alignment horizontal="center"/>
    </xf>
    <xf numFmtId="173" fontId="4" fillId="2" borderId="19" xfId="0" applyNumberFormat="1" applyFont="1" applyFill="1" applyBorder="1" applyAlignment="1">
      <alignment horizontal="center"/>
    </xf>
    <xf numFmtId="173" fontId="4" fillId="2" borderId="20" xfId="0" applyNumberFormat="1" applyFont="1" applyFill="1" applyBorder="1" applyAlignment="1">
      <alignment horizontal="center"/>
    </xf>
    <xf numFmtId="173" fontId="4" fillId="2" borderId="35" xfId="0" applyNumberFormat="1" applyFont="1" applyFill="1" applyBorder="1" applyAlignment="1">
      <alignment horizontal="center"/>
    </xf>
    <xf numFmtId="169" fontId="4" fillId="2" borderId="1" xfId="0" applyNumberFormat="1" applyFont="1" applyFill="1" applyBorder="1"/>
    <xf numFmtId="173" fontId="4" fillId="2" borderId="1" xfId="0" applyNumberFormat="1" applyFont="1" applyFill="1" applyBorder="1"/>
    <xf numFmtId="167" fontId="4" fillId="2" borderId="1" xfId="0" applyNumberFormat="1" applyFont="1" applyFill="1" applyBorder="1"/>
    <xf numFmtId="0" fontId="20" fillId="0" borderId="38" xfId="0" applyFont="1" applyBorder="1" applyAlignment="1">
      <alignment horizontal="center" vertical="center"/>
    </xf>
    <xf numFmtId="0" fontId="4" fillId="0" borderId="55" xfId="0" applyFont="1" applyBorder="1" applyAlignment="1">
      <alignment horizontal="left" wrapText="1"/>
    </xf>
    <xf numFmtId="0" fontId="20" fillId="0" borderId="43" xfId="0" applyFont="1" applyBorder="1" applyAlignment="1">
      <alignment horizontal="center" vertical="center"/>
    </xf>
    <xf numFmtId="173" fontId="4" fillId="0" borderId="56" xfId="0" applyNumberFormat="1" applyFont="1" applyBorder="1" applyAlignment="1">
      <alignment horizontal="left" wrapText="1"/>
    </xf>
    <xf numFmtId="0" fontId="20" fillId="0" borderId="10" xfId="0" applyFont="1" applyBorder="1" applyAlignment="1">
      <alignment horizontal="center" vertical="center"/>
    </xf>
    <xf numFmtId="173" fontId="4" fillId="0" borderId="38" xfId="0" applyNumberFormat="1" applyFont="1" applyBorder="1" applyAlignment="1">
      <alignment horizontal="left" wrapText="1"/>
    </xf>
    <xf numFmtId="0" fontId="20" fillId="0" borderId="63" xfId="0" applyFont="1" applyBorder="1" applyAlignment="1">
      <alignment horizontal="center" vertical="center"/>
    </xf>
    <xf numFmtId="173" fontId="4" fillId="0" borderId="43" xfId="0" applyNumberFormat="1" applyFont="1" applyBorder="1" applyAlignment="1">
      <alignment horizontal="left" wrapText="1"/>
    </xf>
    <xf numFmtId="0" fontId="13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13" fillId="6" borderId="1" xfId="0" applyFont="1" applyFill="1" applyBorder="1" applyAlignment="1">
      <alignment horizontal="center" vertical="center"/>
    </xf>
    <xf numFmtId="0" fontId="4" fillId="6" borderId="1" xfId="0" applyFont="1" applyFill="1" applyBorder="1"/>
    <xf numFmtId="173" fontId="4" fillId="6" borderId="1" xfId="0" applyNumberFormat="1" applyFont="1" applyFill="1" applyBorder="1"/>
    <xf numFmtId="0" fontId="4" fillId="6" borderId="1" xfId="0" applyFont="1" applyFill="1" applyBorder="1" applyAlignment="1">
      <alignment horizontal="center" vertical="center"/>
    </xf>
    <xf numFmtId="0" fontId="13" fillId="2" borderId="1" xfId="0" applyFont="1" applyFill="1" applyBorder="1"/>
    <xf numFmtId="0" fontId="4" fillId="2" borderId="15" xfId="0" applyFont="1" applyFill="1" applyBorder="1" applyAlignment="1">
      <alignment wrapText="1"/>
    </xf>
    <xf numFmtId="0" fontId="4" fillId="2" borderId="15" xfId="0" applyFont="1" applyFill="1" applyBorder="1" applyAlignment="1">
      <alignment horizontal="center" wrapText="1"/>
    </xf>
    <xf numFmtId="0" fontId="4" fillId="2" borderId="15" xfId="0" applyFont="1" applyFill="1" applyBorder="1"/>
    <xf numFmtId="0" fontId="4" fillId="2" borderId="69" xfId="0" applyFont="1" applyFill="1" applyBorder="1" applyAlignment="1">
      <alignment wrapText="1"/>
    </xf>
    <xf numFmtId="0" fontId="4" fillId="2" borderId="69" xfId="0" applyFont="1" applyFill="1" applyBorder="1" applyAlignment="1">
      <alignment horizontal="center" wrapText="1"/>
    </xf>
    <xf numFmtId="0" fontId="4" fillId="2" borderId="69" xfId="0" applyFont="1" applyFill="1" applyBorder="1"/>
    <xf numFmtId="0" fontId="20" fillId="2" borderId="71" xfId="0" applyFont="1" applyFill="1" applyBorder="1" applyAlignment="1">
      <alignment horizontal="center" vertical="center" wrapText="1"/>
    </xf>
    <xf numFmtId="0" fontId="20" fillId="2" borderId="50" xfId="0" applyFont="1" applyFill="1" applyBorder="1" applyAlignment="1">
      <alignment horizontal="center" vertical="center" wrapText="1"/>
    </xf>
    <xf numFmtId="1" fontId="20" fillId="0" borderId="73" xfId="0" applyNumberFormat="1" applyFont="1" applyBorder="1" applyAlignment="1">
      <alignment horizontal="center" vertical="center" wrapText="1"/>
    </xf>
    <xf numFmtId="0" fontId="20" fillId="0" borderId="74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wrapText="1"/>
    </xf>
    <xf numFmtId="0" fontId="4" fillId="6" borderId="1" xfId="0" applyFont="1" applyFill="1" applyBorder="1" applyAlignment="1">
      <alignment horizontal="center" vertical="center" wrapText="1"/>
    </xf>
    <xf numFmtId="0" fontId="20" fillId="6" borderId="1" xfId="0" applyFont="1" applyFill="1" applyBorder="1" applyAlignment="1">
      <alignment horizontal="center" vertical="center" wrapText="1"/>
    </xf>
    <xf numFmtId="0" fontId="20" fillId="6" borderId="1" xfId="0" applyFont="1" applyFill="1" applyBorder="1" applyAlignment="1">
      <alignment horizontal="center" wrapText="1"/>
    </xf>
    <xf numFmtId="0" fontId="20" fillId="2" borderId="1" xfId="0" applyFont="1" applyFill="1" applyBorder="1" applyAlignment="1">
      <alignment horizontal="center"/>
    </xf>
    <xf numFmtId="173" fontId="4" fillId="2" borderId="15" xfId="0" applyNumberFormat="1" applyFont="1" applyFill="1" applyBorder="1" applyAlignment="1">
      <alignment horizontal="center"/>
    </xf>
    <xf numFmtId="171" fontId="16" fillId="4" borderId="23" xfId="0" applyNumberFormat="1" applyFont="1" applyFill="1" applyBorder="1" applyAlignment="1">
      <alignment horizontal="left" wrapText="1"/>
    </xf>
    <xf numFmtId="169" fontId="4" fillId="4" borderId="24" xfId="0" applyNumberFormat="1" applyFont="1" applyFill="1" applyBorder="1" applyAlignment="1">
      <alignment wrapText="1"/>
    </xf>
    <xf numFmtId="171" fontId="16" fillId="7" borderId="23" xfId="0" applyNumberFormat="1" applyFont="1" applyFill="1" applyBorder="1" applyAlignment="1">
      <alignment horizontal="left" wrapText="1"/>
    </xf>
    <xf numFmtId="169" fontId="4" fillId="7" borderId="24" xfId="0" applyNumberFormat="1" applyFont="1" applyFill="1" applyBorder="1" applyAlignment="1">
      <alignment wrapText="1"/>
    </xf>
    <xf numFmtId="0" fontId="20" fillId="8" borderId="19" xfId="0" applyFont="1" applyFill="1" applyBorder="1" applyAlignment="1">
      <alignment wrapText="1"/>
    </xf>
    <xf numFmtId="169" fontId="20" fillId="8" borderId="20" xfId="0" applyNumberFormat="1" applyFont="1" applyFill="1" applyBorder="1" applyAlignment="1">
      <alignment wrapText="1"/>
    </xf>
    <xf numFmtId="169" fontId="20" fillId="8" borderId="35" xfId="0" applyNumberFormat="1" applyFont="1" applyFill="1" applyBorder="1" applyAlignment="1">
      <alignment wrapText="1"/>
    </xf>
    <xf numFmtId="173" fontId="4" fillId="2" borderId="1" xfId="0" applyNumberFormat="1" applyFont="1" applyFill="1" applyBorder="1" applyAlignment="1">
      <alignment horizontal="center"/>
    </xf>
    <xf numFmtId="169" fontId="20" fillId="5" borderId="2" xfId="0" applyNumberFormat="1" applyFont="1" applyFill="1" applyBorder="1" applyAlignment="1">
      <alignment horizontal="center"/>
    </xf>
    <xf numFmtId="9" fontId="4" fillId="2" borderId="1" xfId="0" applyNumberFormat="1" applyFont="1" applyFill="1" applyBorder="1" applyAlignment="1">
      <alignment horizontal="center"/>
    </xf>
    <xf numFmtId="169" fontId="4" fillId="0" borderId="2" xfId="0" applyNumberFormat="1" applyFont="1" applyBorder="1" applyAlignment="1">
      <alignment horizontal="center"/>
    </xf>
    <xf numFmtId="175" fontId="4" fillId="0" borderId="15" xfId="0" applyNumberFormat="1" applyFont="1" applyBorder="1" applyAlignment="1">
      <alignment horizontal="center"/>
    </xf>
    <xf numFmtId="173" fontId="20" fillId="5" borderId="35" xfId="0" applyNumberFormat="1" applyFont="1" applyFill="1" applyBorder="1"/>
    <xf numFmtId="173" fontId="4" fillId="2" borderId="15" xfId="0" applyNumberFormat="1" applyFont="1" applyFill="1" applyBorder="1" applyAlignment="1">
      <alignment horizontal="right"/>
    </xf>
    <xf numFmtId="173" fontId="20" fillId="5" borderId="15" xfId="0" applyNumberFormat="1" applyFont="1" applyFill="1" applyBorder="1" applyAlignment="1">
      <alignment horizontal="right"/>
    </xf>
    <xf numFmtId="9" fontId="4" fillId="2" borderId="29" xfId="0" applyNumberFormat="1" applyFont="1" applyFill="1" applyBorder="1" applyAlignment="1">
      <alignment horizontal="center"/>
    </xf>
    <xf numFmtId="9" fontId="4" fillId="2" borderId="15" xfId="0" applyNumberFormat="1" applyFont="1" applyFill="1" applyBorder="1" applyAlignment="1">
      <alignment horizontal="center"/>
    </xf>
    <xf numFmtId="9" fontId="4" fillId="2" borderId="30" xfId="0" applyNumberFormat="1" applyFont="1" applyFill="1" applyBorder="1" applyAlignment="1">
      <alignment horizontal="center"/>
    </xf>
    <xf numFmtId="173" fontId="4" fillId="0" borderId="19" xfId="0" applyNumberFormat="1" applyFont="1" applyBorder="1" applyAlignment="1">
      <alignment horizontal="center"/>
    </xf>
    <xf numFmtId="173" fontId="4" fillId="0" borderId="20" xfId="0" applyNumberFormat="1" applyFont="1" applyBorder="1" applyAlignment="1">
      <alignment horizontal="center"/>
    </xf>
    <xf numFmtId="173" fontId="4" fillId="0" borderId="35" xfId="0" applyNumberFormat="1" applyFont="1" applyBorder="1" applyAlignment="1">
      <alignment horizontal="center"/>
    </xf>
    <xf numFmtId="173" fontId="4" fillId="0" borderId="15" xfId="0" applyNumberFormat="1" applyFont="1" applyBorder="1" applyAlignment="1">
      <alignment horizontal="center"/>
    </xf>
    <xf numFmtId="173" fontId="20" fillId="5" borderId="5" xfId="0" applyNumberFormat="1" applyFont="1" applyFill="1" applyBorder="1" applyAlignment="1">
      <alignment horizontal="center"/>
    </xf>
    <xf numFmtId="173" fontId="4" fillId="0" borderId="30" xfId="0" applyNumberFormat="1" applyFont="1" applyBorder="1" applyAlignment="1">
      <alignment horizontal="center"/>
    </xf>
    <xf numFmtId="173" fontId="4" fillId="0" borderId="42" xfId="0" applyNumberFormat="1" applyFont="1" applyBorder="1" applyAlignment="1">
      <alignment horizontal="center"/>
    </xf>
    <xf numFmtId="173" fontId="4" fillId="2" borderId="29" xfId="0" applyNumberFormat="1" applyFont="1" applyFill="1" applyBorder="1" applyAlignment="1">
      <alignment horizontal="center"/>
    </xf>
    <xf numFmtId="173" fontId="4" fillId="2" borderId="30" xfId="0" applyNumberFormat="1" applyFont="1" applyFill="1" applyBorder="1" applyAlignment="1">
      <alignment horizontal="center"/>
    </xf>
    <xf numFmtId="0" fontId="4" fillId="0" borderId="80" xfId="0" applyFont="1" applyBorder="1" applyAlignment="1">
      <alignment horizontal="center"/>
    </xf>
    <xf numFmtId="173" fontId="4" fillId="0" borderId="96" xfId="0" applyNumberFormat="1" applyFont="1" applyBorder="1" applyAlignment="1">
      <alignment horizontal="center"/>
    </xf>
    <xf numFmtId="0" fontId="4" fillId="0" borderId="57" xfId="0" applyFont="1" applyBorder="1" applyAlignment="1">
      <alignment horizontal="center"/>
    </xf>
    <xf numFmtId="0" fontId="4" fillId="0" borderId="42" xfId="0" applyFont="1" applyBorder="1"/>
    <xf numFmtId="0" fontId="4" fillId="0" borderId="78" xfId="0" applyFont="1" applyBorder="1" applyAlignment="1">
      <alignment horizontal="center"/>
    </xf>
    <xf numFmtId="173" fontId="4" fillId="0" borderId="107" xfId="0" applyNumberFormat="1" applyFont="1" applyBorder="1" applyAlignment="1">
      <alignment horizontal="center"/>
    </xf>
    <xf numFmtId="0" fontId="4" fillId="5" borderId="81" xfId="0" applyFont="1" applyFill="1" applyBorder="1" applyAlignment="1">
      <alignment horizontal="center"/>
    </xf>
    <xf numFmtId="173" fontId="4" fillId="5" borderId="82" xfId="0" applyNumberFormat="1" applyFont="1" applyFill="1" applyBorder="1" applyAlignment="1">
      <alignment horizontal="center"/>
    </xf>
    <xf numFmtId="173" fontId="4" fillId="5" borderId="74" xfId="0" applyNumberFormat="1" applyFont="1" applyFill="1" applyBorder="1" applyAlignment="1">
      <alignment horizontal="center"/>
    </xf>
    <xf numFmtId="173" fontId="4" fillId="0" borderId="95" xfId="0" applyNumberFormat="1" applyFont="1" applyBorder="1" applyAlignment="1">
      <alignment horizontal="center"/>
    </xf>
    <xf numFmtId="173" fontId="4" fillId="0" borderId="108" xfId="0" applyNumberFormat="1" applyFont="1" applyBorder="1" applyAlignment="1">
      <alignment horizontal="center"/>
    </xf>
    <xf numFmtId="173" fontId="4" fillId="0" borderId="39" xfId="0" applyNumberFormat="1" applyFont="1" applyBorder="1" applyAlignment="1">
      <alignment horizontal="center"/>
    </xf>
    <xf numFmtId="173" fontId="4" fillId="0" borderId="40" xfId="0" applyNumberFormat="1" applyFont="1" applyBorder="1" applyAlignment="1">
      <alignment horizontal="center"/>
    </xf>
    <xf numFmtId="173" fontId="4" fillId="5" borderId="81" xfId="0" applyNumberFormat="1" applyFont="1" applyFill="1" applyBorder="1" applyAlignment="1">
      <alignment horizontal="center"/>
    </xf>
    <xf numFmtId="173" fontId="20" fillId="5" borderId="23" xfId="0" applyNumberFormat="1" applyFont="1" applyFill="1" applyBorder="1"/>
    <xf numFmtId="9" fontId="20" fillId="3" borderId="48" xfId="0" applyNumberFormat="1" applyFont="1" applyFill="1" applyBorder="1" applyAlignment="1">
      <alignment horizontal="center"/>
    </xf>
    <xf numFmtId="173" fontId="20" fillId="5" borderId="29" xfId="0" applyNumberFormat="1" applyFont="1" applyFill="1" applyBorder="1"/>
    <xf numFmtId="164" fontId="20" fillId="3" borderId="30" xfId="0" applyNumberFormat="1" applyFont="1" applyFill="1" applyBorder="1" applyAlignment="1">
      <alignment horizontal="center"/>
    </xf>
    <xf numFmtId="173" fontId="20" fillId="5" borderId="19" xfId="0" applyNumberFormat="1" applyFont="1" applyFill="1" applyBorder="1"/>
    <xf numFmtId="9" fontId="20" fillId="3" borderId="35" xfId="0" applyNumberFormat="1" applyFont="1" applyFill="1" applyBorder="1" applyAlignment="1">
      <alignment horizontal="center"/>
    </xf>
    <xf numFmtId="169" fontId="20" fillId="2" borderId="1" xfId="0" applyNumberFormat="1" applyFont="1" applyFill="1" applyBorder="1" applyAlignment="1">
      <alignment horizontal="center"/>
    </xf>
    <xf numFmtId="8" fontId="4" fillId="2" borderId="1" xfId="0" applyNumberFormat="1" applyFont="1" applyFill="1" applyBorder="1"/>
    <xf numFmtId="0" fontId="4" fillId="2" borderId="1" xfId="0" applyFont="1" applyFill="1" applyBorder="1" applyAlignment="1">
      <alignment horizontal="left" vertical="center" wrapText="1"/>
    </xf>
    <xf numFmtId="0" fontId="4" fillId="2" borderId="76" xfId="0" applyFont="1" applyFill="1" applyBorder="1"/>
    <xf numFmtId="0" fontId="20" fillId="9" borderId="43" xfId="0" applyFont="1" applyFill="1" applyBorder="1" applyAlignment="1">
      <alignment horizontal="center" vertical="center"/>
    </xf>
    <xf numFmtId="0" fontId="4" fillId="2" borderId="114" xfId="0" applyFont="1" applyFill="1" applyBorder="1"/>
    <xf numFmtId="1" fontId="4" fillId="2" borderId="114" xfId="0" applyNumberFormat="1" applyFont="1" applyFill="1" applyBorder="1"/>
    <xf numFmtId="173" fontId="4" fillId="0" borderId="114" xfId="0" applyNumberFormat="1" applyFont="1" applyBorder="1" applyAlignment="1">
      <alignment horizontal="left" wrapText="1"/>
    </xf>
    <xf numFmtId="1" fontId="4" fillId="10" borderId="114" xfId="0" applyNumberFormat="1" applyFont="1" applyFill="1" applyBorder="1"/>
    <xf numFmtId="0" fontId="20" fillId="9" borderId="68" xfId="0" applyFont="1" applyFill="1" applyBorder="1" applyAlignment="1">
      <alignment horizontal="center" vertical="center"/>
    </xf>
    <xf numFmtId="0" fontId="27" fillId="0" borderId="114" xfId="0" applyFont="1" applyBorder="1" applyAlignment="1">
      <alignment horizontal="center" vertical="center"/>
    </xf>
    <xf numFmtId="0" fontId="27" fillId="0" borderId="114" xfId="0" applyFont="1" applyBorder="1" applyAlignment="1">
      <alignment horizontal="center"/>
    </xf>
    <xf numFmtId="0" fontId="27" fillId="9" borderId="114" xfId="0" applyFont="1" applyFill="1" applyBorder="1" applyAlignment="1">
      <alignment horizontal="center" vertical="center"/>
    </xf>
    <xf numFmtId="0" fontId="4" fillId="11" borderId="1" xfId="0" applyFont="1" applyFill="1" applyBorder="1"/>
    <xf numFmtId="173" fontId="20" fillId="5" borderId="114" xfId="0" applyNumberFormat="1" applyFont="1" applyFill="1" applyBorder="1"/>
    <xf numFmtId="0" fontId="4" fillId="0" borderId="114" xfId="0" applyFont="1" applyBorder="1" applyAlignment="1">
      <alignment vertical="center"/>
    </xf>
    <xf numFmtId="173" fontId="4" fillId="0" borderId="114" xfId="0" applyNumberFormat="1" applyFont="1" applyBorder="1" applyAlignment="1">
      <alignment horizontal="center"/>
    </xf>
    <xf numFmtId="0" fontId="25" fillId="0" borderId="114" xfId="0" applyFont="1" applyBorder="1"/>
    <xf numFmtId="0" fontId="19" fillId="0" borderId="0" xfId="2" applyAlignment="1"/>
    <xf numFmtId="10" fontId="4" fillId="2" borderId="1" xfId="0" applyNumberFormat="1" applyFont="1" applyFill="1" applyBorder="1"/>
    <xf numFmtId="173" fontId="27" fillId="0" borderId="117" xfId="0" applyNumberFormat="1" applyFont="1" applyBorder="1" applyAlignment="1">
      <alignment horizontal="left" wrapText="1"/>
    </xf>
    <xf numFmtId="0" fontId="27" fillId="0" borderId="117" xfId="0" applyFont="1" applyBorder="1" applyAlignment="1">
      <alignment horizontal="center" vertical="center"/>
    </xf>
    <xf numFmtId="0" fontId="4" fillId="2" borderId="76" xfId="0" applyFont="1" applyFill="1" applyBorder="1" applyAlignment="1">
      <alignment horizontal="center" vertical="center"/>
    </xf>
    <xf numFmtId="173" fontId="27" fillId="0" borderId="117" xfId="0" applyNumberFormat="1" applyFont="1" applyBorder="1" applyAlignment="1">
      <alignment horizontal="center"/>
    </xf>
    <xf numFmtId="0" fontId="4" fillId="16" borderId="57" xfId="0" applyFont="1" applyFill="1" applyBorder="1" applyAlignment="1">
      <alignment horizontal="center"/>
    </xf>
    <xf numFmtId="173" fontId="4" fillId="16" borderId="15" xfId="0" applyNumberFormat="1" applyFont="1" applyFill="1" applyBorder="1" applyAlignment="1">
      <alignment horizontal="center"/>
    </xf>
    <xf numFmtId="173" fontId="4" fillId="16" borderId="30" xfId="0" applyNumberFormat="1" applyFont="1" applyFill="1" applyBorder="1" applyAlignment="1">
      <alignment horizontal="center"/>
    </xf>
    <xf numFmtId="0" fontId="4" fillId="16" borderId="42" xfId="0" applyFont="1" applyFill="1" applyBorder="1"/>
    <xf numFmtId="0" fontId="4" fillId="16" borderId="78" xfId="0" applyFont="1" applyFill="1" applyBorder="1" applyAlignment="1">
      <alignment horizontal="center"/>
    </xf>
    <xf numFmtId="173" fontId="4" fillId="16" borderId="107" xfId="0" applyNumberFormat="1" applyFont="1" applyFill="1" applyBorder="1" applyAlignment="1">
      <alignment horizontal="center"/>
    </xf>
    <xf numFmtId="0" fontId="4" fillId="15" borderId="81" xfId="0" applyFont="1" applyFill="1" applyBorder="1" applyAlignment="1">
      <alignment horizontal="center"/>
    </xf>
    <xf numFmtId="173" fontId="4" fillId="15" borderId="82" xfId="0" applyNumberFormat="1" applyFont="1" applyFill="1" applyBorder="1" applyAlignment="1">
      <alignment horizontal="center"/>
    </xf>
    <xf numFmtId="173" fontId="4" fillId="15" borderId="74" xfId="0" applyNumberFormat="1" applyFont="1" applyFill="1" applyBorder="1" applyAlignment="1">
      <alignment horizontal="center"/>
    </xf>
    <xf numFmtId="0" fontId="4" fillId="16" borderId="80" xfId="0" applyFont="1" applyFill="1" applyBorder="1" applyAlignment="1">
      <alignment horizontal="center"/>
    </xf>
    <xf numFmtId="173" fontId="4" fillId="16" borderId="96" xfId="0" applyNumberFormat="1" applyFont="1" applyFill="1" applyBorder="1" applyAlignment="1">
      <alignment horizontal="center"/>
    </xf>
    <xf numFmtId="173" fontId="4" fillId="16" borderId="95" xfId="0" applyNumberFormat="1" applyFont="1" applyFill="1" applyBorder="1" applyAlignment="1">
      <alignment horizontal="center"/>
    </xf>
    <xf numFmtId="173" fontId="4" fillId="16" borderId="42" xfId="0" applyNumberFormat="1" applyFont="1" applyFill="1" applyBorder="1" applyAlignment="1">
      <alignment horizontal="center"/>
    </xf>
    <xf numFmtId="173" fontId="4" fillId="16" borderId="108" xfId="0" applyNumberFormat="1" applyFont="1" applyFill="1" applyBorder="1" applyAlignment="1">
      <alignment horizontal="center"/>
    </xf>
    <xf numFmtId="173" fontId="4" fillId="16" borderId="39" xfId="0" applyNumberFormat="1" applyFont="1" applyFill="1" applyBorder="1" applyAlignment="1">
      <alignment horizontal="center"/>
    </xf>
    <xf numFmtId="173" fontId="4" fillId="16" borderId="40" xfId="0" applyNumberFormat="1" applyFont="1" applyFill="1" applyBorder="1" applyAlignment="1">
      <alignment horizontal="center"/>
    </xf>
    <xf numFmtId="173" fontId="4" fillId="15" borderId="81" xfId="0" applyNumberFormat="1" applyFont="1" applyFill="1" applyBorder="1" applyAlignment="1">
      <alignment horizontal="center"/>
    </xf>
    <xf numFmtId="173" fontId="4" fillId="9" borderId="96" xfId="0" applyNumberFormat="1" applyFont="1" applyFill="1" applyBorder="1" applyAlignment="1">
      <alignment horizontal="center"/>
    </xf>
    <xf numFmtId="173" fontId="4" fillId="9" borderId="107" xfId="0" applyNumberFormat="1" applyFont="1" applyFill="1" applyBorder="1" applyAlignment="1">
      <alignment horizontal="center"/>
    </xf>
    <xf numFmtId="0" fontId="2" fillId="16" borderId="76" xfId="10" applyFill="1"/>
    <xf numFmtId="0" fontId="36" fillId="2" borderId="1" xfId="2" applyFont="1" applyFill="1" applyBorder="1" applyAlignment="1">
      <alignment horizontal="left"/>
    </xf>
    <xf numFmtId="0" fontId="4" fillId="18" borderId="1" xfId="0" applyFont="1" applyFill="1" applyBorder="1"/>
    <xf numFmtId="0" fontId="39" fillId="18" borderId="15" xfId="0" applyFont="1" applyFill="1" applyBorder="1" applyAlignment="1">
      <alignment horizontal="center" vertical="top" wrapText="1"/>
    </xf>
    <xf numFmtId="0" fontId="39" fillId="18" borderId="15" xfId="0" applyFont="1" applyFill="1" applyBorder="1" applyAlignment="1">
      <alignment horizontal="left" vertical="top" wrapText="1"/>
    </xf>
    <xf numFmtId="0" fontId="15" fillId="2" borderId="76" xfId="0" applyFont="1" applyFill="1" applyBorder="1" applyAlignment="1">
      <alignment horizontal="left" vertical="top" wrapText="1"/>
    </xf>
    <xf numFmtId="168" fontId="4" fillId="2" borderId="76" xfId="0" applyNumberFormat="1" applyFont="1" applyFill="1" applyBorder="1"/>
    <xf numFmtId="167" fontId="15" fillId="2" borderId="76" xfId="0" applyNumberFormat="1" applyFont="1" applyFill="1" applyBorder="1" applyAlignment="1">
      <alignment horizontal="left" vertical="top" wrapText="1"/>
    </xf>
    <xf numFmtId="168" fontId="15" fillId="2" borderId="76" xfId="0" applyNumberFormat="1" applyFont="1" applyFill="1" applyBorder="1" applyAlignment="1">
      <alignment horizontal="left" vertical="top" wrapText="1"/>
    </xf>
    <xf numFmtId="169" fontId="17" fillId="20" borderId="76" xfId="0" applyNumberFormat="1" applyFont="1" applyFill="1" applyBorder="1" applyAlignment="1">
      <alignment horizontal="left" vertical="top" wrapText="1"/>
    </xf>
    <xf numFmtId="0" fontId="16" fillId="18" borderId="114" xfId="0" applyFont="1" applyFill="1" applyBorder="1" applyAlignment="1">
      <alignment horizontal="center" vertical="center" wrapText="1"/>
    </xf>
    <xf numFmtId="167" fontId="15" fillId="2" borderId="114" xfId="0" applyNumberFormat="1" applyFont="1" applyFill="1" applyBorder="1" applyAlignment="1">
      <alignment horizontal="left" vertical="top" wrapText="1"/>
    </xf>
    <xf numFmtId="168" fontId="15" fillId="2" borderId="114" xfId="0" applyNumberFormat="1" applyFont="1" applyFill="1" applyBorder="1" applyAlignment="1">
      <alignment horizontal="left" vertical="top" wrapText="1"/>
    </xf>
    <xf numFmtId="169" fontId="17" fillId="3" borderId="114" xfId="0" applyNumberFormat="1" applyFont="1" applyFill="1" applyBorder="1" applyAlignment="1">
      <alignment horizontal="left" vertical="top" wrapText="1"/>
    </xf>
    <xf numFmtId="0" fontId="0" fillId="0" borderId="76" xfId="0" applyBorder="1"/>
    <xf numFmtId="0" fontId="17" fillId="18" borderId="19" xfId="0" applyFont="1" applyFill="1" applyBorder="1" applyAlignment="1">
      <alignment horizontal="left" vertical="top" wrapText="1"/>
    </xf>
    <xf numFmtId="0" fontId="17" fillId="18" borderId="20" xfId="0" applyFont="1" applyFill="1" applyBorder="1" applyAlignment="1">
      <alignment horizontal="left" vertical="top" wrapText="1"/>
    </xf>
    <xf numFmtId="0" fontId="16" fillId="21" borderId="23" xfId="0" applyFont="1" applyFill="1" applyBorder="1" applyAlignment="1">
      <alignment vertical="center"/>
    </xf>
    <xf numFmtId="172" fontId="16" fillId="21" borderId="24" xfId="0" applyNumberFormat="1" applyFont="1" applyFill="1" applyBorder="1" applyAlignment="1">
      <alignment vertical="center"/>
    </xf>
    <xf numFmtId="0" fontId="16" fillId="22" borderId="23" xfId="0" applyFont="1" applyFill="1" applyBorder="1" applyAlignment="1">
      <alignment vertical="center"/>
    </xf>
    <xf numFmtId="172" fontId="16" fillId="22" borderId="24" xfId="0" applyNumberFormat="1" applyFont="1" applyFill="1" applyBorder="1" applyAlignment="1">
      <alignment vertical="center"/>
    </xf>
    <xf numFmtId="0" fontId="4" fillId="24" borderId="1" xfId="0" applyFont="1" applyFill="1" applyBorder="1"/>
    <xf numFmtId="0" fontId="10" fillId="24" borderId="1" xfId="0" applyFont="1" applyFill="1" applyBorder="1" applyAlignment="1">
      <alignment vertical="center"/>
    </xf>
    <xf numFmtId="0" fontId="11" fillId="24" borderId="1" xfId="0" applyFont="1" applyFill="1" applyBorder="1" applyAlignment="1">
      <alignment vertical="center"/>
    </xf>
    <xf numFmtId="173" fontId="27" fillId="0" borderId="38" xfId="0" applyNumberFormat="1" applyFont="1" applyBorder="1" applyAlignment="1">
      <alignment vertical="center"/>
    </xf>
    <xf numFmtId="0" fontId="4" fillId="18" borderId="1" xfId="0" applyFont="1" applyFill="1" applyBorder="1" applyAlignment="1">
      <alignment wrapText="1"/>
    </xf>
    <xf numFmtId="0" fontId="10" fillId="18" borderId="1" xfId="0" applyFont="1" applyFill="1" applyBorder="1" applyAlignment="1">
      <alignment vertical="center"/>
    </xf>
    <xf numFmtId="0" fontId="29" fillId="18" borderId="107" xfId="0" applyFont="1" applyFill="1" applyBorder="1" applyAlignment="1">
      <alignment horizontal="center" vertical="center" wrapText="1"/>
    </xf>
    <xf numFmtId="0" fontId="20" fillId="18" borderId="107" xfId="0" applyFont="1" applyFill="1" applyBorder="1" applyAlignment="1">
      <alignment horizontal="center" vertical="center" wrapText="1"/>
    </xf>
    <xf numFmtId="0" fontId="16" fillId="35" borderId="23" xfId="0" applyFont="1" applyFill="1" applyBorder="1" applyAlignment="1">
      <alignment vertical="center"/>
    </xf>
    <xf numFmtId="0" fontId="13" fillId="30" borderId="2" xfId="0" applyFont="1" applyFill="1" applyBorder="1" applyAlignment="1">
      <alignment horizontal="center" vertical="center"/>
    </xf>
    <xf numFmtId="0" fontId="20" fillId="32" borderId="54" xfId="0" applyFont="1" applyFill="1" applyBorder="1" applyAlignment="1">
      <alignment horizontal="center"/>
    </xf>
    <xf numFmtId="0" fontId="20" fillId="32" borderId="2" xfId="0" applyFont="1" applyFill="1" applyBorder="1" applyAlignment="1">
      <alignment horizontal="center"/>
    </xf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12" borderId="0" xfId="0" applyFill="1"/>
    <xf numFmtId="0" fontId="0" fillId="16" borderId="0" xfId="0" applyFill="1"/>
    <xf numFmtId="173" fontId="4" fillId="9" borderId="56" xfId="0" applyNumberFormat="1" applyFont="1" applyFill="1" applyBorder="1" applyAlignment="1">
      <alignment horizontal="left" wrapText="1"/>
    </xf>
    <xf numFmtId="0" fontId="20" fillId="16" borderId="112" xfId="0" applyFont="1" applyFill="1" applyBorder="1" applyAlignment="1">
      <alignment horizontal="center" vertical="center"/>
    </xf>
    <xf numFmtId="173" fontId="4" fillId="0" borderId="76" xfId="0" applyNumberFormat="1" applyFont="1" applyBorder="1" applyAlignment="1">
      <alignment horizontal="left" wrapText="1"/>
    </xf>
    <xf numFmtId="0" fontId="26" fillId="0" borderId="0" xfId="0" applyFont="1"/>
    <xf numFmtId="0" fontId="20" fillId="30" borderId="29" xfId="0" applyFont="1" applyFill="1" applyBorder="1" applyAlignment="1">
      <alignment horizontal="center"/>
    </xf>
    <xf numFmtId="0" fontId="20" fillId="30" borderId="15" xfId="0" applyFont="1" applyFill="1" applyBorder="1" applyAlignment="1">
      <alignment horizontal="center"/>
    </xf>
    <xf numFmtId="0" fontId="20" fillId="30" borderId="30" xfId="0" applyFont="1" applyFill="1" applyBorder="1" applyAlignment="1">
      <alignment horizontal="center"/>
    </xf>
    <xf numFmtId="0" fontId="4" fillId="42" borderId="1" xfId="0" applyFont="1" applyFill="1" applyBorder="1"/>
    <xf numFmtId="0" fontId="10" fillId="42" borderId="1" xfId="0" applyFont="1" applyFill="1" applyBorder="1" applyAlignment="1">
      <alignment vertical="center"/>
    </xf>
    <xf numFmtId="0" fontId="22" fillId="42" borderId="1" xfId="0" applyFont="1" applyFill="1" applyBorder="1" applyAlignment="1">
      <alignment vertical="center"/>
    </xf>
    <xf numFmtId="0" fontId="20" fillId="42" borderId="15" xfId="0" applyFont="1" applyFill="1" applyBorder="1" applyAlignment="1">
      <alignment horizontal="center"/>
    </xf>
    <xf numFmtId="0" fontId="20" fillId="7" borderId="102" xfId="0" applyFont="1" applyFill="1" applyBorder="1" applyAlignment="1">
      <alignment horizontal="center"/>
    </xf>
    <xf numFmtId="0" fontId="20" fillId="30" borderId="2" xfId="0" applyFont="1" applyFill="1" applyBorder="1" applyAlignment="1">
      <alignment horizontal="center" vertical="center" wrapText="1"/>
    </xf>
    <xf numFmtId="0" fontId="16" fillId="35" borderId="2" xfId="0" applyFont="1" applyFill="1" applyBorder="1" applyAlignment="1">
      <alignment vertical="center"/>
    </xf>
    <xf numFmtId="169" fontId="4" fillId="35" borderId="2" xfId="0" applyNumberFormat="1" applyFont="1" applyFill="1" applyBorder="1"/>
    <xf numFmtId="0" fontId="16" fillId="21" borderId="2" xfId="0" applyFont="1" applyFill="1" applyBorder="1" applyAlignment="1">
      <alignment vertical="center"/>
    </xf>
    <xf numFmtId="169" fontId="4" fillId="21" borderId="2" xfId="0" applyNumberFormat="1" applyFont="1" applyFill="1" applyBorder="1"/>
    <xf numFmtId="0" fontId="16" fillId="22" borderId="2" xfId="0" applyFont="1" applyFill="1" applyBorder="1" applyAlignment="1">
      <alignment vertical="center"/>
    </xf>
    <xf numFmtId="169" fontId="4" fillId="22" borderId="2" xfId="0" applyNumberFormat="1" applyFont="1" applyFill="1" applyBorder="1"/>
    <xf numFmtId="169" fontId="4" fillId="49" borderId="24" xfId="0" applyNumberFormat="1" applyFont="1" applyFill="1" applyBorder="1" applyAlignment="1">
      <alignment wrapText="1"/>
    </xf>
    <xf numFmtId="169" fontId="4" fillId="50" borderId="24" xfId="0" applyNumberFormat="1" applyFont="1" applyFill="1" applyBorder="1" applyAlignment="1">
      <alignment wrapText="1"/>
    </xf>
    <xf numFmtId="169" fontId="4" fillId="49" borderId="48" xfId="0" applyNumberFormat="1" applyFont="1" applyFill="1" applyBorder="1" applyAlignment="1">
      <alignment wrapText="1"/>
    </xf>
    <xf numFmtId="169" fontId="4" fillId="50" borderId="48" xfId="0" applyNumberFormat="1" applyFont="1" applyFill="1" applyBorder="1" applyAlignment="1">
      <alignment wrapText="1"/>
    </xf>
    <xf numFmtId="171" fontId="16" fillId="51" borderId="23" xfId="0" applyNumberFormat="1" applyFont="1" applyFill="1" applyBorder="1" applyAlignment="1">
      <alignment horizontal="left" wrapText="1"/>
    </xf>
    <xf numFmtId="169" fontId="4" fillId="51" borderId="24" xfId="0" applyNumberFormat="1" applyFont="1" applyFill="1" applyBorder="1" applyAlignment="1">
      <alignment wrapText="1"/>
    </xf>
    <xf numFmtId="169" fontId="4" fillId="51" borderId="48" xfId="0" applyNumberFormat="1" applyFont="1" applyFill="1" applyBorder="1" applyAlignment="1">
      <alignment wrapText="1"/>
    </xf>
    <xf numFmtId="171" fontId="16" fillId="42" borderId="51" xfId="0" applyNumberFormat="1" applyFont="1" applyFill="1" applyBorder="1" applyAlignment="1">
      <alignment horizontal="center" wrapText="1"/>
    </xf>
    <xf numFmtId="171" fontId="21" fillId="42" borderId="64" xfId="0" applyNumberFormat="1" applyFont="1" applyFill="1" applyBorder="1" applyAlignment="1">
      <alignment horizontal="center" vertical="center" wrapText="1"/>
    </xf>
    <xf numFmtId="171" fontId="21" fillId="42" borderId="52" xfId="0" applyNumberFormat="1" applyFont="1" applyFill="1" applyBorder="1" applyAlignment="1">
      <alignment horizontal="center" vertical="center" wrapText="1"/>
    </xf>
    <xf numFmtId="0" fontId="4" fillId="30" borderId="1" xfId="0" applyFont="1" applyFill="1" applyBorder="1"/>
    <xf numFmtId="0" fontId="10" fillId="30" borderId="1" xfId="0" applyFont="1" applyFill="1" applyBorder="1" applyAlignment="1">
      <alignment vertical="center"/>
    </xf>
    <xf numFmtId="0" fontId="22" fillId="30" borderId="1" xfId="0" applyFont="1" applyFill="1" applyBorder="1" applyAlignment="1">
      <alignment vertical="center"/>
    </xf>
    <xf numFmtId="0" fontId="20" fillId="42" borderId="29" xfId="0" applyFont="1" applyFill="1" applyBorder="1" applyAlignment="1">
      <alignment horizontal="center"/>
    </xf>
    <xf numFmtId="0" fontId="20" fillId="42" borderId="30" xfId="0" applyFont="1" applyFill="1" applyBorder="1" applyAlignment="1">
      <alignment horizontal="center"/>
    </xf>
    <xf numFmtId="0" fontId="20" fillId="42" borderId="2" xfId="0" applyFont="1" applyFill="1" applyBorder="1" applyAlignment="1">
      <alignment horizontal="center"/>
    </xf>
    <xf numFmtId="169" fontId="20" fillId="42" borderId="2" xfId="0" applyNumberFormat="1" applyFont="1" applyFill="1" applyBorder="1" applyAlignment="1">
      <alignment horizontal="center"/>
    </xf>
    <xf numFmtId="0" fontId="45" fillId="42" borderId="2" xfId="0" applyFont="1" applyFill="1" applyBorder="1" applyAlignment="1">
      <alignment horizontal="center" vertical="center"/>
    </xf>
    <xf numFmtId="0" fontId="4" fillId="0" borderId="2" xfId="0" applyFont="1" applyBorder="1"/>
    <xf numFmtId="0" fontId="4" fillId="2" borderId="2" xfId="0" applyFont="1" applyFill="1" applyBorder="1" applyAlignment="1">
      <alignment horizontal="left"/>
    </xf>
    <xf numFmtId="0" fontId="45" fillId="42" borderId="2" xfId="0" applyFont="1" applyFill="1" applyBorder="1" applyAlignment="1">
      <alignment horizontal="center" vertical="center" wrapText="1"/>
    </xf>
    <xf numFmtId="0" fontId="23" fillId="2" borderId="2" xfId="0" applyFont="1" applyFill="1" applyBorder="1" applyAlignment="1">
      <alignment horizontal="left"/>
    </xf>
    <xf numFmtId="0" fontId="20" fillId="42" borderId="2" xfId="0" applyFont="1" applyFill="1" applyBorder="1"/>
    <xf numFmtId="172" fontId="16" fillId="35" borderId="24" xfId="0" applyNumberFormat="1" applyFont="1" applyFill="1" applyBorder="1" applyAlignment="1">
      <alignment vertical="center"/>
    </xf>
    <xf numFmtId="0" fontId="10" fillId="42" borderId="1" xfId="0" applyFont="1" applyFill="1" applyBorder="1" applyAlignment="1">
      <alignment horizontal="center" vertical="center"/>
    </xf>
    <xf numFmtId="0" fontId="11" fillId="42" borderId="1" xfId="0" applyFont="1" applyFill="1" applyBorder="1" applyAlignment="1">
      <alignment horizontal="center" vertical="center"/>
    </xf>
    <xf numFmtId="0" fontId="24" fillId="42" borderId="1" xfId="0" applyFont="1" applyFill="1" applyBorder="1" applyAlignment="1">
      <alignment vertical="center"/>
    </xf>
    <xf numFmtId="0" fontId="9" fillId="31" borderId="2" xfId="0" applyFont="1" applyFill="1" applyBorder="1" applyAlignment="1">
      <alignment horizontal="center"/>
    </xf>
    <xf numFmtId="169" fontId="4" fillId="35" borderId="2" xfId="0" applyNumberFormat="1" applyFont="1" applyFill="1" applyBorder="1" applyAlignment="1">
      <alignment horizontal="center" vertical="center"/>
    </xf>
    <xf numFmtId="167" fontId="4" fillId="36" borderId="2" xfId="0" applyNumberFormat="1" applyFont="1" applyFill="1" applyBorder="1" applyAlignment="1">
      <alignment horizontal="center" vertical="center"/>
    </xf>
    <xf numFmtId="167" fontId="4" fillId="35" borderId="2" xfId="0" applyNumberFormat="1" applyFont="1" applyFill="1" applyBorder="1" applyAlignment="1">
      <alignment horizontal="center" vertical="center"/>
    </xf>
    <xf numFmtId="169" fontId="4" fillId="21" borderId="2" xfId="0" applyNumberFormat="1" applyFont="1" applyFill="1" applyBorder="1" applyAlignment="1">
      <alignment horizontal="center" vertical="center"/>
    </xf>
    <xf numFmtId="167" fontId="4" fillId="21" borderId="2" xfId="0" applyNumberFormat="1" applyFont="1" applyFill="1" applyBorder="1" applyAlignment="1">
      <alignment horizontal="center" vertical="center"/>
    </xf>
    <xf numFmtId="169" fontId="4" fillId="27" borderId="2" xfId="0" applyNumberFormat="1" applyFont="1" applyFill="1" applyBorder="1" applyAlignment="1">
      <alignment horizontal="center" vertical="center"/>
    </xf>
    <xf numFmtId="169" fontId="4" fillId="22" borderId="2" xfId="0" applyNumberFormat="1" applyFont="1" applyFill="1" applyBorder="1" applyAlignment="1">
      <alignment horizontal="center" vertical="center"/>
    </xf>
    <xf numFmtId="167" fontId="4" fillId="29" borderId="2" xfId="0" applyNumberFormat="1" applyFont="1" applyFill="1" applyBorder="1" applyAlignment="1">
      <alignment horizontal="center" vertical="center"/>
    </xf>
    <xf numFmtId="167" fontId="4" fillId="22" borderId="2" xfId="0" applyNumberFormat="1" applyFont="1" applyFill="1" applyBorder="1" applyAlignment="1">
      <alignment horizontal="center" vertical="center"/>
    </xf>
    <xf numFmtId="169" fontId="4" fillId="28" borderId="2" xfId="0" applyNumberFormat="1" applyFont="1" applyFill="1" applyBorder="1" applyAlignment="1">
      <alignment horizontal="center" vertical="center"/>
    </xf>
    <xf numFmtId="167" fontId="4" fillId="34" borderId="2" xfId="0" applyNumberFormat="1" applyFont="1" applyFill="1" applyBorder="1" applyAlignment="1">
      <alignment horizontal="center" vertical="center"/>
    </xf>
    <xf numFmtId="169" fontId="20" fillId="48" borderId="2" xfId="0" applyNumberFormat="1" applyFont="1" applyFill="1" applyBorder="1" applyAlignment="1">
      <alignment horizontal="center" vertical="center"/>
    </xf>
    <xf numFmtId="167" fontId="20" fillId="34" borderId="2" xfId="0" applyNumberFormat="1" applyFont="1" applyFill="1" applyBorder="1" applyAlignment="1">
      <alignment horizontal="center" vertical="center"/>
    </xf>
    <xf numFmtId="169" fontId="20" fillId="38" borderId="2" xfId="0" applyNumberFormat="1" applyFont="1" applyFill="1" applyBorder="1" applyAlignment="1">
      <alignment horizontal="center" vertical="center"/>
    </xf>
    <xf numFmtId="174" fontId="16" fillId="35" borderId="2" xfId="0" applyNumberFormat="1" applyFont="1" applyFill="1" applyBorder="1" applyAlignment="1">
      <alignment horizontal="center" vertical="center"/>
    </xf>
    <xf numFmtId="44" fontId="18" fillId="43" borderId="2" xfId="19" applyFont="1" applyFill="1" applyBorder="1" applyAlignment="1">
      <alignment horizontal="center" vertical="center"/>
    </xf>
    <xf numFmtId="44" fontId="16" fillId="35" borderId="2" xfId="19" applyFont="1" applyFill="1" applyBorder="1" applyAlignment="1">
      <alignment horizontal="center" vertical="center"/>
    </xf>
    <xf numFmtId="169" fontId="20" fillId="44" borderId="2" xfId="0" applyNumberFormat="1" applyFont="1" applyFill="1" applyBorder="1" applyAlignment="1">
      <alignment horizontal="center" vertical="center"/>
    </xf>
    <xf numFmtId="174" fontId="16" fillId="27" borderId="2" xfId="0" applyNumberFormat="1" applyFont="1" applyFill="1" applyBorder="1" applyAlignment="1">
      <alignment horizontal="center" vertical="center"/>
    </xf>
    <xf numFmtId="44" fontId="18" fillId="45" borderId="2" xfId="19" applyFont="1" applyFill="1" applyBorder="1" applyAlignment="1">
      <alignment horizontal="center" vertical="center"/>
    </xf>
    <xf numFmtId="44" fontId="16" fillId="27" borderId="2" xfId="19" applyFont="1" applyFill="1" applyBorder="1" applyAlignment="1">
      <alignment horizontal="center" vertical="center"/>
    </xf>
    <xf numFmtId="169" fontId="20" fillId="46" borderId="2" xfId="0" applyNumberFormat="1" applyFont="1" applyFill="1" applyBorder="1" applyAlignment="1">
      <alignment horizontal="center" vertical="center"/>
    </xf>
    <xf numFmtId="174" fontId="16" fillId="28" borderId="2" xfId="0" applyNumberFormat="1" applyFont="1" applyFill="1" applyBorder="1" applyAlignment="1">
      <alignment horizontal="center" vertical="center"/>
    </xf>
    <xf numFmtId="44" fontId="18" fillId="47" borderId="2" xfId="19" applyFont="1" applyFill="1" applyBorder="1" applyAlignment="1">
      <alignment horizontal="center" vertical="center"/>
    </xf>
    <xf numFmtId="44" fontId="16" fillId="28" borderId="2" xfId="19" applyFont="1" applyFill="1" applyBorder="1" applyAlignment="1">
      <alignment horizontal="center" vertical="center"/>
    </xf>
    <xf numFmtId="174" fontId="16" fillId="25" borderId="2" xfId="0" applyNumberFormat="1" applyFont="1" applyFill="1" applyBorder="1" applyAlignment="1">
      <alignment horizontal="center" vertical="center"/>
    </xf>
    <xf numFmtId="169" fontId="20" fillId="2" borderId="2" xfId="0" applyNumberFormat="1" applyFont="1" applyFill="1" applyBorder="1" applyAlignment="1">
      <alignment horizontal="center" vertical="center"/>
    </xf>
    <xf numFmtId="174" fontId="16" fillId="13" borderId="2" xfId="0" applyNumberFormat="1" applyFont="1" applyFill="1" applyBorder="1" applyAlignment="1">
      <alignment horizontal="center" vertical="center"/>
    </xf>
    <xf numFmtId="171" fontId="16" fillId="26" borderId="2" xfId="0" applyNumberFormat="1" applyFont="1" applyFill="1" applyBorder="1" applyAlignment="1">
      <alignment horizontal="center" vertical="center"/>
    </xf>
    <xf numFmtId="171" fontId="18" fillId="26" borderId="2" xfId="0" applyNumberFormat="1" applyFont="1" applyFill="1" applyBorder="1" applyAlignment="1">
      <alignment horizontal="center" vertical="center"/>
    </xf>
    <xf numFmtId="0" fontId="16" fillId="35" borderId="2" xfId="0" applyFont="1" applyFill="1" applyBorder="1" applyAlignment="1">
      <alignment horizontal="left" vertical="center"/>
    </xf>
    <xf numFmtId="169" fontId="4" fillId="35" borderId="2" xfId="0" applyNumberFormat="1" applyFont="1" applyFill="1" applyBorder="1" applyAlignment="1">
      <alignment horizontal="left" vertical="center"/>
    </xf>
    <xf numFmtId="0" fontId="16" fillId="21" borderId="2" xfId="0" applyFont="1" applyFill="1" applyBorder="1" applyAlignment="1">
      <alignment horizontal="left" vertical="center"/>
    </xf>
    <xf numFmtId="169" fontId="4" fillId="21" borderId="2" xfId="0" applyNumberFormat="1" applyFont="1" applyFill="1" applyBorder="1" applyAlignment="1">
      <alignment horizontal="left" vertical="center"/>
    </xf>
    <xf numFmtId="0" fontId="16" fillId="22" borderId="2" xfId="0" applyFont="1" applyFill="1" applyBorder="1" applyAlignment="1">
      <alignment horizontal="left" vertical="center"/>
    </xf>
    <xf numFmtId="169" fontId="4" fillId="22" borderId="2" xfId="0" applyNumberFormat="1" applyFont="1" applyFill="1" applyBorder="1" applyAlignment="1">
      <alignment horizontal="left" vertical="center"/>
    </xf>
    <xf numFmtId="167" fontId="20" fillId="31" borderId="2" xfId="0" applyNumberFormat="1" applyFont="1" applyFill="1" applyBorder="1" applyAlignment="1">
      <alignment horizontal="center" vertical="center"/>
    </xf>
    <xf numFmtId="167" fontId="4" fillId="31" borderId="2" xfId="0" applyNumberFormat="1" applyFont="1" applyFill="1" applyBorder="1" applyAlignment="1">
      <alignment horizontal="center" vertical="center"/>
    </xf>
    <xf numFmtId="169" fontId="20" fillId="37" borderId="2" xfId="0" applyNumberFormat="1" applyFont="1" applyFill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4" fillId="0" borderId="2" xfId="0" applyFont="1" applyBorder="1" applyAlignment="1">
      <alignment horizontal="left" wrapText="1"/>
    </xf>
    <xf numFmtId="173" fontId="4" fillId="0" borderId="2" xfId="0" applyNumberFormat="1" applyFont="1" applyBorder="1" applyAlignment="1">
      <alignment horizontal="left" wrapText="1"/>
    </xf>
    <xf numFmtId="0" fontId="20" fillId="9" borderId="2" xfId="0" applyFont="1" applyFill="1" applyBorder="1" applyAlignment="1">
      <alignment horizontal="center" vertical="center"/>
    </xf>
    <xf numFmtId="173" fontId="4" fillId="9" borderId="2" xfId="0" applyNumberFormat="1" applyFont="1" applyFill="1" applyBorder="1" applyAlignment="1">
      <alignment horizontal="left" wrapText="1"/>
    </xf>
    <xf numFmtId="173" fontId="27" fillId="0" borderId="2" xfId="0" applyNumberFormat="1" applyFont="1" applyBorder="1" applyAlignment="1">
      <alignment vertical="center"/>
    </xf>
    <xf numFmtId="0" fontId="26" fillId="31" borderId="114" xfId="0" applyFont="1" applyFill="1" applyBorder="1"/>
    <xf numFmtId="44" fontId="0" fillId="0" borderId="114" xfId="19" applyFont="1" applyBorder="1"/>
    <xf numFmtId="180" fontId="0" fillId="0" borderId="114" xfId="20" applyNumberFormat="1" applyFont="1" applyBorder="1"/>
    <xf numFmtId="0" fontId="4" fillId="0" borderId="2" xfId="0" applyFont="1" applyBorder="1" applyAlignment="1">
      <alignment horizontal="center" vertical="center"/>
    </xf>
    <xf numFmtId="169" fontId="4" fillId="2" borderId="2" xfId="0" applyNumberFormat="1" applyFont="1" applyFill="1" applyBorder="1"/>
    <xf numFmtId="44" fontId="26" fillId="0" borderId="0" xfId="19" applyFont="1"/>
    <xf numFmtId="0" fontId="16" fillId="42" borderId="2" xfId="0" applyFont="1" applyFill="1" applyBorder="1" applyAlignment="1">
      <alignment horizontal="center" vertical="center"/>
    </xf>
    <xf numFmtId="0" fontId="16" fillId="42" borderId="2" xfId="0" applyFont="1" applyFill="1" applyBorder="1" applyAlignment="1">
      <alignment horizontal="center" vertical="center" wrapText="1"/>
    </xf>
    <xf numFmtId="10" fontId="16" fillId="42" borderId="2" xfId="0" applyNumberFormat="1" applyFont="1" applyFill="1" applyBorder="1" applyAlignment="1">
      <alignment horizontal="center" vertical="center"/>
    </xf>
    <xf numFmtId="9" fontId="16" fillId="42" borderId="2" xfId="0" applyNumberFormat="1" applyFont="1" applyFill="1" applyBorder="1" applyAlignment="1">
      <alignment horizontal="center" vertical="center"/>
    </xf>
    <xf numFmtId="169" fontId="20" fillId="42" borderId="2" xfId="0" applyNumberFormat="1" applyFont="1" applyFill="1" applyBorder="1"/>
    <xf numFmtId="1" fontId="4" fillId="0" borderId="15" xfId="0" applyNumberFormat="1" applyFont="1" applyBorder="1" applyAlignment="1">
      <alignment horizontal="center"/>
    </xf>
    <xf numFmtId="1" fontId="4" fillId="0" borderId="114" xfId="0" applyNumberFormat="1" applyFont="1" applyBorder="1" applyAlignment="1">
      <alignment horizontal="center"/>
    </xf>
    <xf numFmtId="1" fontId="20" fillId="0" borderId="114" xfId="0" applyNumberFormat="1" applyFont="1" applyBorder="1" applyAlignment="1">
      <alignment horizontal="center"/>
    </xf>
    <xf numFmtId="0" fontId="13" fillId="42" borderId="54" xfId="0" applyFont="1" applyFill="1" applyBorder="1" applyAlignment="1">
      <alignment horizontal="left"/>
    </xf>
    <xf numFmtId="0" fontId="13" fillId="42" borderId="7" xfId="0" applyFont="1" applyFill="1" applyBorder="1" applyAlignment="1">
      <alignment horizontal="left"/>
    </xf>
    <xf numFmtId="0" fontId="13" fillId="42" borderId="53" xfId="0" applyFont="1" applyFill="1" applyBorder="1" applyAlignment="1">
      <alignment horizontal="left"/>
    </xf>
    <xf numFmtId="0" fontId="16" fillId="42" borderId="15" xfId="0" applyFont="1" applyFill="1" applyBorder="1" applyAlignment="1">
      <alignment horizontal="center" vertical="center"/>
    </xf>
    <xf numFmtId="173" fontId="4" fillId="42" borderId="30" xfId="0" applyNumberFormat="1" applyFont="1" applyFill="1" applyBorder="1"/>
    <xf numFmtId="0" fontId="16" fillId="42" borderId="19" xfId="0" applyFont="1" applyFill="1" applyBorder="1" applyAlignment="1">
      <alignment horizontal="center" vertical="center"/>
    </xf>
    <xf numFmtId="0" fontId="20" fillId="42" borderId="20" xfId="0" applyFont="1" applyFill="1" applyBorder="1" applyAlignment="1">
      <alignment horizontal="center"/>
    </xf>
    <xf numFmtId="175" fontId="20" fillId="42" borderId="20" xfId="0" applyNumberFormat="1" applyFont="1" applyFill="1" applyBorder="1" applyAlignment="1">
      <alignment horizontal="center"/>
    </xf>
    <xf numFmtId="0" fontId="16" fillId="42" borderId="45" xfId="0" applyFont="1" applyFill="1" applyBorder="1" applyAlignment="1">
      <alignment horizontal="center" vertical="center"/>
    </xf>
    <xf numFmtId="0" fontId="20" fillId="42" borderId="97" xfId="0" applyFont="1" applyFill="1" applyBorder="1" applyAlignment="1">
      <alignment horizontal="center"/>
    </xf>
    <xf numFmtId="0" fontId="16" fillId="42" borderId="114" xfId="0" applyFont="1" applyFill="1" applyBorder="1" applyAlignment="1">
      <alignment horizontal="center" vertical="center"/>
    </xf>
    <xf numFmtId="0" fontId="20" fillId="42" borderId="114" xfId="0" applyFont="1" applyFill="1" applyBorder="1" applyAlignment="1">
      <alignment horizontal="center"/>
    </xf>
    <xf numFmtId="175" fontId="20" fillId="42" borderId="114" xfId="0" applyNumberFormat="1" applyFont="1" applyFill="1" applyBorder="1" applyAlignment="1">
      <alignment horizontal="center"/>
    </xf>
    <xf numFmtId="0" fontId="20" fillId="42" borderId="15" xfId="0" applyFont="1" applyFill="1" applyBorder="1" applyAlignment="1">
      <alignment horizontal="left"/>
    </xf>
    <xf numFmtId="0" fontId="4" fillId="0" borderId="72" xfId="0" applyFont="1" applyBorder="1" applyAlignment="1">
      <alignment horizontal="center" vertical="center"/>
    </xf>
    <xf numFmtId="0" fontId="4" fillId="31" borderId="0" xfId="0" applyFont="1" applyFill="1"/>
    <xf numFmtId="0" fontId="4" fillId="52" borderId="1" xfId="0" applyFont="1" applyFill="1" applyBorder="1"/>
    <xf numFmtId="0" fontId="20" fillId="42" borderId="88" xfId="0" applyFont="1" applyFill="1" applyBorder="1" applyAlignment="1">
      <alignment horizontal="center"/>
    </xf>
    <xf numFmtId="0" fontId="20" fillId="42" borderId="89" xfId="0" applyFont="1" applyFill="1" applyBorder="1" applyAlignment="1">
      <alignment horizontal="center"/>
    </xf>
    <xf numFmtId="0" fontId="20" fillId="42" borderId="90" xfId="0" applyFont="1" applyFill="1" applyBorder="1" applyAlignment="1">
      <alignment horizontal="center"/>
    </xf>
    <xf numFmtId="0" fontId="16" fillId="42" borderId="100" xfId="0" applyFont="1" applyFill="1" applyBorder="1" applyAlignment="1">
      <alignment horizontal="center"/>
    </xf>
    <xf numFmtId="0" fontId="16" fillId="42" borderId="99" xfId="0" applyFont="1" applyFill="1" applyBorder="1" applyAlignment="1">
      <alignment horizontal="center"/>
    </xf>
    <xf numFmtId="0" fontId="16" fillId="42" borderId="101" xfId="0" applyFont="1" applyFill="1" applyBorder="1" applyAlignment="1">
      <alignment horizontal="center"/>
    </xf>
    <xf numFmtId="0" fontId="26" fillId="0" borderId="114" xfId="0" applyFont="1" applyBorder="1" applyAlignment="1">
      <alignment horizontal="center"/>
    </xf>
    <xf numFmtId="0" fontId="26" fillId="0" borderId="114" xfId="0" applyFont="1" applyBorder="1" applyAlignment="1">
      <alignment horizontal="center" vertical="center"/>
    </xf>
    <xf numFmtId="0" fontId="26" fillId="0" borderId="114" xfId="1" applyBorder="1" applyAlignment="1">
      <alignment horizontal="center" vertical="center"/>
    </xf>
    <xf numFmtId="0" fontId="20" fillId="7" borderId="104" xfId="0" applyFont="1" applyFill="1" applyBorder="1" applyAlignment="1">
      <alignment horizontal="center"/>
    </xf>
    <xf numFmtId="0" fontId="20" fillId="7" borderId="37" xfId="0" applyFont="1" applyFill="1" applyBorder="1" applyAlignment="1">
      <alignment horizontal="center"/>
    </xf>
    <xf numFmtId="0" fontId="26" fillId="0" borderId="115" xfId="0" applyFont="1" applyBorder="1" applyAlignment="1">
      <alignment horizontal="center" vertical="center"/>
    </xf>
    <xf numFmtId="0" fontId="26" fillId="0" borderId="116" xfId="0" applyFont="1" applyBorder="1" applyAlignment="1">
      <alignment horizontal="center" vertical="center"/>
    </xf>
    <xf numFmtId="0" fontId="27" fillId="9" borderId="117" xfId="0" applyFont="1" applyFill="1" applyBorder="1" applyAlignment="1">
      <alignment horizontal="center" vertical="center"/>
    </xf>
    <xf numFmtId="0" fontId="20" fillId="42" borderId="2" xfId="0" applyFont="1" applyFill="1" applyBorder="1" applyAlignment="1">
      <alignment horizontal="center" vertical="center"/>
    </xf>
    <xf numFmtId="0" fontId="27" fillId="0" borderId="2" xfId="0" applyFont="1" applyBorder="1" applyAlignment="1">
      <alignment vertical="center"/>
    </xf>
    <xf numFmtId="0" fontId="4" fillId="0" borderId="2" xfId="0" applyFont="1" applyBorder="1" applyAlignment="1">
      <alignment horizontal="center"/>
    </xf>
    <xf numFmtId="173" fontId="27" fillId="0" borderId="2" xfId="0" applyNumberFormat="1" applyFont="1" applyBorder="1" applyAlignment="1">
      <alignment horizontal="center"/>
    </xf>
    <xf numFmtId="173" fontId="4" fillId="5" borderId="2" xfId="0" applyNumberFormat="1" applyFont="1" applyFill="1" applyBorder="1" applyAlignment="1">
      <alignment horizontal="center"/>
    </xf>
    <xf numFmtId="173" fontId="4" fillId="5" borderId="2" xfId="0" applyNumberFormat="1" applyFont="1" applyFill="1" applyBorder="1"/>
    <xf numFmtId="173" fontId="16" fillId="5" borderId="2" xfId="0" applyNumberFormat="1" applyFont="1" applyFill="1" applyBorder="1"/>
    <xf numFmtId="0" fontId="27" fillId="16" borderId="114" xfId="0" applyFont="1" applyFill="1" applyBorder="1" applyAlignment="1">
      <alignment horizontal="center" vertical="center"/>
    </xf>
    <xf numFmtId="0" fontId="13" fillId="53" borderId="76" xfId="0" applyFont="1" applyFill="1" applyBorder="1"/>
    <xf numFmtId="173" fontId="4" fillId="0" borderId="2" xfId="0" applyNumberFormat="1" applyFont="1" applyBorder="1" applyAlignment="1">
      <alignment horizontal="center"/>
    </xf>
    <xf numFmtId="173" fontId="4" fillId="54" borderId="2" xfId="0" applyNumberFormat="1" applyFont="1" applyFill="1" applyBorder="1" applyAlignment="1">
      <alignment horizontal="center"/>
    </xf>
    <xf numFmtId="173" fontId="4" fillId="54" borderId="2" xfId="0" applyNumberFormat="1" applyFont="1" applyFill="1" applyBorder="1"/>
    <xf numFmtId="0" fontId="47" fillId="0" borderId="114" xfId="0" applyFont="1" applyBorder="1" applyAlignment="1">
      <alignment horizontal="center" vertical="center"/>
    </xf>
    <xf numFmtId="0" fontId="37" fillId="42" borderId="3" xfId="0" applyFont="1" applyFill="1" applyBorder="1" applyAlignment="1">
      <alignment horizontal="center" vertical="center"/>
    </xf>
    <xf numFmtId="0" fontId="37" fillId="42" borderId="4" xfId="0" applyFont="1" applyFill="1" applyBorder="1" applyAlignment="1">
      <alignment horizontal="center" vertical="center"/>
    </xf>
    <xf numFmtId="0" fontId="37" fillId="42" borderId="5" xfId="0" applyFont="1" applyFill="1" applyBorder="1" applyAlignment="1">
      <alignment horizontal="center" vertical="center"/>
    </xf>
    <xf numFmtId="0" fontId="20" fillId="42" borderId="75" xfId="0" applyFont="1" applyFill="1" applyBorder="1"/>
    <xf numFmtId="0" fontId="20" fillId="42" borderId="81" xfId="0" applyFont="1" applyFill="1" applyBorder="1" applyAlignment="1">
      <alignment horizontal="center"/>
    </xf>
    <xf numFmtId="0" fontId="20" fillId="42" borderId="82" xfId="0" applyFont="1" applyFill="1" applyBorder="1" applyAlignment="1">
      <alignment horizontal="center"/>
    </xf>
    <xf numFmtId="0" fontId="20" fillId="42" borderId="74" xfId="0" applyFont="1" applyFill="1" applyBorder="1" applyAlignment="1">
      <alignment horizontal="center"/>
    </xf>
    <xf numFmtId="0" fontId="26" fillId="31" borderId="114" xfId="0" applyFont="1" applyFill="1" applyBorder="1" applyAlignment="1">
      <alignment horizontal="center"/>
    </xf>
    <xf numFmtId="0" fontId="20" fillId="42" borderId="19" xfId="0" applyFont="1" applyFill="1" applyBorder="1" applyAlignment="1">
      <alignment horizontal="center"/>
    </xf>
    <xf numFmtId="0" fontId="20" fillId="42" borderId="20" xfId="0" applyFont="1" applyFill="1" applyBorder="1" applyAlignment="1">
      <alignment horizontal="center" vertical="center" wrapText="1"/>
    </xf>
    <xf numFmtId="0" fontId="20" fillId="42" borderId="35" xfId="0" applyFont="1" applyFill="1" applyBorder="1" applyAlignment="1">
      <alignment horizontal="center"/>
    </xf>
    <xf numFmtId="0" fontId="20" fillId="42" borderId="55" xfId="0" applyFont="1" applyFill="1" applyBorder="1" applyAlignment="1">
      <alignment horizontal="center" vertical="center"/>
    </xf>
    <xf numFmtId="0" fontId="20" fillId="42" borderId="87" xfId="0" applyFont="1" applyFill="1" applyBorder="1" applyAlignment="1">
      <alignment horizontal="center" vertical="center"/>
    </xf>
    <xf numFmtId="0" fontId="4" fillId="55" borderId="73" xfId="0" applyFont="1" applyFill="1" applyBorder="1" applyAlignment="1">
      <alignment horizontal="left" vertical="center" wrapText="1"/>
    </xf>
    <xf numFmtId="0" fontId="4" fillId="55" borderId="82" xfId="0" applyFont="1" applyFill="1" applyBorder="1" applyAlignment="1">
      <alignment horizontal="left" vertical="center" wrapText="1"/>
    </xf>
    <xf numFmtId="0" fontId="4" fillId="55" borderId="82" xfId="0" applyFont="1" applyFill="1" applyBorder="1" applyAlignment="1">
      <alignment horizontal="center" vertical="center"/>
    </xf>
    <xf numFmtId="0" fontId="4" fillId="44" borderId="109" xfId="0" applyFont="1" applyFill="1" applyBorder="1" applyAlignment="1">
      <alignment horizontal="left" vertical="center" wrapText="1"/>
    </xf>
    <xf numFmtId="0" fontId="4" fillId="44" borderId="64" xfId="0" applyFont="1" applyFill="1" applyBorder="1" applyAlignment="1">
      <alignment horizontal="left" vertical="center" wrapText="1"/>
    </xf>
    <xf numFmtId="0" fontId="4" fillId="44" borderId="64" xfId="0" applyFont="1" applyFill="1" applyBorder="1" applyAlignment="1">
      <alignment horizontal="center" vertical="center"/>
    </xf>
    <xf numFmtId="0" fontId="4" fillId="56" borderId="81" xfId="0" applyFont="1" applyFill="1" applyBorder="1" applyAlignment="1">
      <alignment horizontal="left" vertical="center" wrapText="1"/>
    </xf>
    <xf numFmtId="0" fontId="4" fillId="56" borderId="82" xfId="0" applyFont="1" applyFill="1" applyBorder="1" applyAlignment="1">
      <alignment horizontal="left" vertical="center" wrapText="1"/>
    </xf>
    <xf numFmtId="0" fontId="4" fillId="56" borderId="82" xfId="0" applyFont="1" applyFill="1" applyBorder="1" applyAlignment="1">
      <alignment horizontal="center" vertical="center"/>
    </xf>
    <xf numFmtId="0" fontId="4" fillId="56" borderId="74" xfId="0" applyFont="1" applyFill="1" applyBorder="1" applyAlignment="1">
      <alignment horizontal="center" vertical="center"/>
    </xf>
    <xf numFmtId="0" fontId="4" fillId="23" borderId="47" xfId="0" applyFont="1" applyFill="1" applyBorder="1" applyAlignment="1">
      <alignment horizontal="left" vertical="center" wrapText="1"/>
    </xf>
    <xf numFmtId="0" fontId="4" fillId="23" borderId="83" xfId="0" applyFont="1" applyFill="1" applyBorder="1" applyAlignment="1">
      <alignment horizontal="left" vertical="center" wrapText="1"/>
    </xf>
    <xf numFmtId="0" fontId="13" fillId="18" borderId="6" xfId="0" applyFont="1" applyFill="1" applyBorder="1" applyAlignment="1">
      <alignment horizontal="left"/>
    </xf>
    <xf numFmtId="0" fontId="14" fillId="19" borderId="7" xfId="0" applyFont="1" applyFill="1" applyBorder="1"/>
    <xf numFmtId="0" fontId="14" fillId="19" borderId="8" xfId="0" applyFont="1" applyFill="1" applyBorder="1"/>
    <xf numFmtId="0" fontId="15" fillId="2" borderId="9" xfId="0" applyFont="1" applyFill="1" applyBorder="1" applyAlignment="1">
      <alignment horizontal="left" vertical="top" wrapText="1"/>
    </xf>
    <xf numFmtId="0" fontId="14" fillId="0" borderId="10" xfId="0" applyFont="1" applyBorder="1"/>
    <xf numFmtId="0" fontId="14" fillId="0" borderId="11" xfId="0" applyFont="1" applyBorder="1"/>
    <xf numFmtId="0" fontId="15" fillId="2" borderId="12" xfId="0" applyFont="1" applyFill="1" applyBorder="1" applyAlignment="1">
      <alignment horizontal="left" vertical="top" wrapText="1"/>
    </xf>
    <xf numFmtId="0" fontId="14" fillId="0" borderId="13" xfId="0" applyFont="1" applyBorder="1"/>
    <xf numFmtId="0" fontId="14" fillId="0" borderId="14" xfId="0" applyFont="1" applyBorder="1"/>
    <xf numFmtId="0" fontId="13" fillId="18" borderId="54" xfId="0" applyFont="1" applyFill="1" applyBorder="1" applyAlignment="1">
      <alignment horizontal="left"/>
    </xf>
    <xf numFmtId="0" fontId="13" fillId="18" borderId="7" xfId="0" applyFont="1" applyFill="1" applyBorder="1" applyAlignment="1">
      <alignment horizontal="left"/>
    </xf>
    <xf numFmtId="0" fontId="13" fillId="18" borderId="53" xfId="0" applyFont="1" applyFill="1" applyBorder="1" applyAlignment="1">
      <alignment horizontal="left"/>
    </xf>
    <xf numFmtId="0" fontId="15" fillId="2" borderId="47" xfId="0" applyFont="1" applyFill="1" applyBorder="1" applyAlignment="1">
      <alignment horizontal="left" vertical="top" wrapText="1"/>
    </xf>
    <xf numFmtId="0" fontId="15" fillId="2" borderId="66" xfId="0" applyFont="1" applyFill="1" applyBorder="1" applyAlignment="1">
      <alignment horizontal="left" vertical="top" wrapText="1"/>
    </xf>
    <xf numFmtId="0" fontId="15" fillId="2" borderId="49" xfId="0" applyFont="1" applyFill="1" applyBorder="1" applyAlignment="1">
      <alignment horizontal="left" vertical="top" wrapText="1"/>
    </xf>
    <xf numFmtId="0" fontId="38" fillId="18" borderId="54" xfId="0" applyFont="1" applyFill="1" applyBorder="1" applyAlignment="1">
      <alignment horizontal="left"/>
    </xf>
    <xf numFmtId="0" fontId="38" fillId="18" borderId="7" xfId="0" applyFont="1" applyFill="1" applyBorder="1" applyAlignment="1">
      <alignment horizontal="left"/>
    </xf>
    <xf numFmtId="0" fontId="38" fillId="18" borderId="53" xfId="0" applyFont="1" applyFill="1" applyBorder="1" applyAlignment="1">
      <alignment horizontal="left"/>
    </xf>
    <xf numFmtId="0" fontId="13" fillId="18" borderId="67" xfId="0" applyFont="1" applyFill="1" applyBorder="1" applyAlignment="1">
      <alignment horizontal="center"/>
    </xf>
    <xf numFmtId="0" fontId="13" fillId="18" borderId="66" xfId="0" applyFont="1" applyFill="1" applyBorder="1" applyAlignment="1">
      <alignment horizontal="center"/>
    </xf>
    <xf numFmtId="0" fontId="13" fillId="18" borderId="83" xfId="0" applyFont="1" applyFill="1" applyBorder="1" applyAlignment="1">
      <alignment horizontal="center"/>
    </xf>
    <xf numFmtId="0" fontId="17" fillId="18" borderId="21" xfId="0" applyFont="1" applyFill="1" applyBorder="1" applyAlignment="1">
      <alignment horizontal="center" vertical="top" wrapText="1"/>
    </xf>
    <xf numFmtId="0" fontId="17" fillId="18" borderId="22" xfId="0" applyFont="1" applyFill="1" applyBorder="1" applyAlignment="1">
      <alignment horizontal="center" vertical="top" wrapText="1"/>
    </xf>
    <xf numFmtId="0" fontId="4" fillId="35" borderId="86" xfId="0" applyFont="1" applyFill="1" applyBorder="1" applyAlignment="1">
      <alignment horizontal="left" vertical="center" wrapText="1"/>
    </xf>
    <xf numFmtId="0" fontId="4" fillId="35" borderId="53" xfId="0" applyFont="1" applyFill="1" applyBorder="1" applyAlignment="1">
      <alignment horizontal="left" vertical="center" wrapText="1"/>
    </xf>
    <xf numFmtId="0" fontId="4" fillId="21" borderId="86" xfId="0" applyFont="1" applyFill="1" applyBorder="1" applyAlignment="1">
      <alignment horizontal="left" vertical="center" wrapText="1"/>
    </xf>
    <xf numFmtId="0" fontId="4" fillId="21" borderId="53" xfId="0" applyFont="1" applyFill="1" applyBorder="1" applyAlignment="1">
      <alignment horizontal="left" vertical="center" wrapText="1"/>
    </xf>
    <xf numFmtId="0" fontId="4" fillId="7" borderId="2" xfId="0" applyFont="1" applyFill="1" applyBorder="1" applyAlignment="1">
      <alignment horizontal="center" vertical="center"/>
    </xf>
    <xf numFmtId="0" fontId="14" fillId="0" borderId="2" xfId="0" applyFont="1" applyBorder="1"/>
    <xf numFmtId="171" fontId="16" fillId="35" borderId="54" xfId="0" applyNumberFormat="1" applyFont="1" applyFill="1" applyBorder="1" applyAlignment="1">
      <alignment horizontal="left" vertical="center"/>
    </xf>
    <xf numFmtId="171" fontId="16" fillId="35" borderId="7" xfId="0" applyNumberFormat="1" applyFont="1" applyFill="1" applyBorder="1" applyAlignment="1">
      <alignment horizontal="left" vertical="center"/>
    </xf>
    <xf numFmtId="171" fontId="16" fillId="35" borderId="53" xfId="0" applyNumberFormat="1" applyFont="1" applyFill="1" applyBorder="1" applyAlignment="1">
      <alignment horizontal="left" vertical="center"/>
    </xf>
    <xf numFmtId="171" fontId="16" fillId="27" borderId="54" xfId="0" applyNumberFormat="1" applyFont="1" applyFill="1" applyBorder="1" applyAlignment="1">
      <alignment horizontal="left" vertical="center"/>
    </xf>
    <xf numFmtId="171" fontId="16" fillId="27" borderId="7" xfId="0" applyNumberFormat="1" applyFont="1" applyFill="1" applyBorder="1" applyAlignment="1">
      <alignment horizontal="left" vertical="center"/>
    </xf>
    <xf numFmtId="171" fontId="16" fillId="27" borderId="53" xfId="0" applyNumberFormat="1" applyFont="1" applyFill="1" applyBorder="1" applyAlignment="1">
      <alignment horizontal="left" vertical="center"/>
    </xf>
    <xf numFmtId="171" fontId="16" fillId="28" borderId="54" xfId="0" applyNumberFormat="1" applyFont="1" applyFill="1" applyBorder="1" applyAlignment="1">
      <alignment horizontal="left" vertical="center"/>
    </xf>
    <xf numFmtId="171" fontId="16" fillId="28" borderId="7" xfId="0" applyNumberFormat="1" applyFont="1" applyFill="1" applyBorder="1" applyAlignment="1">
      <alignment horizontal="left" vertical="center"/>
    </xf>
    <xf numFmtId="171" fontId="16" fillId="28" borderId="53" xfId="0" applyNumberFormat="1" applyFont="1" applyFill="1" applyBorder="1" applyAlignment="1">
      <alignment horizontal="left" vertical="center"/>
    </xf>
    <xf numFmtId="0" fontId="13" fillId="30" borderId="93" xfId="0" applyFont="1" applyFill="1" applyBorder="1" applyAlignment="1">
      <alignment horizontal="center" vertical="center"/>
    </xf>
    <xf numFmtId="0" fontId="13" fillId="30" borderId="111" xfId="0" applyFont="1" applyFill="1" applyBorder="1" applyAlignment="1">
      <alignment horizontal="center" vertical="center"/>
    </xf>
    <xf numFmtId="0" fontId="13" fillId="30" borderId="112" xfId="0" applyFont="1" applyFill="1" applyBorder="1" applyAlignment="1">
      <alignment horizontal="center" vertical="center"/>
    </xf>
    <xf numFmtId="0" fontId="13" fillId="30" borderId="113" xfId="0" applyFont="1" applyFill="1" applyBorder="1" applyAlignment="1">
      <alignment horizontal="center" vertical="center"/>
    </xf>
    <xf numFmtId="171" fontId="16" fillId="35" borderId="54" xfId="0" applyNumberFormat="1" applyFont="1" applyFill="1" applyBorder="1" applyAlignment="1">
      <alignment horizontal="left"/>
    </xf>
    <xf numFmtId="171" fontId="16" fillId="35" borderId="7" xfId="0" applyNumberFormat="1" applyFont="1" applyFill="1" applyBorder="1" applyAlignment="1">
      <alignment horizontal="left"/>
    </xf>
    <xf numFmtId="171" fontId="16" fillId="35" borderId="53" xfId="0" applyNumberFormat="1" applyFont="1" applyFill="1" applyBorder="1" applyAlignment="1">
      <alignment horizontal="left"/>
    </xf>
    <xf numFmtId="171" fontId="16" fillId="27" borderId="54" xfId="0" applyNumberFormat="1" applyFont="1" applyFill="1" applyBorder="1" applyAlignment="1">
      <alignment horizontal="left"/>
    </xf>
    <xf numFmtId="171" fontId="16" fillId="27" borderId="7" xfId="0" applyNumberFormat="1" applyFont="1" applyFill="1" applyBorder="1" applyAlignment="1">
      <alignment horizontal="left"/>
    </xf>
    <xf numFmtId="171" fontId="16" fillId="27" borderId="53" xfId="0" applyNumberFormat="1" applyFont="1" applyFill="1" applyBorder="1" applyAlignment="1">
      <alignment horizontal="left"/>
    </xf>
    <xf numFmtId="171" fontId="16" fillId="28" borderId="54" xfId="0" applyNumberFormat="1" applyFont="1" applyFill="1" applyBorder="1" applyAlignment="1">
      <alignment horizontal="left"/>
    </xf>
    <xf numFmtId="171" fontId="16" fillId="28" borderId="7" xfId="0" applyNumberFormat="1" applyFont="1" applyFill="1" applyBorder="1" applyAlignment="1">
      <alignment horizontal="left"/>
    </xf>
    <xf numFmtId="171" fontId="16" fillId="28" borderId="53" xfId="0" applyNumberFormat="1" applyFont="1" applyFill="1" applyBorder="1" applyAlignment="1">
      <alignment horizontal="left"/>
    </xf>
    <xf numFmtId="0" fontId="4" fillId="14" borderId="2" xfId="0" applyFont="1" applyFill="1" applyBorder="1" applyAlignment="1">
      <alignment horizontal="center" vertical="center"/>
    </xf>
    <xf numFmtId="0" fontId="4" fillId="7" borderId="58" xfId="0" applyFont="1" applyFill="1" applyBorder="1" applyAlignment="1">
      <alignment horizontal="center" vertical="center"/>
    </xf>
    <xf numFmtId="0" fontId="14" fillId="0" borderId="44" xfId="0" applyFont="1" applyBorder="1"/>
    <xf numFmtId="0" fontId="14" fillId="0" borderId="57" xfId="0" applyFont="1" applyBorder="1"/>
    <xf numFmtId="0" fontId="4" fillId="7" borderId="75" xfId="0" applyFont="1" applyFill="1" applyBorder="1" applyAlignment="1">
      <alignment horizontal="center" vertical="center"/>
    </xf>
    <xf numFmtId="0" fontId="4" fillId="7" borderId="110" xfId="0" applyFont="1" applyFill="1" applyBorder="1" applyAlignment="1">
      <alignment horizontal="center" vertical="center"/>
    </xf>
    <xf numFmtId="0" fontId="4" fillId="7" borderId="85" xfId="0" applyFont="1" applyFill="1" applyBorder="1" applyAlignment="1">
      <alignment horizontal="center" vertical="center"/>
    </xf>
    <xf numFmtId="9" fontId="20" fillId="32" borderId="2" xfId="0" applyNumberFormat="1" applyFont="1" applyFill="1" applyBorder="1" applyAlignment="1">
      <alignment horizontal="center" vertical="center"/>
    </xf>
    <xf numFmtId="0" fontId="14" fillId="31" borderId="2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10" fillId="24" borderId="26" xfId="0" applyFont="1" applyFill="1" applyBorder="1" applyAlignment="1">
      <alignment horizontal="center" vertical="center"/>
    </xf>
    <xf numFmtId="0" fontId="14" fillId="19" borderId="27" xfId="0" applyFont="1" applyFill="1" applyBorder="1" applyAlignment="1">
      <alignment vertical="center"/>
    </xf>
    <xf numFmtId="0" fontId="14" fillId="19" borderId="28" xfId="0" applyFont="1" applyFill="1" applyBorder="1" applyAlignment="1">
      <alignment vertical="center"/>
    </xf>
    <xf numFmtId="0" fontId="13" fillId="30" borderId="6" xfId="0" applyFont="1" applyFill="1" applyBorder="1" applyAlignment="1">
      <alignment horizontal="left"/>
    </xf>
    <xf numFmtId="0" fontId="14" fillId="31" borderId="7" xfId="0" applyFont="1" applyFill="1" applyBorder="1"/>
    <xf numFmtId="0" fontId="14" fillId="31" borderId="8" xfId="0" applyFont="1" applyFill="1" applyBorder="1"/>
    <xf numFmtId="0" fontId="13" fillId="30" borderId="2" xfId="0" applyFont="1" applyFill="1" applyBorder="1" applyAlignment="1">
      <alignment horizontal="left" vertical="center"/>
    </xf>
    <xf numFmtId="0" fontId="14" fillId="31" borderId="2" xfId="0" applyFont="1" applyFill="1" applyBorder="1" applyAlignment="1">
      <alignment horizontal="left" vertical="center"/>
    </xf>
    <xf numFmtId="171" fontId="20" fillId="30" borderId="2" xfId="0" applyNumberFormat="1" applyFont="1" applyFill="1" applyBorder="1" applyAlignment="1">
      <alignment horizontal="left" vertical="center"/>
    </xf>
    <xf numFmtId="0" fontId="20" fillId="30" borderId="2" xfId="0" applyFont="1" applyFill="1" applyBorder="1" applyAlignment="1">
      <alignment horizontal="center" vertical="center"/>
    </xf>
    <xf numFmtId="171" fontId="20" fillId="30" borderId="2" xfId="0" applyNumberFormat="1" applyFont="1" applyFill="1" applyBorder="1" applyAlignment="1">
      <alignment horizontal="center" vertical="center"/>
    </xf>
    <xf numFmtId="0" fontId="20" fillId="30" borderId="6" xfId="0" applyFont="1" applyFill="1" applyBorder="1" applyAlignment="1">
      <alignment horizontal="center" vertical="center"/>
    </xf>
    <xf numFmtId="0" fontId="4" fillId="7" borderId="43" xfId="0" applyFont="1" applyFill="1" applyBorder="1" applyAlignment="1">
      <alignment horizontal="center" vertical="center"/>
    </xf>
    <xf numFmtId="0" fontId="9" fillId="30" borderId="31" xfId="0" applyFont="1" applyFill="1" applyBorder="1" applyAlignment="1">
      <alignment horizontal="center" vertical="center"/>
    </xf>
    <xf numFmtId="0" fontId="14" fillId="31" borderId="32" xfId="0" applyFont="1" applyFill="1" applyBorder="1"/>
    <xf numFmtId="0" fontId="14" fillId="31" borderId="36" xfId="0" applyFont="1" applyFill="1" applyBorder="1"/>
    <xf numFmtId="0" fontId="14" fillId="31" borderId="37" xfId="0" applyFont="1" applyFill="1" applyBorder="1"/>
    <xf numFmtId="0" fontId="9" fillId="32" borderId="6" xfId="0" applyFont="1" applyFill="1" applyBorder="1" applyAlignment="1">
      <alignment horizontal="center" vertical="center"/>
    </xf>
    <xf numFmtId="0" fontId="13" fillId="30" borderId="31" xfId="0" applyFont="1" applyFill="1" applyBorder="1" applyAlignment="1">
      <alignment horizontal="center" vertical="center"/>
    </xf>
    <xf numFmtId="0" fontId="14" fillId="31" borderId="33" xfId="0" applyFont="1" applyFill="1" applyBorder="1"/>
    <xf numFmtId="0" fontId="14" fillId="31" borderId="34" xfId="0" applyFont="1" applyFill="1" applyBorder="1"/>
    <xf numFmtId="0" fontId="9" fillId="30" borderId="6" xfId="0" applyFont="1" applyFill="1" applyBorder="1" applyAlignment="1">
      <alignment horizontal="left" vertical="center"/>
    </xf>
    <xf numFmtId="0" fontId="14" fillId="31" borderId="7" xfId="0" applyFont="1" applyFill="1" applyBorder="1" applyAlignment="1">
      <alignment vertical="center"/>
    </xf>
    <xf numFmtId="0" fontId="14" fillId="31" borderId="8" xfId="0" applyFont="1" applyFill="1" applyBorder="1" applyAlignment="1">
      <alignment vertical="center"/>
    </xf>
    <xf numFmtId="0" fontId="16" fillId="33" borderId="54" xfId="0" applyFont="1" applyFill="1" applyBorder="1" applyAlignment="1">
      <alignment horizontal="left" vertical="center"/>
    </xf>
    <xf numFmtId="0" fontId="16" fillId="33" borderId="53" xfId="0" applyFont="1" applyFill="1" applyBorder="1" applyAlignment="1">
      <alignment horizontal="left" vertical="center"/>
    </xf>
    <xf numFmtId="171" fontId="28" fillId="13" borderId="2" xfId="0" applyNumberFormat="1" applyFont="1" applyFill="1" applyBorder="1" applyAlignment="1">
      <alignment horizontal="left" vertical="center"/>
    </xf>
    <xf numFmtId="0" fontId="14" fillId="12" borderId="2" xfId="0" applyFont="1" applyFill="1" applyBorder="1" applyAlignment="1">
      <alignment horizontal="left" vertical="center"/>
    </xf>
    <xf numFmtId="0" fontId="17" fillId="2" borderId="6" xfId="0" applyFont="1" applyFill="1" applyBorder="1" applyAlignment="1">
      <alignment horizontal="left" vertical="top" wrapText="1"/>
    </xf>
    <xf numFmtId="0" fontId="14" fillId="0" borderId="7" xfId="0" applyFont="1" applyBorder="1"/>
    <xf numFmtId="0" fontId="14" fillId="0" borderId="8" xfId="0" applyFont="1" applyBorder="1"/>
    <xf numFmtId="0" fontId="4" fillId="7" borderId="38" xfId="0" applyFont="1" applyFill="1" applyBorder="1" applyAlignment="1">
      <alignment horizontal="center" vertical="center"/>
    </xf>
    <xf numFmtId="0" fontId="14" fillId="0" borderId="25" xfId="0" applyFont="1" applyBorder="1"/>
    <xf numFmtId="0" fontId="16" fillId="30" borderId="2" xfId="0" applyFont="1" applyFill="1" applyBorder="1" applyAlignment="1">
      <alignment horizontal="left"/>
    </xf>
    <xf numFmtId="0" fontId="14" fillId="31" borderId="2" xfId="0" applyFont="1" applyFill="1" applyBorder="1"/>
    <xf numFmtId="171" fontId="28" fillId="13" borderId="2" xfId="0" applyNumberFormat="1" applyFont="1" applyFill="1" applyBorder="1" applyAlignment="1">
      <alignment horizontal="left"/>
    </xf>
    <xf numFmtId="0" fontId="14" fillId="12" borderId="2" xfId="0" applyFont="1" applyFill="1" applyBorder="1"/>
    <xf numFmtId="0" fontId="9" fillId="32" borderId="2" xfId="0" applyFont="1" applyFill="1" applyBorder="1" applyAlignment="1">
      <alignment horizontal="center" vertical="center"/>
    </xf>
    <xf numFmtId="0" fontId="13" fillId="30" borderId="2" xfId="0" applyFont="1" applyFill="1" applyBorder="1" applyAlignment="1">
      <alignment horizontal="left"/>
    </xf>
    <xf numFmtId="49" fontId="17" fillId="2" borderId="2" xfId="0" applyNumberFormat="1" applyFont="1" applyFill="1" applyBorder="1" applyAlignment="1">
      <alignment horizontal="left" vertical="top" wrapText="1"/>
    </xf>
    <xf numFmtId="0" fontId="14" fillId="31" borderId="112" xfId="0" applyFont="1" applyFill="1" applyBorder="1"/>
    <xf numFmtId="0" fontId="14" fillId="31" borderId="113" xfId="0" applyFont="1" applyFill="1" applyBorder="1"/>
    <xf numFmtId="0" fontId="16" fillId="33" borderId="2" xfId="0" applyFont="1" applyFill="1" applyBorder="1" applyAlignment="1">
      <alignment horizontal="left"/>
    </xf>
    <xf numFmtId="0" fontId="14" fillId="34" borderId="2" xfId="0" applyFont="1" applyFill="1" applyBorder="1"/>
    <xf numFmtId="0" fontId="9" fillId="30" borderId="6" xfId="0" applyFont="1" applyFill="1" applyBorder="1" applyAlignment="1">
      <alignment vertical="center"/>
    </xf>
    <xf numFmtId="0" fontId="13" fillId="30" borderId="61" xfId="0" applyFont="1" applyFill="1" applyBorder="1" applyAlignment="1">
      <alignment horizontal="center" vertical="center"/>
    </xf>
    <xf numFmtId="0" fontId="14" fillId="31" borderId="62" xfId="0" applyFont="1" applyFill="1" applyBorder="1"/>
    <xf numFmtId="0" fontId="14" fillId="31" borderId="59" xfId="0" applyFont="1" applyFill="1" applyBorder="1"/>
    <xf numFmtId="0" fontId="14" fillId="31" borderId="60" xfId="0" applyFont="1" applyFill="1" applyBorder="1"/>
    <xf numFmtId="0" fontId="13" fillId="30" borderId="54" xfId="0" applyFont="1" applyFill="1" applyBorder="1" applyAlignment="1">
      <alignment horizontal="center" vertical="center"/>
    </xf>
    <xf numFmtId="0" fontId="13" fillId="30" borderId="53" xfId="0" applyFont="1" applyFill="1" applyBorder="1" applyAlignment="1">
      <alignment horizontal="center" vertical="center"/>
    </xf>
    <xf numFmtId="0" fontId="4" fillId="7" borderId="68" xfId="0" applyFont="1" applyFill="1" applyBorder="1" applyAlignment="1">
      <alignment horizontal="center" vertical="center"/>
    </xf>
    <xf numFmtId="0" fontId="4" fillId="14" borderId="75" xfId="0" applyFont="1" applyFill="1" applyBorder="1" applyAlignment="1">
      <alignment horizontal="center" vertical="center"/>
    </xf>
    <xf numFmtId="0" fontId="4" fillId="14" borderId="110" xfId="0" applyFont="1" applyFill="1" applyBorder="1" applyAlignment="1">
      <alignment horizontal="center" vertical="center"/>
    </xf>
    <xf numFmtId="0" fontId="9" fillId="30" borderId="2" xfId="0" applyFont="1" applyFill="1" applyBorder="1" applyAlignment="1">
      <alignment horizontal="center" vertical="center"/>
    </xf>
    <xf numFmtId="0" fontId="9" fillId="30" borderId="2" xfId="0" applyFont="1" applyFill="1" applyBorder="1" applyAlignment="1">
      <alignment horizontal="left"/>
    </xf>
    <xf numFmtId="0" fontId="13" fillId="30" borderId="2" xfId="0" applyFont="1" applyFill="1" applyBorder="1" applyAlignment="1">
      <alignment horizontal="center" vertical="center"/>
    </xf>
    <xf numFmtId="0" fontId="40" fillId="31" borderId="118" xfId="0" applyFont="1" applyFill="1" applyBorder="1" applyAlignment="1">
      <alignment horizontal="left"/>
    </xf>
    <xf numFmtId="0" fontId="40" fillId="31" borderId="119" xfId="0" applyFont="1" applyFill="1" applyBorder="1" applyAlignment="1">
      <alignment horizontal="left"/>
    </xf>
    <xf numFmtId="0" fontId="40" fillId="31" borderId="120" xfId="0" applyFont="1" applyFill="1" applyBorder="1" applyAlignment="1">
      <alignment horizontal="left"/>
    </xf>
    <xf numFmtId="0" fontId="41" fillId="16" borderId="121" xfId="0" applyFont="1" applyFill="1" applyBorder="1" applyAlignment="1">
      <alignment horizontal="left" vertical="top" wrapText="1"/>
    </xf>
    <xf numFmtId="0" fontId="41" fillId="16" borderId="122" xfId="0" applyFont="1" applyFill="1" applyBorder="1" applyAlignment="1">
      <alignment horizontal="left" vertical="top" wrapText="1"/>
    </xf>
    <xf numFmtId="0" fontId="41" fillId="16" borderId="123" xfId="0" applyFont="1" applyFill="1" applyBorder="1" applyAlignment="1">
      <alignment horizontal="left" vertical="top" wrapText="1"/>
    </xf>
    <xf numFmtId="0" fontId="41" fillId="16" borderId="124" xfId="0" applyFont="1" applyFill="1" applyBorder="1" applyAlignment="1">
      <alignment horizontal="left" vertical="top" wrapText="1"/>
    </xf>
    <xf numFmtId="0" fontId="41" fillId="16" borderId="0" xfId="0" applyFont="1" applyFill="1" applyAlignment="1">
      <alignment horizontal="left" vertical="top" wrapText="1"/>
    </xf>
    <xf numFmtId="0" fontId="41" fillId="16" borderId="125" xfId="0" applyFont="1" applyFill="1" applyBorder="1" applyAlignment="1">
      <alignment horizontal="left" vertical="top" wrapText="1"/>
    </xf>
    <xf numFmtId="0" fontId="41" fillId="16" borderId="126" xfId="0" applyFont="1" applyFill="1" applyBorder="1" applyAlignment="1">
      <alignment horizontal="left" vertical="top" wrapText="1"/>
    </xf>
    <xf numFmtId="0" fontId="41" fillId="16" borderId="127" xfId="0" applyFont="1" applyFill="1" applyBorder="1" applyAlignment="1">
      <alignment horizontal="left" vertical="top" wrapText="1"/>
    </xf>
    <xf numFmtId="0" fontId="41" fillId="16" borderId="128" xfId="0" applyFont="1" applyFill="1" applyBorder="1" applyAlignment="1">
      <alignment horizontal="left" vertical="top" wrapText="1"/>
    </xf>
    <xf numFmtId="49" fontId="17" fillId="2" borderId="54" xfId="0" applyNumberFormat="1" applyFont="1" applyFill="1" applyBorder="1" applyAlignment="1">
      <alignment horizontal="left" vertical="top" wrapText="1"/>
    </xf>
    <xf numFmtId="49" fontId="17" fillId="2" borderId="7" xfId="0" applyNumberFormat="1" applyFont="1" applyFill="1" applyBorder="1" applyAlignment="1">
      <alignment horizontal="left" vertical="top" wrapText="1"/>
    </xf>
    <xf numFmtId="49" fontId="17" fillId="2" borderId="53" xfId="0" applyNumberFormat="1" applyFont="1" applyFill="1" applyBorder="1" applyAlignment="1">
      <alignment horizontal="left" vertical="top" wrapText="1"/>
    </xf>
    <xf numFmtId="0" fontId="13" fillId="30" borderId="54" xfId="0" applyFont="1" applyFill="1" applyBorder="1" applyAlignment="1">
      <alignment horizontal="left"/>
    </xf>
    <xf numFmtId="0" fontId="13" fillId="30" borderId="7" xfId="0" applyFont="1" applyFill="1" applyBorder="1" applyAlignment="1">
      <alignment horizontal="left"/>
    </xf>
    <xf numFmtId="0" fontId="13" fillId="30" borderId="53" xfId="0" applyFont="1" applyFill="1" applyBorder="1" applyAlignment="1">
      <alignment horizontal="left"/>
    </xf>
    <xf numFmtId="0" fontId="5" fillId="18" borderId="77" xfId="0" applyFont="1" applyFill="1" applyBorder="1" applyAlignment="1">
      <alignment horizontal="center" vertical="center"/>
    </xf>
    <xf numFmtId="0" fontId="14" fillId="19" borderId="78" xfId="0" applyFont="1" applyFill="1" applyBorder="1"/>
    <xf numFmtId="0" fontId="14" fillId="19" borderId="79" xfId="0" applyFont="1" applyFill="1" applyBorder="1"/>
    <xf numFmtId="0" fontId="14" fillId="19" borderId="80" xfId="0" applyFont="1" applyFill="1" applyBorder="1"/>
    <xf numFmtId="0" fontId="20" fillId="18" borderId="58" xfId="0" applyFont="1" applyFill="1" applyBorder="1" applyAlignment="1">
      <alignment horizontal="center" vertical="center"/>
    </xf>
    <xf numFmtId="0" fontId="14" fillId="19" borderId="57" xfId="0" applyFont="1" applyFill="1" applyBorder="1"/>
    <xf numFmtId="0" fontId="20" fillId="18" borderId="79" xfId="0" applyFont="1" applyFill="1" applyBorder="1" applyAlignment="1">
      <alignment horizontal="center" vertical="center"/>
    </xf>
    <xf numFmtId="0" fontId="20" fillId="18" borderId="98" xfId="0" applyFont="1" applyFill="1" applyBorder="1" applyAlignment="1">
      <alignment horizontal="center" vertical="center"/>
    </xf>
    <xf numFmtId="0" fontId="20" fillId="18" borderId="75" xfId="0" applyFont="1" applyFill="1" applyBorder="1" applyAlignment="1">
      <alignment horizontal="center" vertical="center"/>
    </xf>
    <xf numFmtId="0" fontId="20" fillId="18" borderId="110" xfId="0" applyFont="1" applyFill="1" applyBorder="1" applyAlignment="1">
      <alignment horizontal="center" vertical="center"/>
    </xf>
    <xf numFmtId="0" fontId="30" fillId="18" borderId="6" xfId="0" applyFont="1" applyFill="1" applyBorder="1" applyAlignment="1">
      <alignment horizontal="center"/>
    </xf>
    <xf numFmtId="0" fontId="13" fillId="18" borderId="6" xfId="0" applyFont="1" applyFill="1" applyBorder="1" applyAlignment="1">
      <alignment horizontal="center"/>
    </xf>
    <xf numFmtId="0" fontId="13" fillId="2" borderId="6" xfId="0" applyFont="1" applyFill="1" applyBorder="1" applyAlignment="1">
      <alignment horizontal="center" vertical="center" wrapText="1"/>
    </xf>
    <xf numFmtId="0" fontId="4" fillId="2" borderId="70" xfId="0" applyFont="1" applyFill="1" applyBorder="1" applyAlignment="1">
      <alignment horizontal="center" vertical="center" wrapText="1"/>
    </xf>
    <xf numFmtId="0" fontId="14" fillId="0" borderId="72" xfId="0" applyFont="1" applyBorder="1"/>
    <xf numFmtId="0" fontId="0" fillId="0" borderId="76" xfId="0" applyBorder="1" applyAlignment="1">
      <alignment horizontal="center"/>
    </xf>
    <xf numFmtId="0" fontId="13" fillId="42" borderId="6" xfId="0" applyFont="1" applyFill="1" applyBorder="1" applyAlignment="1">
      <alignment horizontal="left"/>
    </xf>
    <xf numFmtId="0" fontId="13" fillId="42" borderId="6" xfId="0" applyFont="1" applyFill="1" applyBorder="1" applyAlignment="1">
      <alignment horizontal="center" wrapText="1"/>
    </xf>
    <xf numFmtId="0" fontId="14" fillId="31" borderId="7" xfId="0" applyFont="1" applyFill="1" applyBorder="1" applyAlignment="1">
      <alignment horizontal="center"/>
    </xf>
    <xf numFmtId="0" fontId="14" fillId="31" borderId="8" xfId="0" applyFont="1" applyFill="1" applyBorder="1" applyAlignment="1">
      <alignment horizontal="center"/>
    </xf>
    <xf numFmtId="0" fontId="17" fillId="42" borderId="2" xfId="0" applyFont="1" applyFill="1" applyBorder="1" applyAlignment="1">
      <alignment horizontal="center" vertical="center"/>
    </xf>
    <xf numFmtId="0" fontId="13" fillId="42" borderId="2" xfId="0" applyFont="1" applyFill="1" applyBorder="1" applyAlignment="1">
      <alignment horizontal="left"/>
    </xf>
    <xf numFmtId="0" fontId="26" fillId="0" borderId="114" xfId="0" applyFont="1" applyBorder="1" applyAlignment="1">
      <alignment horizontal="center" vertical="center"/>
    </xf>
    <xf numFmtId="0" fontId="0" fillId="0" borderId="114" xfId="0" applyBorder="1" applyAlignment="1">
      <alignment horizontal="center" vertical="center"/>
    </xf>
    <xf numFmtId="0" fontId="26" fillId="0" borderId="114" xfId="1" applyBorder="1" applyAlignment="1">
      <alignment horizontal="center" vertical="center"/>
    </xf>
    <xf numFmtId="0" fontId="26" fillId="0" borderId="114" xfId="0" applyFont="1" applyBorder="1" applyAlignment="1">
      <alignment horizontal="center"/>
    </xf>
    <xf numFmtId="0" fontId="0" fillId="0" borderId="114" xfId="0" applyBorder="1" applyAlignment="1">
      <alignment horizontal="center"/>
    </xf>
    <xf numFmtId="0" fontId="26" fillId="31" borderId="114" xfId="0" applyFont="1" applyFill="1" applyBorder="1" applyAlignment="1">
      <alignment horizontal="center"/>
    </xf>
    <xf numFmtId="0" fontId="16" fillId="42" borderId="12" xfId="0" applyFont="1" applyFill="1" applyBorder="1" applyAlignment="1">
      <alignment horizontal="center" vertical="center"/>
    </xf>
    <xf numFmtId="0" fontId="14" fillId="31" borderId="14" xfId="0" applyFont="1" applyFill="1" applyBorder="1"/>
    <xf numFmtId="0" fontId="16" fillId="42" borderId="101" xfId="0" applyFont="1" applyFill="1" applyBorder="1" applyAlignment="1">
      <alignment horizontal="center" vertical="center"/>
    </xf>
    <xf numFmtId="0" fontId="14" fillId="31" borderId="95" xfId="0" applyFont="1" applyFill="1" applyBorder="1"/>
    <xf numFmtId="0" fontId="16" fillId="42" borderId="100" xfId="0" applyFont="1" applyFill="1" applyBorder="1" applyAlignment="1">
      <alignment horizontal="center" vertical="center"/>
    </xf>
    <xf numFmtId="0" fontId="14" fillId="31" borderId="94" xfId="0" applyFont="1" applyFill="1" applyBorder="1"/>
    <xf numFmtId="0" fontId="13" fillId="42" borderId="54" xfId="0" applyFont="1" applyFill="1" applyBorder="1" applyAlignment="1">
      <alignment horizontal="left"/>
    </xf>
    <xf numFmtId="0" fontId="13" fillId="42" borderId="7" xfId="0" applyFont="1" applyFill="1" applyBorder="1" applyAlignment="1">
      <alignment horizontal="left"/>
    </xf>
    <xf numFmtId="0" fontId="13" fillId="42" borderId="53" xfId="0" applyFont="1" applyFill="1" applyBorder="1" applyAlignment="1">
      <alignment horizontal="left"/>
    </xf>
    <xf numFmtId="0" fontId="4" fillId="0" borderId="2" xfId="0" applyFont="1" applyBorder="1" applyAlignment="1">
      <alignment horizontal="center" vertical="center"/>
    </xf>
    <xf numFmtId="0" fontId="16" fillId="42" borderId="2" xfId="0" applyFont="1" applyFill="1" applyBorder="1" applyAlignment="1">
      <alignment horizontal="center" vertical="center"/>
    </xf>
    <xf numFmtId="0" fontId="16" fillId="42" borderId="2" xfId="0" applyFont="1" applyFill="1" applyBorder="1" applyAlignment="1">
      <alignment horizontal="center" vertical="center" wrapText="1"/>
    </xf>
    <xf numFmtId="0" fontId="10" fillId="42" borderId="76" xfId="0" applyFont="1" applyFill="1" applyBorder="1" applyAlignment="1">
      <alignment horizontal="center" vertical="center"/>
    </xf>
    <xf numFmtId="0" fontId="13" fillId="42" borderId="2" xfId="0" applyFont="1" applyFill="1" applyBorder="1" applyAlignment="1">
      <alignment horizontal="center"/>
    </xf>
    <xf numFmtId="0" fontId="26" fillId="0" borderId="115" xfId="0" applyFont="1" applyBorder="1" applyAlignment="1">
      <alignment horizontal="center" vertical="center"/>
    </xf>
    <xf numFmtId="0" fontId="26" fillId="0" borderId="116" xfId="0" applyFont="1" applyBorder="1" applyAlignment="1">
      <alignment horizontal="center" vertical="center"/>
    </xf>
    <xf numFmtId="0" fontId="20" fillId="7" borderId="102" xfId="0" applyFont="1" applyFill="1" applyBorder="1" applyAlignment="1">
      <alignment horizontal="center"/>
    </xf>
    <xf numFmtId="0" fontId="20" fillId="7" borderId="104" xfId="0" applyFont="1" applyFill="1" applyBorder="1" applyAlignment="1">
      <alignment horizontal="center"/>
    </xf>
    <xf numFmtId="0" fontId="20" fillId="7" borderId="37" xfId="0" applyFont="1" applyFill="1" applyBorder="1" applyAlignment="1">
      <alignment horizontal="center"/>
    </xf>
    <xf numFmtId="0" fontId="14" fillId="0" borderId="103" xfId="0" applyFont="1" applyBorder="1"/>
    <xf numFmtId="0" fontId="14" fillId="0" borderId="104" xfId="0" applyFont="1" applyBorder="1"/>
    <xf numFmtId="0" fontId="20" fillId="2" borderId="129" xfId="0" applyFont="1" applyFill="1" applyBorder="1" applyAlignment="1">
      <alignment horizontal="center" vertical="center"/>
    </xf>
    <xf numFmtId="0" fontId="20" fillId="2" borderId="76" xfId="0" applyFont="1" applyFill="1" applyBorder="1" applyAlignment="1">
      <alignment horizontal="center" vertical="center"/>
    </xf>
    <xf numFmtId="0" fontId="4" fillId="2" borderId="129" xfId="0" applyFont="1" applyFill="1" applyBorder="1" applyAlignment="1">
      <alignment horizontal="center" vertical="center"/>
    </xf>
    <xf numFmtId="0" fontId="4" fillId="2" borderId="76" xfId="0" applyFont="1" applyFill="1" applyBorder="1" applyAlignment="1">
      <alignment horizontal="center" vertical="center"/>
    </xf>
    <xf numFmtId="0" fontId="16" fillId="42" borderId="2" xfId="0" applyFont="1" applyFill="1" applyBorder="1" applyAlignment="1">
      <alignment horizontal="right"/>
    </xf>
    <xf numFmtId="0" fontId="13" fillId="42" borderId="16" xfId="0" applyFont="1" applyFill="1" applyBorder="1" applyAlignment="1">
      <alignment horizontal="left"/>
    </xf>
    <xf numFmtId="0" fontId="14" fillId="31" borderId="17" xfId="0" applyFont="1" applyFill="1" applyBorder="1"/>
    <xf numFmtId="0" fontId="14" fillId="31" borderId="18" xfId="0" applyFont="1" applyFill="1" applyBorder="1"/>
    <xf numFmtId="0" fontId="20" fillId="42" borderId="2" xfId="0" applyFont="1" applyFill="1" applyBorder="1" applyAlignment="1">
      <alignment horizontal="center" vertical="center"/>
    </xf>
    <xf numFmtId="0" fontId="20" fillId="42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27" fillId="0" borderId="2" xfId="0" applyFont="1" applyBorder="1" applyAlignment="1">
      <alignment horizontal="center" vertical="center" wrapText="1"/>
    </xf>
    <xf numFmtId="0" fontId="4" fillId="5" borderId="6" xfId="0" applyFont="1" applyFill="1" applyBorder="1" applyAlignment="1">
      <alignment horizontal="left"/>
    </xf>
    <xf numFmtId="0" fontId="4" fillId="0" borderId="33" xfId="0" applyFont="1" applyBorder="1" applyAlignment="1">
      <alignment horizontal="left"/>
    </xf>
    <xf numFmtId="0" fontId="14" fillId="0" borderId="34" xfId="0" applyFont="1" applyBorder="1"/>
    <xf numFmtId="0" fontId="20" fillId="42" borderId="6" xfId="0" applyFont="1" applyFill="1" applyBorder="1" applyAlignment="1">
      <alignment horizontal="left"/>
    </xf>
    <xf numFmtId="0" fontId="4" fillId="0" borderId="105" xfId="0" applyFont="1" applyBorder="1" applyAlignment="1">
      <alignment horizontal="left" vertical="center"/>
    </xf>
    <xf numFmtId="0" fontId="14" fillId="0" borderId="106" xfId="0" applyFont="1" applyBorder="1"/>
    <xf numFmtId="0" fontId="4" fillId="0" borderId="41" xfId="0" applyFont="1" applyBorder="1" applyAlignment="1">
      <alignment horizontal="center" vertical="center"/>
    </xf>
    <xf numFmtId="0" fontId="14" fillId="0" borderId="65" xfId="0" applyFont="1" applyBorder="1"/>
    <xf numFmtId="0" fontId="14" fillId="0" borderId="94" xfId="0" applyFont="1" applyBorder="1"/>
    <xf numFmtId="0" fontId="4" fillId="0" borderId="105" xfId="0" applyFont="1" applyBorder="1" applyAlignment="1">
      <alignment horizontal="left"/>
    </xf>
    <xf numFmtId="0" fontId="4" fillId="0" borderId="43" xfId="0" applyFont="1" applyBorder="1" applyAlignment="1">
      <alignment horizontal="left"/>
    </xf>
    <xf numFmtId="0" fontId="4" fillId="0" borderId="61" xfId="0" applyFont="1" applyBorder="1" applyAlignment="1">
      <alignment horizontal="left"/>
    </xf>
    <xf numFmtId="0" fontId="14" fillId="0" borderId="62" xfId="0" applyFont="1" applyBorder="1"/>
    <xf numFmtId="0" fontId="20" fillId="42" borderId="46" xfId="0" applyFont="1" applyFill="1" applyBorder="1" applyAlignment="1">
      <alignment horizontal="center"/>
    </xf>
    <xf numFmtId="0" fontId="20" fillId="42" borderId="95" xfId="0" applyFont="1" applyFill="1" applyBorder="1" applyAlignment="1">
      <alignment horizontal="center"/>
    </xf>
    <xf numFmtId="173" fontId="4" fillId="2" borderId="41" xfId="0" applyNumberFormat="1" applyFont="1" applyFill="1" applyBorder="1" applyAlignment="1">
      <alignment horizontal="center"/>
    </xf>
    <xf numFmtId="173" fontId="4" fillId="2" borderId="45" xfId="0" applyNumberFormat="1" applyFont="1" applyFill="1" applyBorder="1" applyAlignment="1">
      <alignment horizontal="center"/>
    </xf>
    <xf numFmtId="173" fontId="4" fillId="2" borderId="107" xfId="0" applyNumberFormat="1" applyFont="1" applyFill="1" applyBorder="1" applyAlignment="1">
      <alignment horizontal="center"/>
    </xf>
    <xf numFmtId="173" fontId="4" fillId="2" borderId="97" xfId="0" applyNumberFormat="1" applyFont="1" applyFill="1" applyBorder="1" applyAlignment="1">
      <alignment horizontal="center"/>
    </xf>
    <xf numFmtId="173" fontId="4" fillId="2" borderId="46" xfId="0" applyNumberFormat="1" applyFont="1" applyFill="1" applyBorder="1" applyAlignment="1">
      <alignment horizontal="center"/>
    </xf>
    <xf numFmtId="173" fontId="4" fillId="2" borderId="130" xfId="0" applyNumberFormat="1" applyFont="1" applyFill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4" fillId="0" borderId="95" xfId="0" applyFont="1" applyBorder="1" applyAlignment="1">
      <alignment horizontal="center"/>
    </xf>
    <xf numFmtId="0" fontId="4" fillId="0" borderId="41" xfId="0" applyFont="1" applyBorder="1" applyAlignment="1">
      <alignment horizontal="center"/>
    </xf>
    <xf numFmtId="0" fontId="4" fillId="0" borderId="94" xfId="0" applyFont="1" applyBorder="1" applyAlignment="1">
      <alignment horizontal="center"/>
    </xf>
    <xf numFmtId="173" fontId="4" fillId="0" borderId="107" xfId="0" applyNumberFormat="1" applyFont="1" applyBorder="1" applyAlignment="1">
      <alignment horizontal="center" vertical="center"/>
    </xf>
    <xf numFmtId="173" fontId="4" fillId="0" borderId="96" xfId="0" applyNumberFormat="1" applyFont="1" applyBorder="1" applyAlignment="1">
      <alignment horizontal="center" vertical="center"/>
    </xf>
    <xf numFmtId="0" fontId="13" fillId="42" borderId="6" xfId="0" applyFont="1" applyFill="1" applyBorder="1" applyAlignment="1">
      <alignment horizontal="center"/>
    </xf>
    <xf numFmtId="0" fontId="4" fillId="2" borderId="70" xfId="0" applyFont="1" applyFill="1" applyBorder="1" applyAlignment="1">
      <alignment horizontal="left" vertical="center" wrapText="1"/>
    </xf>
    <xf numFmtId="0" fontId="14" fillId="0" borderId="84" xfId="0" applyFont="1" applyBorder="1"/>
    <xf numFmtId="0" fontId="14" fillId="0" borderId="92" xfId="0" applyFont="1" applyBorder="1"/>
    <xf numFmtId="0" fontId="4" fillId="2" borderId="91" xfId="0" applyFont="1" applyFill="1" applyBorder="1" applyAlignment="1">
      <alignment horizontal="left" vertical="center" wrapText="1"/>
    </xf>
    <xf numFmtId="0" fontId="4" fillId="16" borderId="61" xfId="0" applyFont="1" applyFill="1" applyBorder="1" applyAlignment="1">
      <alignment horizontal="left"/>
    </xf>
    <xf numFmtId="0" fontId="14" fillId="16" borderId="62" xfId="0" applyFont="1" applyFill="1" applyBorder="1"/>
    <xf numFmtId="0" fontId="4" fillId="15" borderId="6" xfId="0" applyFont="1" applyFill="1" applyBorder="1" applyAlignment="1">
      <alignment horizontal="left"/>
    </xf>
    <xf numFmtId="0" fontId="14" fillId="16" borderId="8" xfId="0" applyFont="1" applyFill="1" applyBorder="1"/>
    <xf numFmtId="0" fontId="4" fillId="16" borderId="33" xfId="0" applyFont="1" applyFill="1" applyBorder="1" applyAlignment="1">
      <alignment horizontal="left"/>
    </xf>
    <xf numFmtId="0" fontId="14" fillId="16" borderId="34" xfId="0" applyFont="1" applyFill="1" applyBorder="1"/>
    <xf numFmtId="0" fontId="4" fillId="16" borderId="41" xfId="0" applyFont="1" applyFill="1" applyBorder="1" applyAlignment="1">
      <alignment horizontal="center" vertical="center"/>
    </xf>
    <xf numFmtId="0" fontId="14" fillId="16" borderId="65" xfId="0" applyFont="1" applyFill="1" applyBorder="1"/>
    <xf numFmtId="0" fontId="14" fillId="16" borderId="94" xfId="0" applyFont="1" applyFill="1" applyBorder="1"/>
    <xf numFmtId="0" fontId="4" fillId="16" borderId="105" xfId="0" applyFont="1" applyFill="1" applyBorder="1" applyAlignment="1">
      <alignment horizontal="left"/>
    </xf>
    <xf numFmtId="0" fontId="14" fillId="16" borderId="106" xfId="0" applyFont="1" applyFill="1" applyBorder="1"/>
    <xf numFmtId="0" fontId="4" fillId="16" borderId="43" xfId="0" applyFont="1" applyFill="1" applyBorder="1" applyAlignment="1">
      <alignment horizontal="left"/>
    </xf>
    <xf numFmtId="0" fontId="14" fillId="16" borderId="44" xfId="0" applyFont="1" applyFill="1" applyBorder="1"/>
    <xf numFmtId="0" fontId="4" fillId="16" borderId="105" xfId="0" applyFont="1" applyFill="1" applyBorder="1" applyAlignment="1">
      <alignment horizontal="left" vertical="center"/>
    </xf>
    <xf numFmtId="0" fontId="2" fillId="16" borderId="117" xfId="10" applyFill="1" applyBorder="1" applyAlignment="1">
      <alignment horizontal="center" vertical="top" wrapText="1"/>
    </xf>
    <xf numFmtId="0" fontId="2" fillId="16" borderId="116" xfId="10" applyFill="1" applyBorder="1" applyAlignment="1">
      <alignment horizontal="center" vertical="top" wrapText="1"/>
    </xf>
    <xf numFmtId="0" fontId="2" fillId="16" borderId="117" xfId="10" applyFill="1" applyBorder="1" applyAlignment="1">
      <alignment horizontal="left" vertical="top" wrapText="1"/>
    </xf>
    <xf numFmtId="0" fontId="2" fillId="16" borderId="116" xfId="10" applyFill="1" applyBorder="1" applyAlignment="1">
      <alignment horizontal="left" vertical="top" wrapText="1"/>
    </xf>
    <xf numFmtId="0" fontId="1" fillId="16" borderId="115" xfId="10" applyFont="1" applyFill="1" applyBorder="1" applyAlignment="1">
      <alignment horizontal="left" vertical="top" wrapText="1"/>
    </xf>
    <xf numFmtId="0" fontId="33" fillId="31" borderId="114" xfId="10" applyFont="1" applyFill="1" applyBorder="1" applyAlignment="1">
      <alignment horizontal="center" vertical="center" wrapText="1"/>
    </xf>
    <xf numFmtId="0" fontId="33" fillId="31" borderId="114" xfId="10" applyFont="1" applyFill="1" applyBorder="1" applyAlignment="1">
      <alignment horizontal="center"/>
    </xf>
    <xf numFmtId="173" fontId="4" fillId="0" borderId="107" xfId="0" applyNumberFormat="1" applyFont="1" applyBorder="1" applyAlignment="1">
      <alignment horizontal="center"/>
    </xf>
    <xf numFmtId="173" fontId="4" fillId="0" borderId="96" xfId="0" applyNumberFormat="1" applyFont="1" applyBorder="1" applyAlignment="1">
      <alignment horizontal="center"/>
    </xf>
    <xf numFmtId="173" fontId="4" fillId="0" borderId="77" xfId="0" applyNumberFormat="1" applyFont="1" applyBorder="1" applyAlignment="1">
      <alignment horizontal="center"/>
    </xf>
    <xf numFmtId="173" fontId="4" fillId="0" borderId="79" xfId="0" applyNumberFormat="1" applyFont="1" applyBorder="1" applyAlignment="1">
      <alignment horizontal="center"/>
    </xf>
    <xf numFmtId="0" fontId="4" fillId="16" borderId="41" xfId="0" applyFont="1" applyFill="1" applyBorder="1" applyAlignment="1">
      <alignment horizontal="center"/>
    </xf>
    <xf numFmtId="0" fontId="4" fillId="16" borderId="94" xfId="0" applyFont="1" applyFill="1" applyBorder="1" applyAlignment="1">
      <alignment horizontal="center"/>
    </xf>
    <xf numFmtId="173" fontId="4" fillId="16" borderId="107" xfId="0" applyNumberFormat="1" applyFont="1" applyFill="1" applyBorder="1" applyAlignment="1">
      <alignment horizontal="center"/>
    </xf>
    <xf numFmtId="173" fontId="4" fillId="16" borderId="96" xfId="0" applyNumberFormat="1" applyFont="1" applyFill="1" applyBorder="1" applyAlignment="1">
      <alignment horizontal="center"/>
    </xf>
    <xf numFmtId="173" fontId="4" fillId="16" borderId="77" xfId="0" applyNumberFormat="1" applyFont="1" applyFill="1" applyBorder="1" applyAlignment="1">
      <alignment horizontal="center"/>
    </xf>
    <xf numFmtId="173" fontId="4" fillId="16" borderId="79" xfId="0" applyNumberFormat="1" applyFont="1" applyFill="1" applyBorder="1" applyAlignment="1">
      <alignment horizontal="center"/>
    </xf>
    <xf numFmtId="0" fontId="4" fillId="16" borderId="46" xfId="0" applyFont="1" applyFill="1" applyBorder="1" applyAlignment="1">
      <alignment horizontal="center"/>
    </xf>
    <xf numFmtId="0" fontId="4" fillId="16" borderId="95" xfId="0" applyFont="1" applyFill="1" applyBorder="1" applyAlignment="1">
      <alignment horizontal="center"/>
    </xf>
    <xf numFmtId="0" fontId="14" fillId="9" borderId="8" xfId="0" applyFont="1" applyFill="1" applyBorder="1"/>
    <xf numFmtId="0" fontId="1" fillId="16" borderId="115" xfId="10" applyFont="1" applyFill="1" applyBorder="1" applyAlignment="1">
      <alignment horizontal="center" vertical="top" wrapText="1"/>
    </xf>
    <xf numFmtId="0" fontId="14" fillId="0" borderId="72" xfId="0" applyFont="1" applyBorder="1" applyAlignment="1">
      <alignment horizontal="left"/>
    </xf>
    <xf numFmtId="0" fontId="4" fillId="37" borderId="131" xfId="0" applyFont="1" applyFill="1" applyBorder="1" applyAlignment="1">
      <alignment horizontal="center"/>
    </xf>
    <xf numFmtId="0" fontId="4" fillId="37" borderId="132" xfId="0" applyFont="1" applyFill="1" applyBorder="1" applyAlignment="1">
      <alignment horizontal="center"/>
    </xf>
    <xf numFmtId="0" fontId="4" fillId="37" borderId="133" xfId="0" applyFont="1" applyFill="1" applyBorder="1" applyAlignment="1">
      <alignment horizontal="center"/>
    </xf>
  </cellXfs>
  <cellStyles count="21">
    <cellStyle name="40% - Accent1 2" xfId="11" xr:uid="{314A4B55-2929-4143-9945-BD7F23BF6B99}"/>
    <cellStyle name="Comma 2" xfId="12" xr:uid="{2D0EF9D8-CFD2-4E86-B913-462D2588A643}"/>
    <cellStyle name="Currency 2" xfId="4" xr:uid="{5F740988-CB30-46FB-AB1A-5578F2105898}"/>
    <cellStyle name="Currency 3" xfId="18" xr:uid="{155F1669-9A84-4AC9-B5E6-55F8B31CED4A}"/>
    <cellStyle name="Euro" xfId="8" xr:uid="{D9559569-1C6C-4405-8CB2-0F2591B1347F}"/>
    <cellStyle name="Hipervínculo" xfId="2" builtinId="8"/>
    <cellStyle name="Hyperlink 2" xfId="5" xr:uid="{FE908E5C-E849-4C75-B45F-15EFA7578A33}"/>
    <cellStyle name="Millares" xfId="20" builtinId="3"/>
    <cellStyle name="Millares 2" xfId="13" xr:uid="{E00DC9C9-7875-44BD-A291-510EFE7E00CF}"/>
    <cellStyle name="Moneda" xfId="19" builtinId="4"/>
    <cellStyle name="Moneda 2" xfId="6" xr:uid="{DD95FE41-7BCA-4025-A895-655DF3441F4F}"/>
    <cellStyle name="Moneda 2 2" xfId="16" xr:uid="{E29871C2-DFF8-4149-A30A-199CADED8E3B}"/>
    <cellStyle name="Normal" xfId="0" builtinId="0"/>
    <cellStyle name="Normal 2" xfId="1" xr:uid="{15331A9A-3EA1-4428-B552-A6323F71D208}"/>
    <cellStyle name="Normal 2 14" xfId="14" xr:uid="{23FAE2DA-4469-4657-8AD3-392F58E0C127}"/>
    <cellStyle name="Normal 2 15" xfId="15" xr:uid="{437B889E-C98E-4768-9FC3-CA41A8FB4959}"/>
    <cellStyle name="Normal 3" xfId="3" xr:uid="{AEC158B1-9177-4F83-AD60-D7219CBC5ABB}"/>
    <cellStyle name="Normal 4" xfId="10" xr:uid="{4D292293-3340-4883-84AE-E60988D297DD}"/>
    <cellStyle name="Normal 5" xfId="7" xr:uid="{1EB510F7-24FF-4312-9B5D-9F2AC7E81F75}"/>
    <cellStyle name="Percent 2" xfId="9" xr:uid="{070B5F7E-A34E-4703-92D7-8E863C5DAB7C}"/>
    <cellStyle name="Percent 3" xfId="17" xr:uid="{849527B1-1753-45B7-BB03-9CE57380B2AC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F10BB59B-51E5-47D8-A5C7-03E3C80C797C}">
      <tableStyleElement type="wholeTable" dxfId="1"/>
      <tableStyleElement type="headerRow" dxfId="0"/>
    </tableStyle>
  </tableStyles>
  <colors>
    <mruColors>
      <color rgb="FFFB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Evolución de la participación en el mercado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2022</c:v>
          </c:tx>
          <c:spPr>
            <a:solidFill>
              <a:srgbClr val="4472C4"/>
            </a:solidFill>
            <a:ln cmpd="thickThin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Hipótesis!$D$25</c:f>
              <c:numCache>
                <c:formatCode>_-"$"\ * #,##0.00_-;\-"$"\ * #,##0.00_-;_-"$"\ * "-"??_-;_-@</c:formatCode>
                <c:ptCount val="1"/>
                <c:pt idx="0">
                  <c:v>29160000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thickThin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32-4C54-A66A-F4480CA96325}"/>
            </c:ext>
          </c:extLst>
        </c:ser>
        <c:ser>
          <c:idx val="1"/>
          <c:order val="1"/>
          <c:tx>
            <c:v>2023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Hipótesis!$D$26</c:f>
              <c:numCache>
                <c:formatCode>_-"$"\ * #,##0.00_-;\-"$"\ * #,##0.00_-;_-"$"\ * "-"??_-;_-@</c:formatCode>
                <c:ptCount val="1"/>
                <c:pt idx="0">
                  <c:v>58320000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32-4C54-A66A-F4480CA96325}"/>
            </c:ext>
          </c:extLst>
        </c:ser>
        <c:ser>
          <c:idx val="2"/>
          <c:order val="2"/>
          <c:tx>
            <c:v>2024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Hipótesis!$D$24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Hipótesis!$D$27</c:f>
              <c:numCache>
                <c:formatCode>_-"$"\ * #,##0.00_-;\-"$"\ * #,##0.00_-;_-"$"\ * "-"??_-;_-@</c:formatCode>
                <c:ptCount val="1"/>
                <c:pt idx="0">
                  <c:v>87480000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32-4C54-A66A-F4480CA96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7074219"/>
        <c:axId val="620931431"/>
      </c:barChart>
      <c:catAx>
        <c:axId val="1637074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620931431"/>
        <c:crosses val="autoZero"/>
        <c:auto val="1"/>
        <c:lblAlgn val="ctr"/>
        <c:lblOffset val="100"/>
        <c:noMultiLvlLbl val="1"/>
      </c:catAx>
      <c:valAx>
        <c:axId val="62093143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3707421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ventas'!$F$53</c:f>
              <c:numCache>
                <c:formatCode>_-"$"\ * #,##0.00_-;\-"$"\ * #,##0.00_-;_-"$"\ * "-"??_-;_-@</c:formatCode>
                <c:ptCount val="1"/>
                <c:pt idx="0">
                  <c:v>100000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AD-4C53-83D5-1FEB77310B16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ventas'!$H$53</c:f>
              <c:numCache>
                <c:formatCode>_-"$"\ * #,##0.00_-;\-"$"\ * #,##0.00_-;_-"$"\ * "-"??_-;_-@</c:formatCode>
                <c:ptCount val="1"/>
                <c:pt idx="0">
                  <c:v>100000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AD-4C53-83D5-1FEB77310B16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ventas'!$J$53</c:f>
              <c:numCache>
                <c:formatCode>_-"$"\ * #,##0.00_-;\-"$"\ * #,##0.00_-;_-"$"\ * "-"??_-;_-@</c:formatCode>
                <c:ptCount val="1"/>
                <c:pt idx="0">
                  <c:v>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1AD-4C53-83D5-1FEB77310B16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ventas'!$L$53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1AD-4C53-83D5-1FEB77310B16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ventas'!$N$53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1AD-4C53-83D5-1FEB77310B16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ventas'!$P$53</c:f>
              <c:numCache>
                <c:formatCode>_-"$"\ * #,##0.00_-;\-"$"\ * #,##0.00_-;_-"$"\ * "-"??_-;_-@</c:formatCode>
                <c:ptCount val="1"/>
                <c:pt idx="0">
                  <c:v>550000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1AD-4C53-83D5-1FEB77310B16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ventas'!$R$53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1AD-4C53-83D5-1FEB77310B16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ventas'!$T$53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1AD-4C53-83D5-1FEB77310B16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ventas'!$V$53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F1AD-4C53-83D5-1FEB77310B16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ventas'!$X$53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1AD-4C53-83D5-1FEB77310B16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ventas'!$Z$53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F1AD-4C53-83D5-1FEB77310B16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ventas'!$AB$53</c:f>
              <c:numCache>
                <c:formatCode>_-"$"\ * #,##0.00_-;\-"$"\ * #,##0.00_-;_-"$"\ * "-"??_-;_-@</c:formatCode>
                <c:ptCount val="1"/>
                <c:pt idx="0">
                  <c:v>550000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F1AD-4C53-83D5-1FEB77310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800" b="1" i="0">
                <a:solidFill>
                  <a:srgbClr val="757575"/>
                </a:solidFill>
                <a:latin typeface="+mn-lt"/>
              </a:defRPr>
            </a:pPr>
            <a:r>
              <a:rPr lang="es-AR" sz="1800" b="1" i="0">
                <a:solidFill>
                  <a:srgbClr val="757575"/>
                </a:solidFill>
                <a:latin typeface="+mn-lt"/>
              </a:rPr>
              <a:t>Proyección mensual de ventas 2023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ventas'!$F$85</c:f>
              <c:numCache>
                <c:formatCode>_-"$"\ * #,##0.00_-;\-"$"\ * #,##0.00_-;_-"$"\ * "-"??_-;_-@</c:formatCode>
                <c:ptCount val="1"/>
                <c:pt idx="0">
                  <c:v>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0C-49E9-87EF-7B41EFAFCD39}"/>
            </c:ext>
          </c:extLst>
        </c:ser>
        <c:ser>
          <c:idx val="1"/>
          <c:order val="1"/>
          <c:tx>
            <c:v>Febrero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ventas'!$H$85</c:f>
              <c:numCache>
                <c:formatCode>_-"$"\ * #,##0.00_-;\-"$"\ * #,##0.00_-;_-"$"\ * "-"??_-;_-@</c:formatCode>
                <c:ptCount val="1"/>
                <c:pt idx="0">
                  <c:v>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50C-49E9-87EF-7B41EFAFCD39}"/>
            </c:ext>
          </c:extLst>
        </c:ser>
        <c:ser>
          <c:idx val="2"/>
          <c:order val="2"/>
          <c:tx>
            <c:v>Marzo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ventas'!$J$85</c:f>
              <c:numCache>
                <c:formatCode>_-"$"\ * #,##0.00_-;\-"$"\ * #,##0.00_-;_-"$"\ * "-"??_-;_-@</c:formatCode>
                <c:ptCount val="1"/>
                <c:pt idx="0">
                  <c:v>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50C-49E9-87EF-7B41EFAFCD39}"/>
            </c:ext>
          </c:extLst>
        </c:ser>
        <c:ser>
          <c:idx val="3"/>
          <c:order val="3"/>
          <c:tx>
            <c:v>Abril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ventas'!$L$85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50C-49E9-87EF-7B41EFAFCD39}"/>
            </c:ext>
          </c:extLst>
        </c:ser>
        <c:ser>
          <c:idx val="4"/>
          <c:order val="4"/>
          <c:tx>
            <c:v>Mayo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ventas'!$N$85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50C-49E9-87EF-7B41EFAFCD39}"/>
            </c:ext>
          </c:extLst>
        </c:ser>
        <c:ser>
          <c:idx val="5"/>
          <c:order val="5"/>
          <c:tx>
            <c:v>Junio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ventas'!$P$85</c:f>
              <c:numCache>
                <c:formatCode>_-"$"\ * #,##0.00_-;\-"$"\ * #,##0.00_-;_-"$"\ * "-"??_-;_-@</c:formatCode>
                <c:ptCount val="1"/>
                <c:pt idx="0">
                  <c:v>550000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50C-49E9-87EF-7B41EFAFCD39}"/>
            </c:ext>
          </c:extLst>
        </c:ser>
        <c:ser>
          <c:idx val="6"/>
          <c:order val="6"/>
          <c:tx>
            <c:v>Julio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ventas'!$R$85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50C-49E9-87EF-7B41EFAFCD39}"/>
            </c:ext>
          </c:extLst>
        </c:ser>
        <c:ser>
          <c:idx val="7"/>
          <c:order val="7"/>
          <c:tx>
            <c:v>Agosto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ventas'!$T$85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50C-49E9-87EF-7B41EFAFCD39}"/>
            </c:ext>
          </c:extLst>
        </c:ser>
        <c:ser>
          <c:idx val="8"/>
          <c:order val="8"/>
          <c:tx>
            <c:v>Septiembre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ventas'!$V$85</c:f>
              <c:numCache>
                <c:formatCode>_-"$"\ * #,##0.00_-;\-"$"\ * #,##0.00_-;_-"$"\ * "-"??_-;_-@</c:formatCode>
                <c:ptCount val="1"/>
                <c:pt idx="0">
                  <c:v>280000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50C-49E9-87EF-7B41EFAFCD39}"/>
            </c:ext>
          </c:extLst>
        </c:ser>
        <c:ser>
          <c:idx val="9"/>
          <c:order val="9"/>
          <c:tx>
            <c:v>Octubre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ventas'!$X$85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50C-49E9-87EF-7B41EFAFCD39}"/>
            </c:ext>
          </c:extLst>
        </c:ser>
        <c:ser>
          <c:idx val="10"/>
          <c:order val="10"/>
          <c:tx>
            <c:v>Noviembre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ventas'!$Z$85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550C-49E9-87EF-7B41EFAFCD39}"/>
            </c:ext>
          </c:extLst>
        </c:ser>
        <c:ser>
          <c:idx val="11"/>
          <c:order val="11"/>
          <c:tx>
            <c:v>Diciembre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ventas'!$AB$85</c:f>
              <c:numCache>
                <c:formatCode>_-"$"\ * #,##0.00_-;\-"$"\ * #,##0.00_-;_-"$"\ * "-"??_-;_-@</c:formatCode>
                <c:ptCount val="1"/>
                <c:pt idx="0">
                  <c:v>460000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550C-49E9-87EF-7B41EFAFC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22995189"/>
        <c:axId val="1571989282"/>
      </c:barChart>
      <c:catAx>
        <c:axId val="19229951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71989282"/>
        <c:crosses val="autoZero"/>
        <c:auto val="1"/>
        <c:lblAlgn val="ctr"/>
        <c:lblOffset val="100"/>
        <c:noMultiLvlLbl val="1"/>
      </c:catAx>
      <c:valAx>
        <c:axId val="1571989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2299518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lang="es-AR" sz="1600" b="1" i="0">
                <a:solidFill>
                  <a:srgbClr val="757575"/>
                </a:solidFill>
                <a:latin typeface="+mn-lt"/>
              </a:rPr>
              <a:t>Proyección mensual de ventas 2022</a:t>
            </a:r>
          </a:p>
        </c:rich>
      </c:tx>
      <c:layout>
        <c:manualLayout>
          <c:xMode val="edge"/>
          <c:yMode val="edge"/>
          <c:x val="0.36563736435930583"/>
          <c:y val="1.6701461377870562E-2"/>
        </c:manualLayout>
      </c:layout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ventas'!$F$22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D3-43B4-A93D-AE30980A6976}"/>
            </c:ext>
          </c:extLst>
        </c:ser>
        <c:ser>
          <c:idx val="1"/>
          <c:order val="1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ventas'!$H$22</c:f>
              <c:numCache>
                <c:formatCode>_-"$"\ * #,##0.00_-;\-"$"\ * #,##0.00_-;_-"$"\ * "-"??_-;_-@</c:formatCode>
                <c:ptCount val="1"/>
                <c:pt idx="0">
                  <c:v>180000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D3-43B4-A93D-AE30980A6976}"/>
            </c:ext>
          </c:extLst>
        </c:ser>
        <c:ser>
          <c:idx val="2"/>
          <c:order val="2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ventas'!$J$22</c:f>
              <c:numCache>
                <c:formatCode>_-"$"\ * #,##0.00_-;\-"$"\ * #,##0.00_-;_-"$"\ * "-"??_-;_-@</c:formatCode>
                <c:ptCount val="1"/>
                <c:pt idx="0">
                  <c:v>190000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D3-43B4-A93D-AE30980A6976}"/>
            </c:ext>
          </c:extLst>
        </c:ser>
        <c:ser>
          <c:idx val="3"/>
          <c:order val="3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ventas'!$L$22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D3-43B4-A93D-AE30980A6976}"/>
            </c:ext>
          </c:extLst>
        </c:ser>
        <c:ser>
          <c:idx val="4"/>
          <c:order val="4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ventas'!$N$22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FD3-43B4-A93D-AE30980A6976}"/>
            </c:ext>
          </c:extLst>
        </c:ser>
        <c:ser>
          <c:idx val="5"/>
          <c:order val="5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ventas'!$P$22</c:f>
              <c:numCache>
                <c:formatCode>_-"$"\ * #,##0.00_-;\-"$"\ * #,##0.00_-;_-"$"\ * "-"??_-;_-@</c:formatCode>
                <c:ptCount val="1"/>
                <c:pt idx="0">
                  <c:v>550000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FD3-43B4-A93D-AE30980A6976}"/>
            </c:ext>
          </c:extLst>
        </c:ser>
        <c:ser>
          <c:idx val="6"/>
          <c:order val="6"/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ventas'!$R$22</c:f>
              <c:numCache>
                <c:formatCode>_-"$"\ * #,##0.00_-;\-"$"\ * #,##0.00_-;_-"$"\ * "-"??_-;_-@</c:formatCode>
                <c:ptCount val="1"/>
                <c:pt idx="0">
                  <c:v>270000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FD3-43B4-A93D-AE30980A6976}"/>
            </c:ext>
          </c:extLst>
        </c:ser>
        <c:ser>
          <c:idx val="7"/>
          <c:order val="7"/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ventas'!$T$22</c:f>
              <c:numCache>
                <c:formatCode>_-"$"\ * #,##0.00_-;\-"$"\ * #,##0.00_-;_-"$"\ * "-"??_-;_-@</c:formatCode>
                <c:ptCount val="1"/>
                <c:pt idx="0">
                  <c:v>280000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FD3-43B4-A93D-AE30980A6976}"/>
            </c:ext>
          </c:extLst>
        </c:ser>
        <c:ser>
          <c:idx val="8"/>
          <c:order val="8"/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ventas'!$V$22</c:f>
              <c:numCache>
                <c:formatCode>_-"$"\ * #,##0.00_-;\-"$"\ * #,##0.00_-;_-"$"\ * "-"??_-;_-@</c:formatCode>
                <c:ptCount val="1"/>
                <c:pt idx="0">
                  <c:v>260000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FD3-43B4-A93D-AE30980A6976}"/>
            </c:ext>
          </c:extLst>
        </c:ser>
        <c:ser>
          <c:idx val="9"/>
          <c:order val="9"/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ventas'!$X$22</c:f>
              <c:numCache>
                <c:formatCode>_-"$"\ * #,##0.00_-;\-"$"\ * #,##0.00_-;_-"$"\ * "-"??_-;_-@</c:formatCode>
                <c:ptCount val="1"/>
                <c:pt idx="0">
                  <c:v>290000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FD3-43B4-A93D-AE30980A6976}"/>
            </c:ext>
          </c:extLst>
        </c:ser>
        <c:ser>
          <c:idx val="10"/>
          <c:order val="10"/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ventas'!$Z$22</c:f>
              <c:numCache>
                <c:formatCode>_-"$"\ * #,##0.00_-;\-"$"\ * #,##0.00_-;_-"$"\ * "-"??_-;_-@</c:formatCode>
                <c:ptCount val="1"/>
                <c:pt idx="0">
                  <c:v>360000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FD3-43B4-A93D-AE30980A6976}"/>
            </c:ext>
          </c:extLst>
        </c:ser>
        <c:ser>
          <c:idx val="11"/>
          <c:order val="11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'Proy. ventas'!$AB$22</c:f>
              <c:numCache>
                <c:formatCode>_-"$"\ * #,##0.00_-;\-"$"\ * #,##0.00_-;_-"$"\ * "-"??_-;_-@</c:formatCode>
                <c:ptCount val="1"/>
                <c:pt idx="0">
                  <c:v>440000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FD3-43B4-A93D-AE30980A6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8273665"/>
        <c:axId val="1090301840"/>
      </c:barChart>
      <c:catAx>
        <c:axId val="168273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090301840"/>
        <c:crosses val="autoZero"/>
        <c:auto val="1"/>
        <c:lblAlgn val="ctr"/>
        <c:lblOffset val="100"/>
        <c:noMultiLvlLbl val="1"/>
      </c:catAx>
      <c:valAx>
        <c:axId val="10903018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_-&quot;$&quot;\ * #,##0.00_-;\-&quot;$&quot;\ * #,##0.00_-;_-&quot;$&quot;\ * &quot;-&quot;??_-;_-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14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682736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16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ingresos'!$C$16</c:f>
              <c:strCache>
                <c:ptCount val="1"/>
                <c:pt idx="0">
                  <c:v> Ingresos 2022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1B97-48CA-900E-621150B319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1B97-48CA-900E-621150B319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1B97-48CA-900E-621150B3198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1B97-48CA-900E-621150B3198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1B97-48CA-900E-621150B3198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1B97-48CA-900E-621150B3198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1B97-48CA-900E-621150B3198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1B97-48CA-900E-621150B31980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1B97-48CA-900E-621150B3198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1B97-48CA-900E-621150B3198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1B97-48CA-900E-621150B3198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1B97-48CA-900E-621150B319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ingresos'!$C$17:$C$19</c:f>
              <c:numCache>
                <c:formatCode>_-"$"\ * #,##0.00_-;\-"$"\ * #,##0.00_-;_-"$"\ * "-"??_-;_-@</c:formatCode>
                <c:ptCount val="3"/>
                <c:pt idx="0">
                  <c:v>3840000</c:v>
                </c:pt>
                <c:pt idx="1">
                  <c:v>9000000</c:v>
                </c:pt>
                <c:pt idx="2">
                  <c:v>9000000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B97-48CA-900E-621150B31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ingresos'!$D$16</c:f>
              <c:strCache>
                <c:ptCount val="1"/>
                <c:pt idx="0">
                  <c:v> Ingresos 2023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4C8A-4BFA-AA24-66FCD1ABEF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4C8A-4BFA-AA24-66FCD1ABEF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4C8A-4BFA-AA24-66FCD1ABEF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4C8A-4BFA-AA24-66FCD1ABEF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4C8A-4BFA-AA24-66FCD1ABEFFD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4C8A-4BFA-AA24-66FCD1ABEFFD}"/>
              </c:ext>
            </c:extLst>
          </c:dPt>
          <c:dLbls>
            <c:dLbl>
              <c:idx val="0"/>
              <c:layout>
                <c:manualLayout>
                  <c:x val="-0.15962777841175649"/>
                  <c:y val="0.1891514425962515"/>
                </c:manualLayout>
              </c:layout>
              <c:tx>
                <c:rich>
                  <a:bodyPr/>
                  <a:lstStyle/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98C82224-9041-4987-B32E-1EE6F5892CD0}" type="SERIESNAME">
                      <a:rPr lang="en-US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LA SERIE]</a:t>
                    </a:fld>
                    <a:r>
                      <a:rPr lang="en-US" baseline="0"/>
                      <a:t>, </a:t>
                    </a:r>
                  </a:p>
                  <a:p>
                    <a:pPr lvl="0">
                      <a:defRPr sz="1400" b="1" i="0">
                        <a:solidFill>
                          <a:schemeClr val="bg1"/>
                        </a:solidFill>
                        <a:latin typeface="+mn-lt"/>
                      </a:defRPr>
                    </a:pPr>
                    <a:fld id="{A7F78F13-8585-45E5-948E-F2B08B3AC221}" type="CATEGORYNAM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[NOMBRE DE CATEGORÍA]</a:t>
                    </a:fld>
                    <a:r>
                      <a:rPr lang="en-US" baseline="0"/>
                      <a:t>, </a:t>
                    </a:r>
                    <a:fld id="{4042B6F4-246D-4043-8E70-A0A9E7C7FFBD}" type="VALU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[VALOR]</a:t>
                    </a:fld>
                    <a:r>
                      <a:rPr lang="en-US" baseline="0"/>
                      <a:t>, </a:t>
                    </a:r>
                    <a:fld id="{DB5E6D10-E24C-46D0-8572-E2096E3FD91B}" type="PERCENTAGE">
                      <a:rPr lang="en-US" baseline="0"/>
                      <a:pPr lvl="0">
                        <a:defRPr sz="1400" b="1" i="0">
                          <a:solidFill>
                            <a:schemeClr val="bg1"/>
                          </a:solidFill>
                          <a:latin typeface="+mn-lt"/>
                        </a:defRPr>
                      </a:pPr>
                      <a:t>[PORCENTAJE]</a:t>
                    </a:fld>
                    <a:endParaRPr lang="en-US" baseline="0"/>
                  </a:p>
                </c:rich>
              </c:tx>
              <c:spPr/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4C8A-4BFA-AA24-66FCD1ABEFFD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4C8A-4BFA-AA24-66FCD1ABEFFD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4C8A-4BFA-AA24-66FCD1ABEFFD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C8A-4BFA-AA24-66FCD1ABEFFD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4C8A-4BFA-AA24-66FCD1ABEFFD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4C8A-4BFA-AA24-66FCD1ABEF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ingresos'!$D$17:$D$19</c:f>
              <c:numCache>
                <c:formatCode>_-"$"\ * #,##0.00_-;\-"$"\ * #,##0.00_-;_-"$"\ * "-"??_-;_-@</c:formatCode>
                <c:ptCount val="3"/>
                <c:pt idx="0">
                  <c:v>11840000</c:v>
                </c:pt>
                <c:pt idx="1">
                  <c:v>24480000</c:v>
                </c:pt>
                <c:pt idx="2">
                  <c:v>22800000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8A-4BFA-AA24-66FCD1ABE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autoTitleDeleted val="1"/>
    <c:plotArea>
      <c:layout/>
      <c:pieChart>
        <c:varyColors val="1"/>
        <c:ser>
          <c:idx val="0"/>
          <c:order val="0"/>
          <c:tx>
            <c:strRef>
              <c:f>'Mod. ingresos'!$E$16</c:f>
              <c:strCache>
                <c:ptCount val="1"/>
                <c:pt idx="0">
                  <c:v> Ingresos 2024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9D5-432C-8FA3-39C1E285CB5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39D5-432C-8FA3-39C1E285CB5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39D5-432C-8FA3-39C1E285CB5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39D5-432C-8FA3-39C1E285CB50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39D5-432C-8FA3-39C1E285CB50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B-39D5-432C-8FA3-39C1E285CB50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39D5-432C-8FA3-39C1E285CB50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39D5-432C-8FA3-39C1E285CB50}"/>
                </c:ext>
              </c:extLst>
            </c:dLbl>
            <c:dLbl>
              <c:idx val="2"/>
              <c:layout>
                <c:manualLayout>
                  <c:x val="0.21851273814653766"/>
                  <c:y val="-0.11258343634116193"/>
                </c:manualLayout>
              </c:layout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D5-432C-8FA3-39C1E285CB50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39D5-432C-8FA3-39C1E285CB50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39D5-432C-8FA3-39C1E285CB50}"/>
                </c:ext>
              </c:extLst>
            </c:dLbl>
            <c:dLbl>
              <c:idx val="5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chemeClr val="bg1"/>
                      </a:solidFill>
                      <a:latin typeface="+mn-lt"/>
                    </a:defRPr>
                  </a:pPr>
                  <a:endParaRPr lang="es-AR"/>
                </a:p>
              </c:txPr>
              <c:showLegendKey val="0"/>
              <c:showVal val="1"/>
              <c:showCatName val="1"/>
              <c:showSerName val="1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39D5-432C-8FA3-39C1E285CB5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s-AR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'Mod. ingresos'!$B$17:$B$19</c:f>
              <c:strCache>
                <c:ptCount val="3"/>
                <c:pt idx="0">
                  <c:v> Inicial</c:v>
                </c:pt>
                <c:pt idx="1">
                  <c:v> Normal</c:v>
                </c:pt>
                <c:pt idx="2">
                  <c:v> Premium</c:v>
                </c:pt>
              </c:strCache>
            </c:strRef>
          </c:cat>
          <c:val>
            <c:numRef>
              <c:f>'Mod. ingresos'!$E$17:$E$19</c:f>
              <c:numCache>
                <c:formatCode>_-"$"\ * #,##0.00_-;\-"$"\ * #,##0.00_-;_-"$"\ * "-"??_-;_-@</c:formatCode>
                <c:ptCount val="3"/>
                <c:pt idx="0">
                  <c:v>20640000</c:v>
                </c:pt>
                <c:pt idx="1">
                  <c:v>41400000</c:v>
                </c:pt>
                <c:pt idx="2">
                  <c:v>36500000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D5-432C-8FA3-39C1E285C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Modelo de egresos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Costos Fijos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egresos'!$B$9:$D$9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egresos'!$B$10:$D$10</c:f>
              <c:numCache>
                <c:formatCode>"$"\ #,##0.00</c:formatCode>
                <c:ptCount val="3"/>
                <c:pt idx="0">
                  <c:v>4754400</c:v>
                </c:pt>
                <c:pt idx="1">
                  <c:v>5522400</c:v>
                </c:pt>
                <c:pt idx="2">
                  <c:v>6290400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AFF-4FC3-9A90-B8CB9837F9AD}"/>
            </c:ext>
          </c:extLst>
        </c:ser>
        <c:ser>
          <c:idx val="1"/>
          <c:order val="1"/>
          <c:tx>
            <c:v>Costos RRHH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'Mod. egresos'!$B$9:$D$9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egresos'!$B$11:$D$11</c:f>
              <c:numCache>
                <c:formatCode>"$"\ #,##0.00</c:formatCode>
                <c:ptCount val="3"/>
                <c:pt idx="0">
                  <c:v>16778584.655999999</c:v>
                </c:pt>
                <c:pt idx="1">
                  <c:v>18678081.659600001</c:v>
                </c:pt>
                <c:pt idx="2">
                  <c:v>21934362.237200003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AFF-4FC3-9A90-B8CB9837F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1833066"/>
        <c:axId val="1973662212"/>
      </c:barChart>
      <c:catAx>
        <c:axId val="1871833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973662212"/>
        <c:crosses val="autoZero"/>
        <c:auto val="1"/>
        <c:lblAlgn val="ctr"/>
        <c:lblOffset val="100"/>
        <c:noMultiLvlLbl val="1"/>
      </c:catAx>
      <c:valAx>
        <c:axId val="19736622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87183306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c:style val="2"/>
  <c:chart>
    <c:title>
      <c:tx>
        <c:rich>
          <a:bodyPr/>
          <a:lstStyle/>
          <a:p>
            <a:pPr lvl="0">
              <a:defRPr sz="2000" b="0" i="0">
                <a:solidFill>
                  <a:srgbClr val="757575"/>
                </a:solidFill>
                <a:latin typeface="Calibri Light"/>
              </a:defRPr>
            </a:pPr>
            <a:r>
              <a:rPr lang="en-US" sz="2000" b="0" i="0">
                <a:solidFill>
                  <a:srgbClr val="757575"/>
                </a:solidFill>
                <a:latin typeface="Calibri Light"/>
              </a:rPr>
              <a:t>Ingresos vs Egresos</a:t>
            </a:r>
          </a:p>
        </c:rich>
      </c:tx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Costos totales</c:v>
          </c:tx>
          <c:spPr>
            <a:ln w="38100" cmpd="sng">
              <a:solidFill>
                <a:schemeClr val="accent1"/>
              </a:solidFill>
            </a:ln>
          </c:spPr>
          <c:marker>
            <c:symbol val="none"/>
          </c:marker>
          <c:cat>
            <c:numRef>
              <c:f>'Mod. egresos'!$B$9:$D$9</c:f>
              <c:numCache>
                <c:formatCode>General</c:formatCode>
                <c:ptCount val="3"/>
                <c:pt idx="0">
                  <c:v>2022</c:v>
                </c:pt>
                <c:pt idx="1">
                  <c:v>2023</c:v>
                </c:pt>
                <c:pt idx="2">
                  <c:v>2024</c:v>
                </c:pt>
              </c:numCache>
            </c:numRef>
          </c:cat>
          <c:val>
            <c:numRef>
              <c:f>'Mod. egresos'!$B$12:$D$12</c:f>
              <c:numCache>
                <c:formatCode>"$"\ #,##0.00</c:formatCode>
                <c:ptCount val="3"/>
                <c:pt idx="0">
                  <c:v>21535006.655999999</c:v>
                </c:pt>
                <c:pt idx="1">
                  <c:v>24202504.659600001</c:v>
                </c:pt>
                <c:pt idx="2">
                  <c:v>28226786.237200003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C-4794-B3B5-758C658C355F}"/>
            </c:ext>
          </c:extLst>
        </c:ser>
        <c:ser>
          <c:idx val="1"/>
          <c:order val="1"/>
          <c:tx>
            <c:v>ingresos totales</c:v>
          </c:tx>
          <c:marker>
            <c:symbol val="none"/>
          </c:marker>
          <c:val>
            <c:numRef>
              <c:f>'Mod. egresos'!$B$13:$D$13</c:f>
              <c:numCache>
                <c:formatCode>"$"\ #,##0.00</c:formatCode>
                <c:ptCount val="3"/>
                <c:pt idx="0">
                  <c:v>29160000</c:v>
                </c:pt>
                <c:pt idx="1">
                  <c:v>58320000</c:v>
                </c:pt>
                <c:pt idx="2">
                  <c:v>87480000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55-4E62-ABCB-FD5F2C263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8970226"/>
        <c:axId val="1558475468"/>
      </c:lineChart>
      <c:catAx>
        <c:axId val="92897022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1558475468"/>
        <c:crosses val="autoZero"/>
        <c:auto val="1"/>
        <c:lblAlgn val="ctr"/>
        <c:lblOffset val="100"/>
        <c:noMultiLvlLbl val="1"/>
      </c:catAx>
      <c:valAx>
        <c:axId val="1558475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AS"/>
              </a:p>
            </c:rich>
          </c:tx>
          <c:overlay val="0"/>
        </c:title>
        <c:numFmt formatCode="&quot;$&quot;\ 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s-AR"/>
          </a:p>
        </c:txPr>
        <c:crossAx val="928970226"/>
        <c:crosses val="autoZero"/>
        <c:crossBetween val="between"/>
      </c:valAx>
    </c:plotArea>
    <c:legend>
      <c:legendPos val="t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s-AR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4.xml"/><Relationship Id="rId5" Type="http://schemas.openxmlformats.org/officeDocument/2006/relationships/image" Target="../media/image2.png"/><Relationship Id="rId4" Type="http://schemas.openxmlformats.org/officeDocument/2006/relationships/hyperlink" Target="#'Anexo capacidad operativa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Indice!A1"/><Relationship Id="rId1" Type="http://schemas.openxmlformats.org/officeDocument/2006/relationships/hyperlink" Target="#'Proy.%20ventas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2.png"/><Relationship Id="rId4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Indice!A1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hyperlink" Target="#Indice!A1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733425</xdr:colOff>
      <xdr:row>3</xdr:row>
      <xdr:rowOff>28575</xdr:rowOff>
    </xdr:from>
    <xdr:ext cx="5619750" cy="1000125"/>
    <xdr:pic>
      <xdr:nvPicPr>
        <xdr:cNvPr id="2" name="image2.png" descr="Resultado de imagen para uai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3425" y="600075"/>
          <a:ext cx="5619750" cy="100012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371475</xdr:colOff>
      <xdr:row>20</xdr:row>
      <xdr:rowOff>19050</xdr:rowOff>
    </xdr:from>
    <xdr:to>
      <xdr:col>15</xdr:col>
      <xdr:colOff>628650</xdr:colOff>
      <xdr:row>25</xdr:row>
      <xdr:rowOff>433904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B6A0C66D-EA2E-0ADB-157B-D64F317E1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1050" y="400050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28575</xdr:colOff>
      <xdr:row>6</xdr:row>
      <xdr:rowOff>19050</xdr:rowOff>
    </xdr:from>
    <xdr:to>
      <xdr:col>13</xdr:col>
      <xdr:colOff>285750</xdr:colOff>
      <xdr:row>18</xdr:row>
      <xdr:rowOff>91004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53E788-8D1B-403C-8751-FEFE47516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7075" y="1276350"/>
          <a:ext cx="4829175" cy="2815154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314325</xdr:colOff>
      <xdr:row>18</xdr:row>
      <xdr:rowOff>47625</xdr:rowOff>
    </xdr:from>
    <xdr:ext cx="5219700" cy="38957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209550</xdr:colOff>
      <xdr:row>0</xdr:row>
      <xdr:rowOff>304800</xdr:rowOff>
    </xdr:from>
    <xdr:ext cx="1590675" cy="295275"/>
    <xdr:sp macro="" textlink="">
      <xdr:nvSpPr>
        <xdr:cNvPr id="3" name="Shape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555425" y="3637125"/>
          <a:ext cx="15811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647700</xdr:colOff>
      <xdr:row>0</xdr:row>
      <xdr:rowOff>95250</xdr:rowOff>
    </xdr:from>
    <xdr:to>
      <xdr:col>1</xdr:col>
      <xdr:colOff>857250</xdr:colOff>
      <xdr:row>0</xdr:row>
      <xdr:rowOff>661612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CC788D2-B9D8-CC34-976A-54C07F3FD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95250"/>
          <a:ext cx="971550" cy="566362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29</xdr:col>
      <xdr:colOff>495300</xdr:colOff>
      <xdr:row>50</xdr:row>
      <xdr:rowOff>0</xdr:rowOff>
    </xdr:from>
    <xdr:ext cx="10210800" cy="4562475"/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29</xdr:col>
      <xdr:colOff>361950</xdr:colOff>
      <xdr:row>80</xdr:row>
      <xdr:rowOff>38100</xdr:rowOff>
    </xdr:from>
    <xdr:ext cx="10106025" cy="4419600"/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123825</xdr:colOff>
      <xdr:row>0</xdr:row>
      <xdr:rowOff>276225</xdr:rowOff>
    </xdr:from>
    <xdr:ext cx="1638300" cy="352425"/>
    <xdr:sp macro="" textlink="">
      <xdr:nvSpPr>
        <xdr:cNvPr id="8" name="Shape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>
        <a:xfrm>
          <a:off x="4531613" y="3608550"/>
          <a:ext cx="1628775" cy="34290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oneCellAnchor>
    <xdr:from>
      <xdr:col>0</xdr:col>
      <xdr:colOff>91109</xdr:colOff>
      <xdr:row>31</xdr:row>
      <xdr:rowOff>107186</xdr:rowOff>
    </xdr:from>
    <xdr:ext cx="1358347" cy="745923"/>
    <xdr:sp macro="" textlink="">
      <xdr:nvSpPr>
        <xdr:cNvPr id="10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91109" y="11636577"/>
          <a:ext cx="1358347" cy="745923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twoCellAnchor editAs="oneCell">
    <xdr:from>
      <xdr:col>0</xdr:col>
      <xdr:colOff>96851</xdr:colOff>
      <xdr:row>0</xdr:row>
      <xdr:rowOff>115260</xdr:rowOff>
    </xdr:from>
    <xdr:to>
      <xdr:col>1</xdr:col>
      <xdr:colOff>35219</xdr:colOff>
      <xdr:row>0</xdr:row>
      <xdr:rowOff>948145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732A57F-AEDE-4D42-8B70-8D74E86A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51" y="115260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oneCellAnchor>
    <xdr:from>
      <xdr:col>0</xdr:col>
      <xdr:colOff>95227</xdr:colOff>
      <xdr:row>63</xdr:row>
      <xdr:rowOff>36540</xdr:rowOff>
    </xdr:from>
    <xdr:ext cx="1802466" cy="694765"/>
    <xdr:sp macro="" textlink="">
      <xdr:nvSpPr>
        <xdr:cNvPr id="14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57BA927-231A-4693-93B1-95C5D1EF8562}"/>
            </a:ext>
          </a:extLst>
        </xdr:cNvPr>
        <xdr:cNvSpPr/>
      </xdr:nvSpPr>
      <xdr:spPr>
        <a:xfrm>
          <a:off x="95227" y="20005910"/>
          <a:ext cx="1802466" cy="69476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0</xdr:col>
      <xdr:colOff>138100</xdr:colOff>
      <xdr:row>95</xdr:row>
      <xdr:rowOff>47745</xdr:rowOff>
    </xdr:from>
    <xdr:ext cx="1488701" cy="683560"/>
    <xdr:sp macro="" textlink="">
      <xdr:nvSpPr>
        <xdr:cNvPr id="15" name="Shape 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FD1DE1D-0320-4DB6-9F94-04C307393B2D}"/>
            </a:ext>
          </a:extLst>
        </xdr:cNvPr>
        <xdr:cNvSpPr/>
      </xdr:nvSpPr>
      <xdr:spPr>
        <a:xfrm>
          <a:off x="138100" y="28415680"/>
          <a:ext cx="1488701" cy="68356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Ver Anexo Capacidad Operativa</a:t>
          </a:r>
          <a:endParaRPr sz="1400"/>
        </a:p>
      </xdr:txBody>
    </xdr:sp>
    <xdr:clientData fLocksWithSheet="0"/>
  </xdr:oneCellAnchor>
  <xdr:oneCellAnchor>
    <xdr:from>
      <xdr:col>28</xdr:col>
      <xdr:colOff>1210236</xdr:colOff>
      <xdr:row>13</xdr:row>
      <xdr:rowOff>109259</xdr:rowOff>
    </xdr:from>
    <xdr:ext cx="10210800" cy="4562475"/>
    <xdr:graphicFrame macro="">
      <xdr:nvGraphicFramePr>
        <xdr:cNvPr id="16" name="Chart 3">
          <a:extLst>
            <a:ext uri="{FF2B5EF4-FFF2-40B4-BE49-F238E27FC236}">
              <a16:creationId xmlns:a16="http://schemas.microsoft.com/office/drawing/2014/main" id="{5BFCFAB2-AC10-464A-BC2C-53741C54D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</xdr:colOff>
      <xdr:row>0</xdr:row>
      <xdr:rowOff>314325</xdr:rowOff>
    </xdr:from>
    <xdr:ext cx="1495425" cy="295275"/>
    <xdr:sp macro="" textlink="">
      <xdr:nvSpPr>
        <xdr:cNvPr id="8" name="Shap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603050" y="3637125"/>
          <a:ext cx="148590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 Proy. ventas</a:t>
          </a:r>
          <a:endParaRPr sz="1400"/>
        </a:p>
      </xdr:txBody>
    </xdr:sp>
    <xdr:clientData fLocksWithSheet="0"/>
  </xdr:oneCellAnchor>
  <xdr:oneCellAnchor>
    <xdr:from>
      <xdr:col>1</xdr:col>
      <xdr:colOff>1200150</xdr:colOff>
      <xdr:row>0</xdr:row>
      <xdr:rowOff>323850</xdr:rowOff>
    </xdr:from>
    <xdr:ext cx="1123950" cy="295275"/>
    <xdr:sp macro="" textlink="">
      <xdr:nvSpPr>
        <xdr:cNvPr id="9" name="Shap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788788" y="3637125"/>
          <a:ext cx="11144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836544</xdr:colOff>
      <xdr:row>0</xdr:row>
      <xdr:rowOff>91108</xdr:rowOff>
    </xdr:from>
    <xdr:to>
      <xdr:col>0</xdr:col>
      <xdr:colOff>2265294</xdr:colOff>
      <xdr:row>0</xdr:row>
      <xdr:rowOff>923993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1669C4-EEAB-4900-9BC0-6EB0188B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544" y="91108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57150</xdr:colOff>
      <xdr:row>3</xdr:row>
      <xdr:rowOff>0</xdr:rowOff>
    </xdr:from>
    <xdr:ext cx="9553575" cy="5867400"/>
    <xdr:graphicFrame macro="">
      <xdr:nvGraphicFramePr>
        <xdr:cNvPr id="8" name="Chart 8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95250</xdr:colOff>
      <xdr:row>31</xdr:row>
      <xdr:rowOff>9525</xdr:rowOff>
    </xdr:from>
    <xdr:ext cx="9858375" cy="7705725"/>
    <xdr:graphicFrame macro="">
      <xdr:nvGraphicFramePr>
        <xdr:cNvPr id="9" name="Chart 9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28575</xdr:colOff>
      <xdr:row>31</xdr:row>
      <xdr:rowOff>9525</xdr:rowOff>
    </xdr:from>
    <xdr:ext cx="9572625" cy="7705725"/>
    <xdr:graphicFrame macro="">
      <xdr:nvGraphicFramePr>
        <xdr:cNvPr id="10" name="Chart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323850</xdr:colOff>
      <xdr:row>0</xdr:row>
      <xdr:rowOff>361950</xdr:rowOff>
    </xdr:from>
    <xdr:ext cx="1438275" cy="295275"/>
    <xdr:sp macro="" textlink="">
      <xdr:nvSpPr>
        <xdr:cNvPr id="2" name="Shape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4631625" y="3637125"/>
          <a:ext cx="1428750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56029</xdr:colOff>
      <xdr:row>0</xdr:row>
      <xdr:rowOff>179294</xdr:rowOff>
    </xdr:from>
    <xdr:to>
      <xdr:col>1</xdr:col>
      <xdr:colOff>1484779</xdr:colOff>
      <xdr:row>0</xdr:row>
      <xdr:rowOff>1012179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20C3FF0-EACA-42AD-92EF-1916875ED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8029" y="17929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1323975</xdr:colOff>
      <xdr:row>0</xdr:row>
      <xdr:rowOff>352425</xdr:rowOff>
    </xdr:from>
    <xdr:ext cx="1438275" cy="295275"/>
    <xdr:sp macro="" textlink="">
      <xdr:nvSpPr>
        <xdr:cNvPr id="11" name="Shap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636388" y="3637125"/>
          <a:ext cx="1419225" cy="285750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734786</xdr:colOff>
      <xdr:row>0</xdr:row>
      <xdr:rowOff>122465</xdr:rowOff>
    </xdr:from>
    <xdr:to>
      <xdr:col>1</xdr:col>
      <xdr:colOff>1401536</xdr:colOff>
      <xdr:row>0</xdr:row>
      <xdr:rowOff>955350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081943B-9A49-4D3F-8E22-85012E1BB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786" y="122465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6585858</xdr:colOff>
      <xdr:row>0</xdr:row>
      <xdr:rowOff>352425</xdr:rowOff>
    </xdr:from>
    <xdr:ext cx="2773136" cy="518432"/>
    <xdr:sp macro="" textlink="">
      <xdr:nvSpPr>
        <xdr:cNvPr id="13" name="Shap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7347858" y="352425"/>
          <a:ext cx="2773136" cy="518432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653143</xdr:colOff>
      <xdr:row>0</xdr:row>
      <xdr:rowOff>217714</xdr:rowOff>
    </xdr:from>
    <xdr:to>
      <xdr:col>1</xdr:col>
      <xdr:colOff>1319893</xdr:colOff>
      <xdr:row>0</xdr:row>
      <xdr:rowOff>1050599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0F13CF7-B240-4B11-872D-A8A8F44E3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3143" y="217714"/>
          <a:ext cx="1428750" cy="832885"/>
        </a:xfrm>
        <a:prstGeom prst="rect">
          <a:avLst/>
        </a:prstGeom>
        <a:ln w="635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14</xdr:row>
      <xdr:rowOff>19050</xdr:rowOff>
    </xdr:from>
    <xdr:ext cx="4724400" cy="2876550"/>
    <xdr:graphicFrame macro="">
      <xdr:nvGraphicFramePr>
        <xdr:cNvPr id="11" name="Chart 11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114300</xdr:colOff>
      <xdr:row>14</xdr:row>
      <xdr:rowOff>9525</xdr:rowOff>
    </xdr:from>
    <xdr:ext cx="4572000" cy="2876550"/>
    <xdr:graphicFrame macro="">
      <xdr:nvGraphicFramePr>
        <xdr:cNvPr id="12" name="Chart 1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828675</xdr:colOff>
      <xdr:row>0</xdr:row>
      <xdr:rowOff>247650</xdr:rowOff>
    </xdr:from>
    <xdr:ext cx="1876425" cy="295275"/>
    <xdr:sp macro="" textlink="">
      <xdr:nvSpPr>
        <xdr:cNvPr id="14" name="Shap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3028950" y="247650"/>
          <a:ext cx="187642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523875</xdr:colOff>
      <xdr:row>0</xdr:row>
      <xdr:rowOff>190500</xdr:rowOff>
    </xdr:from>
    <xdr:to>
      <xdr:col>1</xdr:col>
      <xdr:colOff>552450</xdr:colOff>
      <xdr:row>0</xdr:row>
      <xdr:rowOff>928688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645E07C-ED57-E442-E19E-7E398720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3875" y="190500"/>
          <a:ext cx="1209675" cy="73818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2237815</xdr:colOff>
      <xdr:row>0</xdr:row>
      <xdr:rowOff>249892</xdr:rowOff>
    </xdr:from>
    <xdr:ext cx="1400175" cy="295275"/>
    <xdr:sp macro="" textlink="">
      <xdr:nvSpPr>
        <xdr:cNvPr id="15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2999815" y="249892"/>
          <a:ext cx="1400175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437030</xdr:colOff>
      <xdr:row>0</xdr:row>
      <xdr:rowOff>145676</xdr:rowOff>
    </xdr:from>
    <xdr:to>
      <xdr:col>1</xdr:col>
      <xdr:colOff>882143</xdr:colOff>
      <xdr:row>0</xdr:row>
      <xdr:rowOff>883356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4604A3C-7F77-CAD6-6F4E-8490D39B2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030" y="145676"/>
          <a:ext cx="1207113" cy="73768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981075</xdr:colOff>
      <xdr:row>0</xdr:row>
      <xdr:rowOff>219075</xdr:rowOff>
    </xdr:from>
    <xdr:ext cx="1714500" cy="295275"/>
    <xdr:sp macro="" textlink="">
      <xdr:nvSpPr>
        <xdr:cNvPr id="16" name="Shape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10000000}"/>
            </a:ext>
          </a:extLst>
        </xdr:cNvPr>
        <xdr:cNvSpPr/>
      </xdr:nvSpPr>
      <xdr:spPr>
        <a:xfrm>
          <a:off x="3028950" y="219075"/>
          <a:ext cx="1714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714375</xdr:colOff>
      <xdr:row>0</xdr:row>
      <xdr:rowOff>104775</xdr:rowOff>
    </xdr:from>
    <xdr:to>
      <xdr:col>1</xdr:col>
      <xdr:colOff>1159488</xdr:colOff>
      <xdr:row>0</xdr:row>
      <xdr:rowOff>842455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A3528E1-7B5E-923F-D977-BC75CE49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04775"/>
          <a:ext cx="1207113" cy="73768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1543050</xdr:colOff>
      <xdr:row>0</xdr:row>
      <xdr:rowOff>228600</xdr:rowOff>
    </xdr:from>
    <xdr:ext cx="962025" cy="428625"/>
    <xdr:sp macro="" textlink="">
      <xdr:nvSpPr>
        <xdr:cNvPr id="17" name="Shap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2943225" y="228600"/>
          <a:ext cx="962025" cy="42862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1</xdr:col>
      <xdr:colOff>209550</xdr:colOff>
      <xdr:row>0</xdr:row>
      <xdr:rowOff>142875</xdr:rowOff>
    </xdr:from>
    <xdr:to>
      <xdr:col>2</xdr:col>
      <xdr:colOff>416538</xdr:colOff>
      <xdr:row>0</xdr:row>
      <xdr:rowOff>880555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1229B63-5266-31D1-4814-06E1000A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42875"/>
          <a:ext cx="1207113" cy="73768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885825</xdr:colOff>
      <xdr:row>0</xdr:row>
      <xdr:rowOff>266700</xdr:rowOff>
    </xdr:from>
    <xdr:ext cx="1333500" cy="295275"/>
    <xdr:sp macro="" textlink="">
      <xdr:nvSpPr>
        <xdr:cNvPr id="18" name="Shape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SpPr/>
      </xdr:nvSpPr>
      <xdr:spPr>
        <a:xfrm>
          <a:off x="2552700" y="266700"/>
          <a:ext cx="1333500" cy="295275"/>
        </a:xfrm>
        <a:prstGeom prst="roundRect">
          <a:avLst>
            <a:gd name="adj" fmla="val 16667"/>
          </a:avLst>
        </a:prstGeom>
        <a:solidFill>
          <a:schemeClr val="lt1"/>
        </a:solidFill>
        <a:ln w="12700" cap="flat" cmpd="sng">
          <a:solidFill>
            <a:schemeClr val="accent6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Volver al índice</a:t>
          </a:r>
          <a:endParaRPr sz="1100"/>
        </a:p>
      </xdr:txBody>
    </xdr:sp>
    <xdr:clientData fLocksWithSheet="0"/>
  </xdr:oneCellAnchor>
  <xdr:twoCellAnchor editAs="oneCell">
    <xdr:from>
      <xdr:col>0</xdr:col>
      <xdr:colOff>676275</xdr:colOff>
      <xdr:row>0</xdr:row>
      <xdr:rowOff>85725</xdr:rowOff>
    </xdr:from>
    <xdr:to>
      <xdr:col>2</xdr:col>
      <xdr:colOff>216513</xdr:colOff>
      <xdr:row>0</xdr:row>
      <xdr:rowOff>823405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2939741-DFE7-6F4A-7D72-CAAFF386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85725"/>
          <a:ext cx="1207113" cy="737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rancofazzito7@gmail.com" TargetMode="External"/><Relationship Id="rId1" Type="http://schemas.openxmlformats.org/officeDocument/2006/relationships/hyperlink" Target="mailto:cristiangentile1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2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1" Type="http://schemas.openxmlformats.org/officeDocument/2006/relationships/hyperlink" Target="https://www.mercadolibre.com.ar/notebook-dell-inspiron-3505-gris-156-amd-ryzen-5-3450u-16gb-de-ram-1tb-hdd-256gb-ssd-amd-radeon-vega-8-1366x768px-windows-10-home/p/MLA16999023" TargetMode="External"/><Relationship Id="rId5" Type="http://schemas.openxmlformats.org/officeDocument/2006/relationships/drawing" Target="../drawings/drawing10.xml"/><Relationship Id="rId4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opLeftCell="A7" workbookViewId="0">
      <selection activeCell="H13" sqref="H13"/>
    </sheetView>
  </sheetViews>
  <sheetFormatPr baseColWidth="10" defaultColWidth="12.625" defaultRowHeight="15" customHeight="1" x14ac:dyDescent="0.2"/>
  <cols>
    <col min="1" max="1" width="10" customWidth="1"/>
    <col min="2" max="2" width="11" customWidth="1"/>
    <col min="3" max="3" width="23.625" customWidth="1"/>
    <col min="4" max="4" width="10.75" customWidth="1"/>
    <col min="5" max="26" width="10" customWidth="1"/>
  </cols>
  <sheetData>
    <row r="1" spans="1:26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42" customHeight="1" x14ac:dyDescent="0.45">
      <c r="A9" s="1"/>
      <c r="B9" s="1"/>
      <c r="C9" s="2" t="s">
        <v>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33" customHeight="1" x14ac:dyDescent="0.45">
      <c r="A21" s="1"/>
      <c r="B21" s="1"/>
      <c r="C21" s="3" t="s">
        <v>1</v>
      </c>
      <c r="D21" s="4" t="s">
        <v>182</v>
      </c>
      <c r="E21" s="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41.25" customHeight="1" x14ac:dyDescent="0.45">
      <c r="A22" s="1"/>
      <c r="B22" s="1"/>
      <c r="C22" s="3" t="s">
        <v>2</v>
      </c>
      <c r="D22" s="4" t="s">
        <v>184</v>
      </c>
      <c r="E22" s="5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35.25" customHeight="1" x14ac:dyDescent="0.45">
      <c r="A23" s="1"/>
      <c r="B23" s="1"/>
      <c r="C23" s="3" t="s">
        <v>3</v>
      </c>
      <c r="D23" s="4" t="s">
        <v>4</v>
      </c>
      <c r="E23" s="5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8.75" customHeight="1" x14ac:dyDescent="0.45">
      <c r="A24" s="1"/>
      <c r="B24" s="1"/>
      <c r="C24" s="3" t="s">
        <v>5</v>
      </c>
      <c r="D24" s="4" t="s">
        <v>183</v>
      </c>
      <c r="E24" s="5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30.75" customHeight="1" x14ac:dyDescent="0.45">
      <c r="A25" s="1"/>
      <c r="B25" s="1"/>
      <c r="C25" s="3" t="s">
        <v>6</v>
      </c>
      <c r="D25" s="4" t="s">
        <v>7</v>
      </c>
      <c r="E25" s="5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 x14ac:dyDescent="0.45">
      <c r="A26" s="1"/>
      <c r="B26" s="1"/>
      <c r="C26" s="6" t="s">
        <v>8</v>
      </c>
      <c r="D26" s="157" t="s">
        <v>185</v>
      </c>
      <c r="E26" s="5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hyperlinks>
    <hyperlink ref="C26" r:id="rId1" xr:uid="{00000000-0004-0000-0000-000000000000}"/>
    <hyperlink ref="D26" r:id="rId2" xr:uid="{00000000-0004-0000-0000-000001000000}"/>
  </hyperlinks>
  <pageMargins left="0.7" right="0.7" top="0.75" bottom="0.75" header="0" footer="0"/>
  <pageSetup paperSize="9" orientation="portrait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baseColWidth="10" defaultColWidth="12.625" defaultRowHeight="15" customHeight="1" x14ac:dyDescent="0.2"/>
  <cols>
    <col min="1" max="1" width="10" customWidth="1"/>
    <col min="2" max="2" width="11.375" customWidth="1"/>
    <col min="3" max="3" width="10" customWidth="1"/>
    <col min="4" max="4" width="46.125" customWidth="1"/>
    <col min="5" max="26" width="10" customWidth="1"/>
  </cols>
  <sheetData>
    <row r="1" spans="1:26" x14ac:dyDescent="0.25">
      <c r="A1" s="8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x14ac:dyDescent="0.2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21" x14ac:dyDescent="0.35">
      <c r="A4" s="8"/>
      <c r="B4" s="8"/>
      <c r="C4" s="8"/>
      <c r="D4" s="240" t="s">
        <v>9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8" x14ac:dyDescent="0.25">
      <c r="A6" s="8"/>
      <c r="B6" s="8"/>
      <c r="C6" s="8"/>
      <c r="D6" s="344" t="s">
        <v>10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8" x14ac:dyDescent="0.25">
      <c r="A7" s="8"/>
      <c r="B7" s="8"/>
      <c r="C7" s="8"/>
      <c r="D7" s="345" t="s">
        <v>11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8" x14ac:dyDescent="0.25">
      <c r="A8" s="8"/>
      <c r="B8" s="8"/>
      <c r="C8" s="8"/>
      <c r="D8" s="345" t="s">
        <v>12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8" x14ac:dyDescent="0.25">
      <c r="A9" s="8"/>
      <c r="B9" s="8"/>
      <c r="C9" s="8"/>
      <c r="D9" s="345" t="s">
        <v>13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8" x14ac:dyDescent="0.25">
      <c r="A10" s="8"/>
      <c r="B10" s="8"/>
      <c r="C10" s="8"/>
      <c r="D10" s="345" t="s">
        <v>14</v>
      </c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8" x14ac:dyDescent="0.25">
      <c r="A11" s="8"/>
      <c r="B11" s="8"/>
      <c r="C11" s="8"/>
      <c r="D11" s="345" t="s">
        <v>15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8" x14ac:dyDescent="0.25">
      <c r="A12" s="8"/>
      <c r="B12" s="8"/>
      <c r="C12" s="8"/>
      <c r="D12" s="345" t="s">
        <v>16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8" x14ac:dyDescent="0.25">
      <c r="A13" s="8"/>
      <c r="B13" s="8"/>
      <c r="C13" s="8"/>
      <c r="D13" s="345" t="s">
        <v>17</v>
      </c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8" x14ac:dyDescent="0.25">
      <c r="A14" s="8"/>
      <c r="B14" s="8"/>
      <c r="C14" s="8"/>
      <c r="D14" s="345" t="s">
        <v>18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8" x14ac:dyDescent="0.25">
      <c r="A15" s="8"/>
      <c r="B15" s="8"/>
      <c r="C15" s="8"/>
      <c r="D15" s="345" t="s">
        <v>19</v>
      </c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8" x14ac:dyDescent="0.25">
      <c r="A16" s="8"/>
      <c r="B16" s="8"/>
      <c r="C16" s="8"/>
      <c r="D16" s="345" t="s">
        <v>20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8" x14ac:dyDescent="0.25">
      <c r="A17" s="8"/>
      <c r="B17" s="8"/>
      <c r="C17" s="8"/>
      <c r="D17" s="345" t="s">
        <v>21</v>
      </c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8" x14ac:dyDescent="0.25">
      <c r="A18" s="8"/>
      <c r="B18" s="8"/>
      <c r="C18" s="8"/>
      <c r="D18" s="345" t="s">
        <v>22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8" x14ac:dyDescent="0.25">
      <c r="A19" s="8"/>
      <c r="B19" s="8"/>
      <c r="C19" s="8"/>
      <c r="D19" s="345" t="s">
        <v>23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8" x14ac:dyDescent="0.25">
      <c r="A20" s="8"/>
      <c r="B20" s="8"/>
      <c r="C20" s="8"/>
      <c r="D20" s="346" t="s">
        <v>24</v>
      </c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 x14ac:dyDescent="0.25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 x14ac:dyDescent="0.2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 x14ac:dyDescent="0.2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 x14ac:dyDescent="0.2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 x14ac:dyDescent="0.2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 x14ac:dyDescent="0.2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 x14ac:dyDescent="0.2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 x14ac:dyDescent="0.2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 x14ac:dyDescent="0.2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 x14ac:dyDescent="0.2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 x14ac:dyDescent="0.2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 x14ac:dyDescent="0.2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 x14ac:dyDescent="0.2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 x14ac:dyDescent="0.2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 x14ac:dyDescent="0.2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 x14ac:dyDescent="0.2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 x14ac:dyDescent="0.2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 x14ac:dyDescent="0.2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 x14ac:dyDescent="0.2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 x14ac:dyDescent="0.2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 x14ac:dyDescent="0.2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 x14ac:dyDescent="0.2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 x14ac:dyDescent="0.2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 x14ac:dyDescent="0.2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 x14ac:dyDescent="0.2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 x14ac:dyDescent="0.2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 x14ac:dyDescent="0.2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 x14ac:dyDescent="0.2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 x14ac:dyDescent="0.2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 x14ac:dyDescent="0.2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 x14ac:dyDescent="0.2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 x14ac:dyDescent="0.2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 x14ac:dyDescent="0.2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 x14ac:dyDescent="0.2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 x14ac:dyDescent="0.2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 x14ac:dyDescent="0.2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 x14ac:dyDescent="0.2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 x14ac:dyDescent="0.2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 x14ac:dyDescent="0.2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 x14ac:dyDescent="0.2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 x14ac:dyDescent="0.2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 x14ac:dyDescent="0.2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 x14ac:dyDescent="0.2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 x14ac:dyDescent="0.2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 x14ac:dyDescent="0.2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 x14ac:dyDescent="0.2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 x14ac:dyDescent="0.2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 x14ac:dyDescent="0.2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 x14ac:dyDescent="0.2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 x14ac:dyDescent="0.2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 x14ac:dyDescent="0.2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 x14ac:dyDescent="0.2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 x14ac:dyDescent="0.2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 x14ac:dyDescent="0.2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 x14ac:dyDescent="0.2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 x14ac:dyDescent="0.2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 x14ac:dyDescent="0.2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 x14ac:dyDescent="0.2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 x14ac:dyDescent="0.2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 x14ac:dyDescent="0.2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 x14ac:dyDescent="0.2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 x14ac:dyDescent="0.2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 x14ac:dyDescent="0.2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 x14ac:dyDescent="0.2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 x14ac:dyDescent="0.2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 x14ac:dyDescent="0.2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 x14ac:dyDescent="0.2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 x14ac:dyDescent="0.2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 x14ac:dyDescent="0.2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 x14ac:dyDescent="0.2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 x14ac:dyDescent="0.2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 x14ac:dyDescent="0.2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 x14ac:dyDescent="0.2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 x14ac:dyDescent="0.2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 x14ac:dyDescent="0.2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 x14ac:dyDescent="0.2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 x14ac:dyDescent="0.2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 x14ac:dyDescent="0.2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 x14ac:dyDescent="0.2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 x14ac:dyDescent="0.2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 x14ac:dyDescent="0.2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 x14ac:dyDescent="0.2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 x14ac:dyDescent="0.2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 x14ac:dyDescent="0.2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 x14ac:dyDescent="0.2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 x14ac:dyDescent="0.2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 x14ac:dyDescent="0.2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 x14ac:dyDescent="0.2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 x14ac:dyDescent="0.2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 x14ac:dyDescent="0.2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 x14ac:dyDescent="0.2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 x14ac:dyDescent="0.2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 x14ac:dyDescent="0.2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 x14ac:dyDescent="0.2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 x14ac:dyDescent="0.2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 x14ac:dyDescent="0.2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 x14ac:dyDescent="0.2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 x14ac:dyDescent="0.2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 x14ac:dyDescent="0.2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 x14ac:dyDescent="0.2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 x14ac:dyDescent="0.2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 x14ac:dyDescent="0.2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 x14ac:dyDescent="0.2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 x14ac:dyDescent="0.2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 x14ac:dyDescent="0.2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 x14ac:dyDescent="0.2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 x14ac:dyDescent="0.2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 x14ac:dyDescent="0.2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 x14ac:dyDescent="0.2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 x14ac:dyDescent="0.2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 x14ac:dyDescent="0.2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 x14ac:dyDescent="0.2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 x14ac:dyDescent="0.2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 x14ac:dyDescent="0.2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 x14ac:dyDescent="0.2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 x14ac:dyDescent="0.2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 x14ac:dyDescent="0.2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 x14ac:dyDescent="0.2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 x14ac:dyDescent="0.2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 x14ac:dyDescent="0.2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 x14ac:dyDescent="0.2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 x14ac:dyDescent="0.2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 x14ac:dyDescent="0.2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 x14ac:dyDescent="0.2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 x14ac:dyDescent="0.2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 x14ac:dyDescent="0.2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 x14ac:dyDescent="0.2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 x14ac:dyDescent="0.2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 x14ac:dyDescent="0.2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 x14ac:dyDescent="0.2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 x14ac:dyDescent="0.2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 x14ac:dyDescent="0.2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 x14ac:dyDescent="0.2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 x14ac:dyDescent="0.2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 x14ac:dyDescent="0.2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 x14ac:dyDescent="0.2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 x14ac:dyDescent="0.2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 x14ac:dyDescent="0.2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 x14ac:dyDescent="0.2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 x14ac:dyDescent="0.2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 x14ac:dyDescent="0.2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 x14ac:dyDescent="0.2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 x14ac:dyDescent="0.2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 x14ac:dyDescent="0.2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 x14ac:dyDescent="0.2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 x14ac:dyDescent="0.2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 x14ac:dyDescent="0.2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 x14ac:dyDescent="0.2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 x14ac:dyDescent="0.2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 x14ac:dyDescent="0.2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 x14ac:dyDescent="0.2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 x14ac:dyDescent="0.2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 x14ac:dyDescent="0.2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 x14ac:dyDescent="0.2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 x14ac:dyDescent="0.2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 x14ac:dyDescent="0.2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 x14ac:dyDescent="0.2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 x14ac:dyDescent="0.2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 x14ac:dyDescent="0.2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 x14ac:dyDescent="0.2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 x14ac:dyDescent="0.2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 x14ac:dyDescent="0.2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 x14ac:dyDescent="0.2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 x14ac:dyDescent="0.2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 x14ac:dyDescent="0.2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 x14ac:dyDescent="0.2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 x14ac:dyDescent="0.2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 x14ac:dyDescent="0.2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 x14ac:dyDescent="0.2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 x14ac:dyDescent="0.2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 x14ac:dyDescent="0.2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 x14ac:dyDescent="0.2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 x14ac:dyDescent="0.2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 x14ac:dyDescent="0.2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 x14ac:dyDescent="0.2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 x14ac:dyDescent="0.2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 x14ac:dyDescent="0.2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 x14ac:dyDescent="0.2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 x14ac:dyDescent="0.2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 x14ac:dyDescent="0.2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 x14ac:dyDescent="0.2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 x14ac:dyDescent="0.2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 x14ac:dyDescent="0.2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 x14ac:dyDescent="0.2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 x14ac:dyDescent="0.2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 x14ac:dyDescent="0.2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 x14ac:dyDescent="0.2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 x14ac:dyDescent="0.2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 x14ac:dyDescent="0.2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 x14ac:dyDescent="0.2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 x14ac:dyDescent="0.2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 x14ac:dyDescent="0.2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 x14ac:dyDescent="0.2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 x14ac:dyDescent="0.2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 x14ac:dyDescent="0.2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 x14ac:dyDescent="0.2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 x14ac:dyDescent="0.2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 x14ac:dyDescent="0.2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 x14ac:dyDescent="0.2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 x14ac:dyDescent="0.2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 x14ac:dyDescent="0.2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 x14ac:dyDescent="0.2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 x14ac:dyDescent="0.2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 x14ac:dyDescent="0.2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 x14ac:dyDescent="0.2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 x14ac:dyDescent="0.2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 x14ac:dyDescent="0.2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 x14ac:dyDescent="0.2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 x14ac:dyDescent="0.2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 x14ac:dyDescent="0.2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 x14ac:dyDescent="0.2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 x14ac:dyDescent="0.2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 x14ac:dyDescent="0.2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 x14ac:dyDescent="0.2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 x14ac:dyDescent="0.2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 x14ac:dyDescent="0.2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 x14ac:dyDescent="0.2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 x14ac:dyDescent="0.2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 x14ac:dyDescent="0.2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 x14ac:dyDescent="0.2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 x14ac:dyDescent="0.2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 x14ac:dyDescent="0.2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 x14ac:dyDescent="0.2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 x14ac:dyDescent="0.2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 x14ac:dyDescent="0.2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 x14ac:dyDescent="0.2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 x14ac:dyDescent="0.2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 x14ac:dyDescent="0.2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 x14ac:dyDescent="0.2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 x14ac:dyDescent="0.2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 x14ac:dyDescent="0.2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 x14ac:dyDescent="0.2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 x14ac:dyDescent="0.2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 x14ac:dyDescent="0.2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 x14ac:dyDescent="0.2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 x14ac:dyDescent="0.2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 x14ac:dyDescent="0.2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 x14ac:dyDescent="0.2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 x14ac:dyDescent="0.2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 x14ac:dyDescent="0.2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 x14ac:dyDescent="0.2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 x14ac:dyDescent="0.2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 x14ac:dyDescent="0.2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 x14ac:dyDescent="0.2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 x14ac:dyDescent="0.2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 x14ac:dyDescent="0.2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 x14ac:dyDescent="0.2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 x14ac:dyDescent="0.2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 x14ac:dyDescent="0.2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 x14ac:dyDescent="0.2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 x14ac:dyDescent="0.2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 x14ac:dyDescent="0.2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 x14ac:dyDescent="0.2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 x14ac:dyDescent="0.2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 x14ac:dyDescent="0.2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 x14ac:dyDescent="0.2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 x14ac:dyDescent="0.2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 x14ac:dyDescent="0.2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 x14ac:dyDescent="0.2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 x14ac:dyDescent="0.2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 x14ac:dyDescent="0.2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 x14ac:dyDescent="0.2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 x14ac:dyDescent="0.2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 x14ac:dyDescent="0.2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 x14ac:dyDescent="0.2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 x14ac:dyDescent="0.2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 x14ac:dyDescent="0.2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 x14ac:dyDescent="0.2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 x14ac:dyDescent="0.2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 x14ac:dyDescent="0.2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 x14ac:dyDescent="0.2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 x14ac:dyDescent="0.2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 x14ac:dyDescent="0.2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 x14ac:dyDescent="0.2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 x14ac:dyDescent="0.2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 x14ac:dyDescent="0.2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 x14ac:dyDescent="0.2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 x14ac:dyDescent="0.2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 x14ac:dyDescent="0.2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 x14ac:dyDescent="0.2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 x14ac:dyDescent="0.2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 x14ac:dyDescent="0.2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 x14ac:dyDescent="0.2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 x14ac:dyDescent="0.2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 x14ac:dyDescent="0.2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 x14ac:dyDescent="0.2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 x14ac:dyDescent="0.2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 x14ac:dyDescent="0.2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 x14ac:dyDescent="0.2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 x14ac:dyDescent="0.2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 x14ac:dyDescent="0.2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 x14ac:dyDescent="0.2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 x14ac:dyDescent="0.2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 x14ac:dyDescent="0.2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 x14ac:dyDescent="0.2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 x14ac:dyDescent="0.2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 x14ac:dyDescent="0.2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 x14ac:dyDescent="0.2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 x14ac:dyDescent="0.2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 x14ac:dyDescent="0.2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 x14ac:dyDescent="0.2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 x14ac:dyDescent="0.2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 x14ac:dyDescent="0.2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 x14ac:dyDescent="0.2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 x14ac:dyDescent="0.2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 x14ac:dyDescent="0.2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 x14ac:dyDescent="0.2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 x14ac:dyDescent="0.2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 x14ac:dyDescent="0.2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 x14ac:dyDescent="0.2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 x14ac:dyDescent="0.2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 x14ac:dyDescent="0.2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 x14ac:dyDescent="0.2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 x14ac:dyDescent="0.2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 x14ac:dyDescent="0.2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 x14ac:dyDescent="0.2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 x14ac:dyDescent="0.2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 x14ac:dyDescent="0.2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 x14ac:dyDescent="0.2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 x14ac:dyDescent="0.2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 x14ac:dyDescent="0.2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 x14ac:dyDescent="0.2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 x14ac:dyDescent="0.2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 x14ac:dyDescent="0.2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 x14ac:dyDescent="0.2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 x14ac:dyDescent="0.2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 x14ac:dyDescent="0.2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 x14ac:dyDescent="0.2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 x14ac:dyDescent="0.2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 x14ac:dyDescent="0.2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 x14ac:dyDescent="0.2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 x14ac:dyDescent="0.2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 x14ac:dyDescent="0.2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 x14ac:dyDescent="0.2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 x14ac:dyDescent="0.2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 x14ac:dyDescent="0.2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 x14ac:dyDescent="0.2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 x14ac:dyDescent="0.2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 x14ac:dyDescent="0.2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 x14ac:dyDescent="0.2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 x14ac:dyDescent="0.2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 x14ac:dyDescent="0.2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 x14ac:dyDescent="0.2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 x14ac:dyDescent="0.2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 x14ac:dyDescent="0.2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 x14ac:dyDescent="0.2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 x14ac:dyDescent="0.2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 x14ac:dyDescent="0.2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 x14ac:dyDescent="0.2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 x14ac:dyDescent="0.2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 x14ac:dyDescent="0.2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 x14ac:dyDescent="0.2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 x14ac:dyDescent="0.2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 x14ac:dyDescent="0.2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 x14ac:dyDescent="0.2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 x14ac:dyDescent="0.2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 x14ac:dyDescent="0.2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 x14ac:dyDescent="0.2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 x14ac:dyDescent="0.2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 x14ac:dyDescent="0.2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 x14ac:dyDescent="0.2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 x14ac:dyDescent="0.2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 x14ac:dyDescent="0.2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 x14ac:dyDescent="0.2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 x14ac:dyDescent="0.2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 x14ac:dyDescent="0.2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 x14ac:dyDescent="0.2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 x14ac:dyDescent="0.2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 x14ac:dyDescent="0.2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 x14ac:dyDescent="0.2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 x14ac:dyDescent="0.2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 x14ac:dyDescent="0.2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 x14ac:dyDescent="0.2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 x14ac:dyDescent="0.2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 x14ac:dyDescent="0.2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 x14ac:dyDescent="0.2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 x14ac:dyDescent="0.2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 x14ac:dyDescent="0.2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 x14ac:dyDescent="0.2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 x14ac:dyDescent="0.2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 x14ac:dyDescent="0.2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 x14ac:dyDescent="0.2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 x14ac:dyDescent="0.2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 x14ac:dyDescent="0.2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 x14ac:dyDescent="0.2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 x14ac:dyDescent="0.2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 x14ac:dyDescent="0.2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 x14ac:dyDescent="0.2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 x14ac:dyDescent="0.2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 x14ac:dyDescent="0.2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 x14ac:dyDescent="0.2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 x14ac:dyDescent="0.2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 x14ac:dyDescent="0.2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 x14ac:dyDescent="0.2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 x14ac:dyDescent="0.2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 x14ac:dyDescent="0.2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 x14ac:dyDescent="0.2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 x14ac:dyDescent="0.2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 x14ac:dyDescent="0.2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 x14ac:dyDescent="0.2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 x14ac:dyDescent="0.2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 x14ac:dyDescent="0.2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 x14ac:dyDescent="0.2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 x14ac:dyDescent="0.2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 x14ac:dyDescent="0.2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 x14ac:dyDescent="0.2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 x14ac:dyDescent="0.2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 x14ac:dyDescent="0.2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 x14ac:dyDescent="0.2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 x14ac:dyDescent="0.2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 x14ac:dyDescent="0.2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 x14ac:dyDescent="0.2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 x14ac:dyDescent="0.2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 x14ac:dyDescent="0.2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 x14ac:dyDescent="0.2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 x14ac:dyDescent="0.2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 x14ac:dyDescent="0.2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 x14ac:dyDescent="0.2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 x14ac:dyDescent="0.2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 x14ac:dyDescent="0.2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 x14ac:dyDescent="0.2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 x14ac:dyDescent="0.2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 x14ac:dyDescent="0.2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 x14ac:dyDescent="0.2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 x14ac:dyDescent="0.2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 x14ac:dyDescent="0.2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 x14ac:dyDescent="0.2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 x14ac:dyDescent="0.2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 x14ac:dyDescent="0.2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 x14ac:dyDescent="0.2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 x14ac:dyDescent="0.2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 x14ac:dyDescent="0.2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 x14ac:dyDescent="0.2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 x14ac:dyDescent="0.2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 x14ac:dyDescent="0.2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 x14ac:dyDescent="0.2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 x14ac:dyDescent="0.2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 x14ac:dyDescent="0.2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 x14ac:dyDescent="0.2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 x14ac:dyDescent="0.2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 x14ac:dyDescent="0.2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 x14ac:dyDescent="0.2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 x14ac:dyDescent="0.2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 x14ac:dyDescent="0.2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 x14ac:dyDescent="0.2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 x14ac:dyDescent="0.2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 x14ac:dyDescent="0.2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 x14ac:dyDescent="0.2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 x14ac:dyDescent="0.2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 x14ac:dyDescent="0.2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 x14ac:dyDescent="0.2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 x14ac:dyDescent="0.2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 x14ac:dyDescent="0.2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 x14ac:dyDescent="0.2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 x14ac:dyDescent="0.2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 x14ac:dyDescent="0.2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 x14ac:dyDescent="0.2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 x14ac:dyDescent="0.2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 x14ac:dyDescent="0.2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 x14ac:dyDescent="0.2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 x14ac:dyDescent="0.2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 x14ac:dyDescent="0.2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 x14ac:dyDescent="0.2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 x14ac:dyDescent="0.2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 x14ac:dyDescent="0.2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 x14ac:dyDescent="0.2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 x14ac:dyDescent="0.2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 x14ac:dyDescent="0.2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 x14ac:dyDescent="0.2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 x14ac:dyDescent="0.2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 x14ac:dyDescent="0.2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 x14ac:dyDescent="0.2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 x14ac:dyDescent="0.2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 x14ac:dyDescent="0.2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 x14ac:dyDescent="0.2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 x14ac:dyDescent="0.2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 x14ac:dyDescent="0.2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 x14ac:dyDescent="0.2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 x14ac:dyDescent="0.2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 x14ac:dyDescent="0.2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 x14ac:dyDescent="0.2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 x14ac:dyDescent="0.2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 x14ac:dyDescent="0.2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 x14ac:dyDescent="0.2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 x14ac:dyDescent="0.2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 x14ac:dyDescent="0.2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 x14ac:dyDescent="0.2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 x14ac:dyDescent="0.2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 x14ac:dyDescent="0.2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 x14ac:dyDescent="0.2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 x14ac:dyDescent="0.2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 x14ac:dyDescent="0.2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 x14ac:dyDescent="0.2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 x14ac:dyDescent="0.2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 x14ac:dyDescent="0.2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 x14ac:dyDescent="0.2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 x14ac:dyDescent="0.2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 x14ac:dyDescent="0.2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 x14ac:dyDescent="0.2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 x14ac:dyDescent="0.2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 x14ac:dyDescent="0.2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 x14ac:dyDescent="0.2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 x14ac:dyDescent="0.2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 x14ac:dyDescent="0.2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 x14ac:dyDescent="0.2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 x14ac:dyDescent="0.2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 x14ac:dyDescent="0.2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 x14ac:dyDescent="0.2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 x14ac:dyDescent="0.2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 x14ac:dyDescent="0.2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 x14ac:dyDescent="0.2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 x14ac:dyDescent="0.2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 x14ac:dyDescent="0.2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 x14ac:dyDescent="0.2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 x14ac:dyDescent="0.2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 x14ac:dyDescent="0.2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 x14ac:dyDescent="0.2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 x14ac:dyDescent="0.2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 x14ac:dyDescent="0.2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 x14ac:dyDescent="0.2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 x14ac:dyDescent="0.2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 x14ac:dyDescent="0.2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 x14ac:dyDescent="0.2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 x14ac:dyDescent="0.2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 x14ac:dyDescent="0.2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 x14ac:dyDescent="0.2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 x14ac:dyDescent="0.2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 x14ac:dyDescent="0.2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 x14ac:dyDescent="0.2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 x14ac:dyDescent="0.2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 x14ac:dyDescent="0.2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 x14ac:dyDescent="0.2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 x14ac:dyDescent="0.2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 x14ac:dyDescent="0.2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 x14ac:dyDescent="0.2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 x14ac:dyDescent="0.2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 x14ac:dyDescent="0.2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 x14ac:dyDescent="0.2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 x14ac:dyDescent="0.2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 x14ac:dyDescent="0.2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 x14ac:dyDescent="0.2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 x14ac:dyDescent="0.2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 x14ac:dyDescent="0.2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 x14ac:dyDescent="0.2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 x14ac:dyDescent="0.2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 x14ac:dyDescent="0.2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 x14ac:dyDescent="0.2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 x14ac:dyDescent="0.2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 x14ac:dyDescent="0.2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 x14ac:dyDescent="0.2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 x14ac:dyDescent="0.2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 x14ac:dyDescent="0.2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 x14ac:dyDescent="0.2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 x14ac:dyDescent="0.2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 x14ac:dyDescent="0.2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 x14ac:dyDescent="0.2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 x14ac:dyDescent="0.2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 x14ac:dyDescent="0.2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 x14ac:dyDescent="0.2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 x14ac:dyDescent="0.2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 x14ac:dyDescent="0.2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 x14ac:dyDescent="0.2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 x14ac:dyDescent="0.2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 x14ac:dyDescent="0.2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 x14ac:dyDescent="0.2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 x14ac:dyDescent="0.2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 x14ac:dyDescent="0.2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 x14ac:dyDescent="0.2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 x14ac:dyDescent="0.2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 x14ac:dyDescent="0.2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 x14ac:dyDescent="0.2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 x14ac:dyDescent="0.2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 x14ac:dyDescent="0.2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 x14ac:dyDescent="0.2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 x14ac:dyDescent="0.2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 x14ac:dyDescent="0.2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 x14ac:dyDescent="0.2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 x14ac:dyDescent="0.2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 x14ac:dyDescent="0.2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 x14ac:dyDescent="0.2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 x14ac:dyDescent="0.2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 x14ac:dyDescent="0.2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 x14ac:dyDescent="0.2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 x14ac:dyDescent="0.2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 x14ac:dyDescent="0.2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 x14ac:dyDescent="0.2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 x14ac:dyDescent="0.2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 x14ac:dyDescent="0.2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 x14ac:dyDescent="0.2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 x14ac:dyDescent="0.2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 x14ac:dyDescent="0.2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 x14ac:dyDescent="0.2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 x14ac:dyDescent="0.2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 x14ac:dyDescent="0.2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 x14ac:dyDescent="0.2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 x14ac:dyDescent="0.2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 x14ac:dyDescent="0.2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 x14ac:dyDescent="0.2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 x14ac:dyDescent="0.2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 x14ac:dyDescent="0.2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 x14ac:dyDescent="0.2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 x14ac:dyDescent="0.2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 x14ac:dyDescent="0.2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 x14ac:dyDescent="0.2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 x14ac:dyDescent="0.2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 x14ac:dyDescent="0.2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 x14ac:dyDescent="0.2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 x14ac:dyDescent="0.2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 x14ac:dyDescent="0.2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 x14ac:dyDescent="0.2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 x14ac:dyDescent="0.2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 x14ac:dyDescent="0.2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 x14ac:dyDescent="0.2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 x14ac:dyDescent="0.2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 x14ac:dyDescent="0.2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 x14ac:dyDescent="0.2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 x14ac:dyDescent="0.2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 x14ac:dyDescent="0.2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 x14ac:dyDescent="0.2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 x14ac:dyDescent="0.2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 x14ac:dyDescent="0.2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 x14ac:dyDescent="0.2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 x14ac:dyDescent="0.2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 x14ac:dyDescent="0.2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 x14ac:dyDescent="0.2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 x14ac:dyDescent="0.2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 x14ac:dyDescent="0.2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 x14ac:dyDescent="0.2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 x14ac:dyDescent="0.2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 x14ac:dyDescent="0.2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 x14ac:dyDescent="0.2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 x14ac:dyDescent="0.2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 x14ac:dyDescent="0.2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 x14ac:dyDescent="0.2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 x14ac:dyDescent="0.2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 x14ac:dyDescent="0.2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 x14ac:dyDescent="0.2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 x14ac:dyDescent="0.2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 x14ac:dyDescent="0.2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 x14ac:dyDescent="0.2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 x14ac:dyDescent="0.2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 x14ac:dyDescent="0.2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 x14ac:dyDescent="0.2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 x14ac:dyDescent="0.2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 x14ac:dyDescent="0.2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 x14ac:dyDescent="0.2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 x14ac:dyDescent="0.2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 x14ac:dyDescent="0.2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 x14ac:dyDescent="0.2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 x14ac:dyDescent="0.2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 x14ac:dyDescent="0.2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 x14ac:dyDescent="0.2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 x14ac:dyDescent="0.2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 x14ac:dyDescent="0.2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 x14ac:dyDescent="0.2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 x14ac:dyDescent="0.2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 x14ac:dyDescent="0.2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 x14ac:dyDescent="0.2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 x14ac:dyDescent="0.2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 x14ac:dyDescent="0.2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 x14ac:dyDescent="0.2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 x14ac:dyDescent="0.2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 x14ac:dyDescent="0.2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 x14ac:dyDescent="0.2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 x14ac:dyDescent="0.2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 x14ac:dyDescent="0.2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 x14ac:dyDescent="0.2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 x14ac:dyDescent="0.2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 x14ac:dyDescent="0.2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 x14ac:dyDescent="0.2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 x14ac:dyDescent="0.2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 x14ac:dyDescent="0.2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 x14ac:dyDescent="0.2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 x14ac:dyDescent="0.2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 x14ac:dyDescent="0.2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 x14ac:dyDescent="0.2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 x14ac:dyDescent="0.2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 x14ac:dyDescent="0.2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 x14ac:dyDescent="0.2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 x14ac:dyDescent="0.2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 x14ac:dyDescent="0.2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 x14ac:dyDescent="0.2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 x14ac:dyDescent="0.2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 x14ac:dyDescent="0.2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 x14ac:dyDescent="0.2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 x14ac:dyDescent="0.2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 x14ac:dyDescent="0.2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 x14ac:dyDescent="0.2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 x14ac:dyDescent="0.2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 x14ac:dyDescent="0.2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 x14ac:dyDescent="0.2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 x14ac:dyDescent="0.2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 x14ac:dyDescent="0.2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 x14ac:dyDescent="0.2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 x14ac:dyDescent="0.2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 x14ac:dyDescent="0.2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 x14ac:dyDescent="0.2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 x14ac:dyDescent="0.2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 x14ac:dyDescent="0.2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 x14ac:dyDescent="0.2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 x14ac:dyDescent="0.2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 x14ac:dyDescent="0.2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 x14ac:dyDescent="0.2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 x14ac:dyDescent="0.2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 x14ac:dyDescent="0.2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 x14ac:dyDescent="0.2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 x14ac:dyDescent="0.2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 x14ac:dyDescent="0.2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 x14ac:dyDescent="0.2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 x14ac:dyDescent="0.2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 x14ac:dyDescent="0.2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 x14ac:dyDescent="0.2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 x14ac:dyDescent="0.2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 x14ac:dyDescent="0.2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 x14ac:dyDescent="0.2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 x14ac:dyDescent="0.2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 x14ac:dyDescent="0.2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 x14ac:dyDescent="0.2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 x14ac:dyDescent="0.2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 x14ac:dyDescent="0.2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 x14ac:dyDescent="0.2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 x14ac:dyDescent="0.2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 x14ac:dyDescent="0.2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 x14ac:dyDescent="0.2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 x14ac:dyDescent="0.2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 x14ac:dyDescent="0.2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 x14ac:dyDescent="0.2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 x14ac:dyDescent="0.2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 x14ac:dyDescent="0.2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 x14ac:dyDescent="0.2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 x14ac:dyDescent="0.2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 x14ac:dyDescent="0.2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 x14ac:dyDescent="0.2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 x14ac:dyDescent="0.2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 x14ac:dyDescent="0.2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 x14ac:dyDescent="0.2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 x14ac:dyDescent="0.2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 x14ac:dyDescent="0.2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 x14ac:dyDescent="0.2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 x14ac:dyDescent="0.2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 x14ac:dyDescent="0.2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 x14ac:dyDescent="0.2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 x14ac:dyDescent="0.2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 x14ac:dyDescent="0.2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 x14ac:dyDescent="0.2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 x14ac:dyDescent="0.2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 x14ac:dyDescent="0.2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 x14ac:dyDescent="0.2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 x14ac:dyDescent="0.2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 x14ac:dyDescent="0.2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 x14ac:dyDescent="0.2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 x14ac:dyDescent="0.2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 x14ac:dyDescent="0.2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 x14ac:dyDescent="0.2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 x14ac:dyDescent="0.2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 x14ac:dyDescent="0.2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 x14ac:dyDescent="0.2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 x14ac:dyDescent="0.2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 x14ac:dyDescent="0.2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 x14ac:dyDescent="0.2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 x14ac:dyDescent="0.2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 x14ac:dyDescent="0.2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 x14ac:dyDescent="0.2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 x14ac:dyDescent="0.2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 x14ac:dyDescent="0.2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 x14ac:dyDescent="0.2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 x14ac:dyDescent="0.2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 x14ac:dyDescent="0.2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 x14ac:dyDescent="0.2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 x14ac:dyDescent="0.2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 x14ac:dyDescent="0.2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 x14ac:dyDescent="0.2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 x14ac:dyDescent="0.2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 x14ac:dyDescent="0.2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 x14ac:dyDescent="0.2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 x14ac:dyDescent="0.2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 x14ac:dyDescent="0.2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 x14ac:dyDescent="0.2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 x14ac:dyDescent="0.2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 x14ac:dyDescent="0.2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 x14ac:dyDescent="0.2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 x14ac:dyDescent="0.2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 x14ac:dyDescent="0.2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 x14ac:dyDescent="0.2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 x14ac:dyDescent="0.2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 x14ac:dyDescent="0.2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 x14ac:dyDescent="0.2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 x14ac:dyDescent="0.2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 x14ac:dyDescent="0.2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 x14ac:dyDescent="0.2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 x14ac:dyDescent="0.2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 x14ac:dyDescent="0.2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 x14ac:dyDescent="0.2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 x14ac:dyDescent="0.2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 x14ac:dyDescent="0.2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 x14ac:dyDescent="0.2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 x14ac:dyDescent="0.2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 x14ac:dyDescent="0.2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 x14ac:dyDescent="0.2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 x14ac:dyDescent="0.2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 x14ac:dyDescent="0.2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 x14ac:dyDescent="0.2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 x14ac:dyDescent="0.2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 x14ac:dyDescent="0.2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 x14ac:dyDescent="0.2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 x14ac:dyDescent="0.2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 x14ac:dyDescent="0.2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 x14ac:dyDescent="0.2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 x14ac:dyDescent="0.2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 x14ac:dyDescent="0.2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 x14ac:dyDescent="0.2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 x14ac:dyDescent="0.2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 x14ac:dyDescent="0.2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 x14ac:dyDescent="0.2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 x14ac:dyDescent="0.2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 x14ac:dyDescent="0.2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 x14ac:dyDescent="0.2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 x14ac:dyDescent="0.2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 x14ac:dyDescent="0.2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 x14ac:dyDescent="0.2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 x14ac:dyDescent="0.2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 x14ac:dyDescent="0.2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 x14ac:dyDescent="0.2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 x14ac:dyDescent="0.2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 x14ac:dyDescent="0.2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 x14ac:dyDescent="0.2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 x14ac:dyDescent="0.2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 x14ac:dyDescent="0.2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 x14ac:dyDescent="0.2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 x14ac:dyDescent="0.2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 x14ac:dyDescent="0.2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 x14ac:dyDescent="0.2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 x14ac:dyDescent="0.2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 x14ac:dyDescent="0.2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 x14ac:dyDescent="0.2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 x14ac:dyDescent="0.2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 x14ac:dyDescent="0.2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 x14ac:dyDescent="0.2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 x14ac:dyDescent="0.2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 x14ac:dyDescent="0.2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 x14ac:dyDescent="0.2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 x14ac:dyDescent="0.2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 x14ac:dyDescent="0.2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 x14ac:dyDescent="0.2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 x14ac:dyDescent="0.2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 x14ac:dyDescent="0.2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 x14ac:dyDescent="0.2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 x14ac:dyDescent="0.2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 x14ac:dyDescent="0.2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 x14ac:dyDescent="0.2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 x14ac:dyDescent="0.2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 x14ac:dyDescent="0.2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 x14ac:dyDescent="0.2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 x14ac:dyDescent="0.2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 x14ac:dyDescent="0.2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 x14ac:dyDescent="0.2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 x14ac:dyDescent="0.2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 x14ac:dyDescent="0.2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 x14ac:dyDescent="0.2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 x14ac:dyDescent="0.2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 x14ac:dyDescent="0.2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 x14ac:dyDescent="0.2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 x14ac:dyDescent="0.2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 x14ac:dyDescent="0.2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 x14ac:dyDescent="0.2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 x14ac:dyDescent="0.2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 x14ac:dyDescent="0.2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 x14ac:dyDescent="0.2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 x14ac:dyDescent="0.2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 x14ac:dyDescent="0.2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 x14ac:dyDescent="0.2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 x14ac:dyDescent="0.2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 x14ac:dyDescent="0.2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 x14ac:dyDescent="0.2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 x14ac:dyDescent="0.2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 x14ac:dyDescent="0.2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 x14ac:dyDescent="0.2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 x14ac:dyDescent="0.2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 x14ac:dyDescent="0.2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 x14ac:dyDescent="0.2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 x14ac:dyDescent="0.2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 x14ac:dyDescent="0.2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 x14ac:dyDescent="0.2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 x14ac:dyDescent="0.2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 x14ac:dyDescent="0.2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 x14ac:dyDescent="0.2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 x14ac:dyDescent="0.2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 x14ac:dyDescent="0.2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 x14ac:dyDescent="0.2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 x14ac:dyDescent="0.2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 x14ac:dyDescent="0.2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 x14ac:dyDescent="0.2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 x14ac:dyDescent="0.2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 x14ac:dyDescent="0.2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 x14ac:dyDescent="0.2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 x14ac:dyDescent="0.2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 x14ac:dyDescent="0.2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 x14ac:dyDescent="0.2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 x14ac:dyDescent="0.2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 x14ac:dyDescent="0.2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 x14ac:dyDescent="0.2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 x14ac:dyDescent="0.2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 x14ac:dyDescent="0.2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 x14ac:dyDescent="0.2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 x14ac:dyDescent="0.2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 x14ac:dyDescent="0.2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 x14ac:dyDescent="0.2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 x14ac:dyDescent="0.2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 x14ac:dyDescent="0.2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 x14ac:dyDescent="0.2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 x14ac:dyDescent="0.2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 x14ac:dyDescent="0.2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 x14ac:dyDescent="0.2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 x14ac:dyDescent="0.2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 x14ac:dyDescent="0.2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 x14ac:dyDescent="0.2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 x14ac:dyDescent="0.2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 x14ac:dyDescent="0.2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 x14ac:dyDescent="0.2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 x14ac:dyDescent="0.2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 x14ac:dyDescent="0.2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 x14ac:dyDescent="0.2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 x14ac:dyDescent="0.2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 x14ac:dyDescent="0.2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 x14ac:dyDescent="0.2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 x14ac:dyDescent="0.2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 x14ac:dyDescent="0.2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 x14ac:dyDescent="0.2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 x14ac:dyDescent="0.2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 x14ac:dyDescent="0.2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 x14ac:dyDescent="0.2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 x14ac:dyDescent="0.2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 x14ac:dyDescent="0.2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 x14ac:dyDescent="0.2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 x14ac:dyDescent="0.2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 x14ac:dyDescent="0.2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 x14ac:dyDescent="0.2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 x14ac:dyDescent="0.2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 x14ac:dyDescent="0.2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 x14ac:dyDescent="0.2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 x14ac:dyDescent="0.2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 x14ac:dyDescent="0.2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 x14ac:dyDescent="0.2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 x14ac:dyDescent="0.2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 x14ac:dyDescent="0.2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 x14ac:dyDescent="0.2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 x14ac:dyDescent="0.2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 x14ac:dyDescent="0.2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 x14ac:dyDescent="0.2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 x14ac:dyDescent="0.2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 x14ac:dyDescent="0.2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 x14ac:dyDescent="0.2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 x14ac:dyDescent="0.2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 x14ac:dyDescent="0.2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 x14ac:dyDescent="0.2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 x14ac:dyDescent="0.2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 x14ac:dyDescent="0.2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 x14ac:dyDescent="0.2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 x14ac:dyDescent="0.2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 x14ac:dyDescent="0.2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 x14ac:dyDescent="0.2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 x14ac:dyDescent="0.2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 x14ac:dyDescent="0.2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 x14ac:dyDescent="0.2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 x14ac:dyDescent="0.2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 x14ac:dyDescent="0.2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 x14ac:dyDescent="0.2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 x14ac:dyDescent="0.2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 x14ac:dyDescent="0.2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 x14ac:dyDescent="0.2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 x14ac:dyDescent="0.2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 x14ac:dyDescent="0.2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 x14ac:dyDescent="0.2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 x14ac:dyDescent="0.2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 x14ac:dyDescent="0.2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 x14ac:dyDescent="0.2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 x14ac:dyDescent="0.2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 x14ac:dyDescent="0.2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hyperlinks>
    <hyperlink ref="D6" location="Hipótesis!A1" display="Hipótesis" xr:uid="{00000000-0004-0000-0100-000000000000}"/>
    <hyperlink ref="D7" location="null!A1" display="Proyección de ventas" xr:uid="{00000000-0004-0000-0100-000001000000}"/>
    <hyperlink ref="D8" location="null!A1" display="Modelo de ingresos" xr:uid="{00000000-0004-0000-0100-000002000000}"/>
    <hyperlink ref="D9" location="null!A1" display="Estructura de costos fijos" xr:uid="{00000000-0004-0000-0100-000003000000}"/>
    <hyperlink ref="D10" location="null!A1" display="Estructura de costos variables" xr:uid="{00000000-0004-0000-0100-000004000000}"/>
    <hyperlink ref="D11" location="Costos RRHH!A1" display="Estructura de costos de RRHH" xr:uid="{00000000-0004-0000-0100-000005000000}"/>
    <hyperlink ref="D12" location="null!A1" display="Modelo de egresos" xr:uid="{00000000-0004-0000-0100-000006000000}"/>
    <hyperlink ref="D13" location="null!A1" display="Modelo de inversión" xr:uid="{00000000-0004-0000-0100-000007000000}"/>
    <hyperlink ref="D14" location="Amortizaciones!A1" display="Amortizaciones" xr:uid="{00000000-0004-0000-0100-000008000000}"/>
    <hyperlink ref="D15" location="Presupuesto financiero!A1" display="Presupuesto Financiero" xr:uid="{00000000-0004-0000-0100-000009000000}"/>
    <hyperlink ref="D16" location="null!A1" display="Matriz de riesgos" xr:uid="{00000000-0004-0000-0100-00000A000000}"/>
    <hyperlink ref="D17" location="Escenario 1!A1" display="Escenario 1" xr:uid="{00000000-0004-0000-0100-00000B000000}"/>
    <hyperlink ref="D18" location="Escenario 2!A1" display="Escenario 2" xr:uid="{00000000-0004-0000-0100-00000C000000}"/>
    <hyperlink ref="D19" location="Escenario 3!A1" display="Escenario 3" xr:uid="{00000000-0004-0000-0100-00000D000000}"/>
    <hyperlink ref="D20" location="null!A1" display="Plan de contingencia" xr:uid="{00000000-0004-0000-0100-00000E000000}"/>
  </hyperlink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987"/>
  <sheetViews>
    <sheetView workbookViewId="0">
      <pane ySplit="1" topLeftCell="A28" activePane="bottomLeft" state="frozen"/>
      <selection pane="bottomLeft" activeCell="I32" sqref="B3:I32"/>
    </sheetView>
  </sheetViews>
  <sheetFormatPr baseColWidth="10" defaultColWidth="12.625" defaultRowHeight="15" customHeight="1" x14ac:dyDescent="0.2"/>
  <cols>
    <col min="1" max="1" width="10" customWidth="1"/>
    <col min="2" max="2" width="13.25" bestFit="1" customWidth="1"/>
    <col min="3" max="3" width="14.875" bestFit="1" customWidth="1"/>
    <col min="4" max="4" width="35.75" customWidth="1"/>
    <col min="5" max="5" width="25.25" bestFit="1" customWidth="1"/>
    <col min="6" max="6" width="20.125" customWidth="1"/>
    <col min="7" max="7" width="13.625" customWidth="1"/>
    <col min="8" max="12" width="10" customWidth="1"/>
    <col min="13" max="13" width="7.75" customWidth="1"/>
    <col min="14" max="14" width="72" customWidth="1"/>
    <col min="15" max="16" width="10" customWidth="1"/>
    <col min="17" max="17" width="70.125" customWidth="1"/>
    <col min="18" max="26" width="10" customWidth="1"/>
  </cols>
  <sheetData>
    <row r="1" spans="1:27" ht="58.5" customHeight="1" x14ac:dyDescent="0.25">
      <c r="A1" s="201"/>
      <c r="B1" s="201"/>
      <c r="C1" s="201"/>
      <c r="D1" s="201"/>
      <c r="E1" s="237" t="s">
        <v>10</v>
      </c>
      <c r="F1" s="238"/>
      <c r="G1" s="201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9"/>
      <c r="T1" s="9"/>
      <c r="U1" s="9"/>
      <c r="V1" s="9"/>
      <c r="W1" s="9"/>
      <c r="X1" s="9"/>
      <c r="Y1" s="9"/>
      <c r="Z1" s="9"/>
    </row>
    <row r="2" spans="1:27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7" ht="27" thickBot="1" x14ac:dyDescent="0.45">
      <c r="A3" s="1"/>
      <c r="B3" s="369" t="s">
        <v>25</v>
      </c>
      <c r="C3" s="370"/>
      <c r="D3" s="370"/>
      <c r="E3" s="370"/>
      <c r="F3" s="370"/>
      <c r="G3" s="370"/>
      <c r="H3" s="370"/>
      <c r="I3" s="37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7" ht="160.5" customHeight="1" x14ac:dyDescent="0.25">
      <c r="A4" s="1"/>
      <c r="B4" s="372" t="s">
        <v>186</v>
      </c>
      <c r="C4" s="373"/>
      <c r="D4" s="373"/>
      <c r="E4" s="373"/>
      <c r="F4" s="373"/>
      <c r="G4" s="373"/>
      <c r="H4" s="373"/>
      <c r="I4" s="374"/>
      <c r="J4" s="10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7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7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7" ht="27" thickBot="1" x14ac:dyDescent="0.45">
      <c r="A7" s="1"/>
      <c r="B7" s="369" t="s">
        <v>26</v>
      </c>
      <c r="C7" s="370"/>
      <c r="D7" s="370"/>
      <c r="E7" s="370"/>
      <c r="F7" s="370"/>
      <c r="G7" s="370"/>
      <c r="H7" s="370"/>
      <c r="I7" s="37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7" ht="173.25" customHeight="1" x14ac:dyDescent="0.25">
      <c r="A8" s="1"/>
      <c r="B8" s="375" t="s">
        <v>262</v>
      </c>
      <c r="C8" s="376"/>
      <c r="D8" s="376"/>
      <c r="E8" s="376"/>
      <c r="F8" s="376"/>
      <c r="G8" s="376"/>
      <c r="H8" s="376"/>
      <c r="I8" s="377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7" ht="18.75" x14ac:dyDescent="0.25">
      <c r="A9" s="116"/>
      <c r="B9" s="11"/>
      <c r="C9" s="11"/>
      <c r="D9" s="11"/>
      <c r="E9" s="11"/>
      <c r="F9" s="11"/>
      <c r="G9" s="11"/>
      <c r="H9" s="11"/>
      <c r="I9" s="1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7" ht="18.75" x14ac:dyDescent="0.25">
      <c r="A10" s="116"/>
      <c r="B10" s="11"/>
      <c r="C10" s="11"/>
      <c r="D10" s="11"/>
      <c r="E10" s="11"/>
      <c r="F10" s="11"/>
      <c r="G10" s="11"/>
      <c r="H10" s="11"/>
      <c r="I10" s="1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7" ht="31.5" x14ac:dyDescent="0.25">
      <c r="A11" s="170"/>
      <c r="B11" s="166" t="s">
        <v>189</v>
      </c>
      <c r="C11" s="166" t="s">
        <v>187</v>
      </c>
      <c r="D11" s="166" t="s">
        <v>188</v>
      </c>
      <c r="E11" s="166" t="s">
        <v>31</v>
      </c>
      <c r="F11" s="11"/>
      <c r="G11" s="11"/>
      <c r="H11" s="11"/>
      <c r="I11" s="11"/>
      <c r="J11" s="1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27" ht="21" customHeight="1" x14ac:dyDescent="0.25">
      <c r="A12" s="170"/>
      <c r="B12" s="167">
        <v>270</v>
      </c>
      <c r="C12" s="168">
        <v>90000</v>
      </c>
      <c r="D12" s="168">
        <f>C12*12</f>
        <v>1080000</v>
      </c>
      <c r="E12" s="169">
        <f>B12*D12</f>
        <v>291600000</v>
      </c>
      <c r="F12" s="161"/>
      <c r="G12" s="161"/>
      <c r="H12" s="161"/>
      <c r="I12" s="161"/>
      <c r="J12" s="161"/>
      <c r="K12" s="116"/>
      <c r="L12" s="116"/>
      <c r="M12" s="116"/>
      <c r="N12" s="116"/>
      <c r="O12" s="162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  <c r="AA12" s="116"/>
    </row>
    <row r="13" spans="1:27" ht="21" customHeight="1" x14ac:dyDescent="0.25">
      <c r="A13" s="116"/>
      <c r="B13" s="163"/>
      <c r="C13" s="164"/>
      <c r="D13" s="165"/>
      <c r="E13" s="161"/>
      <c r="F13" s="161"/>
      <c r="G13" s="161"/>
      <c r="H13" s="161"/>
      <c r="I13" s="161"/>
      <c r="J13" s="116"/>
      <c r="K13" s="116"/>
      <c r="L13" s="116"/>
      <c r="M13" s="116"/>
      <c r="N13" s="162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7" ht="12" customHeight="1" x14ac:dyDescent="0.25">
      <c r="A14" s="1"/>
      <c r="B14" s="11"/>
      <c r="C14" s="11"/>
      <c r="D14" s="11"/>
      <c r="E14" s="11"/>
      <c r="F14" s="11"/>
      <c r="G14" s="11"/>
      <c r="H14" s="11"/>
      <c r="I14" s="11"/>
      <c r="J14" s="1"/>
      <c r="K14" s="1"/>
      <c r="L14" s="1"/>
      <c r="M14" s="1"/>
      <c r="N14" s="12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7" ht="12.75" customHeight="1" thickBo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2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7" ht="27" thickBot="1" x14ac:dyDescent="0.45">
      <c r="A16" s="1"/>
      <c r="B16" s="378" t="s">
        <v>27</v>
      </c>
      <c r="C16" s="379"/>
      <c r="D16" s="379"/>
      <c r="E16" s="379"/>
      <c r="F16" s="379"/>
      <c r="G16" s="379"/>
      <c r="H16" s="379"/>
      <c r="I16" s="380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54.75" customHeight="1" x14ac:dyDescent="0.25">
      <c r="A17" s="1"/>
      <c r="B17" s="381" t="s">
        <v>264</v>
      </c>
      <c r="C17" s="382"/>
      <c r="D17" s="382"/>
      <c r="E17" s="382"/>
      <c r="F17" s="382"/>
      <c r="G17" s="382"/>
      <c r="H17" s="382"/>
      <c r="I17" s="383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x14ac:dyDescent="0.25">
      <c r="A19" s="1"/>
      <c r="B19" s="1"/>
      <c r="C19" s="1"/>
      <c r="D19" s="1"/>
      <c r="E19" s="13"/>
      <c r="F19" s="13"/>
      <c r="G19" s="13"/>
      <c r="H19" s="13"/>
      <c r="I19" s="13"/>
      <c r="J19" s="13"/>
      <c r="K19" s="13"/>
      <c r="L19" s="13"/>
      <c r="M19" s="13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x14ac:dyDescent="0.25">
      <c r="A20" s="1"/>
      <c r="B20" s="1"/>
      <c r="C20" s="1"/>
      <c r="D20" s="1"/>
      <c r="E20" s="13"/>
      <c r="F20" s="13"/>
      <c r="G20" s="13"/>
      <c r="H20" s="13"/>
      <c r="I20" s="13"/>
      <c r="J20" s="13"/>
      <c r="K20" s="13"/>
      <c r="L20" s="13"/>
      <c r="M20" s="13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x14ac:dyDescent="0.25">
      <c r="A21" s="1"/>
      <c r="B21" s="1"/>
      <c r="C21" s="1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thickBot="1" x14ac:dyDescent="0.3">
      <c r="A22" s="1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6.25" customHeight="1" thickBot="1" x14ac:dyDescent="0.45">
      <c r="A23" s="1"/>
      <c r="B23" s="384" t="s">
        <v>28</v>
      </c>
      <c r="C23" s="385"/>
      <c r="D23" s="386"/>
      <c r="E23" s="13"/>
      <c r="F23" s="13"/>
      <c r="G23" s="13"/>
      <c r="H23" s="13"/>
      <c r="I23" s="13"/>
      <c r="J23" s="13"/>
      <c r="K23" s="13"/>
      <c r="L23" s="13"/>
      <c r="M23" s="13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59" t="s">
        <v>29</v>
      </c>
      <c r="C24" s="159" t="s">
        <v>30</v>
      </c>
      <c r="D24" s="160" t="s">
        <v>31</v>
      </c>
      <c r="E24" s="13"/>
      <c r="F24" s="13"/>
      <c r="G24" s="13"/>
      <c r="H24" s="13"/>
      <c r="I24" s="13"/>
      <c r="J24" s="13"/>
      <c r="K24" s="13"/>
      <c r="L24" s="13"/>
      <c r="M24" s="13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>
        <v>2022</v>
      </c>
      <c r="C25" s="15">
        <v>0.1</v>
      </c>
      <c r="D25" s="16">
        <f>C25*$E$12</f>
        <v>29160000</v>
      </c>
      <c r="E25" s="13"/>
      <c r="F25" s="13"/>
      <c r="G25" s="13"/>
      <c r="H25" s="13"/>
      <c r="I25" s="13"/>
      <c r="J25" s="13"/>
      <c r="K25" s="13"/>
      <c r="L25" s="13"/>
      <c r="M25" s="13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>
        <v>2023</v>
      </c>
      <c r="C26" s="15">
        <v>0.2</v>
      </c>
      <c r="D26" s="16">
        <f t="shared" ref="D26:D27" si="0">C26*$E$12</f>
        <v>58320000</v>
      </c>
      <c r="E26" s="13"/>
      <c r="F26" s="13"/>
      <c r="G26" s="13"/>
      <c r="H26" s="13"/>
      <c r="I26" s="13"/>
      <c r="J26" s="13"/>
      <c r="K26" s="13"/>
      <c r="L26" s="13"/>
      <c r="M26" s="13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>
        <v>2024</v>
      </c>
      <c r="C27" s="15">
        <v>0.3</v>
      </c>
      <c r="D27" s="16">
        <f t="shared" si="0"/>
        <v>87480000</v>
      </c>
      <c r="E27" s="13"/>
      <c r="F27" s="13"/>
      <c r="G27" s="13"/>
      <c r="H27" s="13"/>
      <c r="I27" s="13"/>
      <c r="J27" s="13"/>
      <c r="K27" s="13"/>
      <c r="L27" s="13"/>
      <c r="M27" s="13"/>
      <c r="N27" s="1"/>
      <c r="O27" s="1"/>
      <c r="P27" s="1"/>
      <c r="Q27" s="1"/>
      <c r="R27" s="1"/>
      <c r="S27" s="1"/>
      <c r="T27" s="1"/>
      <c r="U27" s="1"/>
      <c r="V27" s="1"/>
    </row>
    <row r="28" spans="1:26" ht="108" customHeight="1" x14ac:dyDescent="0.25">
      <c r="A28" s="1"/>
      <c r="B28" s="13"/>
      <c r="C28" s="17"/>
      <c r="D28" s="18"/>
      <c r="E28" s="13"/>
      <c r="F28" s="13"/>
      <c r="G28" s="13"/>
      <c r="H28" s="13"/>
      <c r="I28" s="13"/>
      <c r="J28" s="13"/>
      <c r="K28" s="13"/>
      <c r="L28" s="13"/>
      <c r="M28" s="13"/>
      <c r="N28" s="1"/>
      <c r="O28" s="1"/>
      <c r="P28" s="1"/>
      <c r="Q28" s="1"/>
      <c r="R28" s="1"/>
      <c r="S28" s="1"/>
      <c r="T28" s="1"/>
      <c r="U28" s="1"/>
      <c r="V28" s="1"/>
    </row>
    <row r="29" spans="1:26" ht="15.75" customHeight="1" x14ac:dyDescent="0.25">
      <c r="A29" s="1"/>
      <c r="B29" s="13"/>
      <c r="C29" s="17"/>
      <c r="D29" s="18"/>
      <c r="E29" s="13"/>
      <c r="F29" s="13"/>
      <c r="G29" s="13"/>
      <c r="H29" s="13"/>
      <c r="I29" s="13"/>
      <c r="J29" s="13"/>
      <c r="K29" s="13"/>
      <c r="L29" s="13"/>
      <c r="M29" s="13"/>
      <c r="N29" s="1"/>
      <c r="O29" s="1"/>
      <c r="P29" s="1"/>
      <c r="Q29" s="1"/>
      <c r="R29" s="1"/>
      <c r="S29" s="1"/>
      <c r="T29" s="1"/>
      <c r="U29" s="1"/>
      <c r="V29" s="1"/>
    </row>
    <row r="30" spans="1:26" ht="15.75" customHeight="1" x14ac:dyDescent="0.25">
      <c r="A30" s="1"/>
      <c r="B30" s="19"/>
      <c r="C30" s="17"/>
      <c r="D30" s="18"/>
      <c r="E30" s="13"/>
      <c r="F30" s="13"/>
      <c r="G30" s="13"/>
      <c r="H30" s="13"/>
      <c r="I30" s="13"/>
      <c r="J30" s="13"/>
      <c r="K30" s="13"/>
      <c r="L30" s="13"/>
      <c r="M30" s="13"/>
      <c r="N30" s="1"/>
      <c r="O30" s="1"/>
      <c r="P30" s="1"/>
      <c r="Q30" s="1"/>
      <c r="R30" s="1"/>
      <c r="S30" s="1"/>
      <c r="T30" s="1"/>
      <c r="U30" s="1"/>
      <c r="V30" s="1"/>
    </row>
    <row r="31" spans="1:26" ht="15.75" customHeight="1" x14ac:dyDescent="0.25">
      <c r="A31" s="1"/>
      <c r="B31" s="13"/>
      <c r="C31" s="17"/>
      <c r="D31" s="18"/>
      <c r="E31" s="13"/>
      <c r="F31" s="13"/>
      <c r="G31" s="13"/>
      <c r="H31" s="13"/>
      <c r="I31" s="13"/>
      <c r="J31" s="13"/>
      <c r="K31" s="13"/>
      <c r="L31" s="13"/>
      <c r="M31" s="13"/>
      <c r="N31" s="1"/>
      <c r="O31" s="1"/>
      <c r="P31" s="1"/>
      <c r="Q31" s="1"/>
      <c r="R31" s="1"/>
      <c r="S31" s="1"/>
      <c r="T31" s="1"/>
      <c r="U31" s="1"/>
      <c r="V31" s="1"/>
    </row>
    <row r="32" spans="1:26" ht="15.75" customHeight="1" x14ac:dyDescent="0.25">
      <c r="A32" s="1"/>
      <c r="B32" s="13"/>
      <c r="C32" s="17"/>
      <c r="D32" s="18"/>
      <c r="E32" s="13"/>
      <c r="F32" s="13"/>
      <c r="G32" s="13"/>
      <c r="H32" s="13"/>
      <c r="I32" s="13"/>
      <c r="J32" s="13"/>
      <c r="K32" s="13"/>
      <c r="L32" s="13"/>
      <c r="M32" s="13"/>
      <c r="N32" s="1"/>
      <c r="O32" s="1"/>
      <c r="P32" s="1"/>
      <c r="Q32" s="1"/>
      <c r="R32" s="1"/>
      <c r="S32" s="1"/>
      <c r="T32" s="1"/>
      <c r="U32" s="1"/>
      <c r="V32" s="1"/>
    </row>
    <row r="33" spans="1:26" ht="15.75" customHeight="1" x14ac:dyDescent="0.25">
      <c r="A33" s="1"/>
      <c r="B33" s="13"/>
      <c r="C33" s="13"/>
      <c r="D33" s="13"/>
      <c r="E33" s="13"/>
      <c r="F33" s="1"/>
      <c r="G33" s="13"/>
      <c r="H33" s="13"/>
      <c r="I33" s="13"/>
      <c r="J33" s="13"/>
      <c r="K33" s="13"/>
      <c r="L33" s="13"/>
      <c r="M33" s="13"/>
      <c r="N33" s="1"/>
      <c r="O33" s="1"/>
      <c r="P33" s="1"/>
      <c r="Q33" s="1"/>
      <c r="R33" s="1"/>
      <c r="S33" s="1"/>
      <c r="T33" s="1"/>
      <c r="U33" s="1"/>
      <c r="V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4" customHeight="1" x14ac:dyDescent="0.4">
      <c r="A35" s="1"/>
      <c r="B35" s="387" t="s">
        <v>32</v>
      </c>
      <c r="C35" s="388"/>
      <c r="D35" s="388"/>
      <c r="E35" s="389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thickBot="1" x14ac:dyDescent="0.3">
      <c r="A36" s="1"/>
      <c r="B36" s="171" t="s">
        <v>33</v>
      </c>
      <c r="C36" s="172" t="s">
        <v>34</v>
      </c>
      <c r="D36" s="390" t="s">
        <v>35</v>
      </c>
      <c r="E36" s="39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84.75" customHeight="1" thickBot="1" x14ac:dyDescent="0.3">
      <c r="A37" s="1"/>
      <c r="B37" s="185" t="s">
        <v>190</v>
      </c>
      <c r="C37" s="236">
        <v>80000</v>
      </c>
      <c r="D37" s="392" t="s">
        <v>252</v>
      </c>
      <c r="E37" s="393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40.25" customHeight="1" thickBot="1" x14ac:dyDescent="0.3">
      <c r="A38" s="1"/>
      <c r="B38" s="173" t="s">
        <v>191</v>
      </c>
      <c r="C38" s="174">
        <v>90000</v>
      </c>
      <c r="D38" s="394" t="s">
        <v>251</v>
      </c>
      <c r="E38" s="395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68.75" customHeight="1" x14ac:dyDescent="0.25">
      <c r="A39" s="1"/>
      <c r="B39" s="175" t="s">
        <v>36</v>
      </c>
      <c r="C39" s="176">
        <v>100000</v>
      </c>
      <c r="D39" s="367" t="s">
        <v>253</v>
      </c>
      <c r="E39" s="368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</sheetData>
  <mergeCells count="12">
    <mergeCell ref="D39:E39"/>
    <mergeCell ref="B3:I3"/>
    <mergeCell ref="B4:I4"/>
    <mergeCell ref="B7:I7"/>
    <mergeCell ref="B8:I8"/>
    <mergeCell ref="B16:I16"/>
    <mergeCell ref="B17:I17"/>
    <mergeCell ref="B23:D23"/>
    <mergeCell ref="B35:E35"/>
    <mergeCell ref="D36:E36"/>
    <mergeCell ref="D37:E37"/>
    <mergeCell ref="D38:E38"/>
  </mergeCells>
  <pageMargins left="0.7" right="0.7" top="0.75" bottom="0.75" header="0" footer="0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G972"/>
  <sheetViews>
    <sheetView zoomScale="85" zoomScaleNormal="85" workbookViewId="0">
      <pane xSplit="2" ySplit="1" topLeftCell="C87" activePane="bottomRight" state="frozen"/>
      <selection pane="topRight" activeCell="C1" sqref="C1"/>
      <selection pane="bottomLeft" activeCell="A2" sqref="A2"/>
      <selection pane="bottomRight" activeCell="AN102" sqref="AN102"/>
    </sheetView>
  </sheetViews>
  <sheetFormatPr baseColWidth="10" defaultColWidth="15.625" defaultRowHeight="15" customHeight="1" x14ac:dyDescent="0.2"/>
  <cols>
    <col min="1" max="1" width="19.5" bestFit="1" customWidth="1"/>
    <col min="2" max="2" width="41.5" customWidth="1"/>
    <col min="3" max="3" width="40.375" customWidth="1"/>
    <col min="4" max="4" width="24.875" bestFit="1" customWidth="1"/>
    <col min="5" max="5" width="7.75" bestFit="1" customWidth="1"/>
    <col min="6" max="6" width="14.625" bestFit="1" customWidth="1"/>
    <col min="7" max="7" width="7.75" bestFit="1" customWidth="1"/>
    <col min="8" max="8" width="15.5" customWidth="1"/>
    <col min="9" max="9" width="7.75" bestFit="1" customWidth="1"/>
    <col min="10" max="10" width="16.5" customWidth="1"/>
    <col min="11" max="11" width="7.75" bestFit="1" customWidth="1"/>
    <col min="12" max="12" width="14.625" bestFit="1" customWidth="1"/>
    <col min="13" max="13" width="7.75" bestFit="1" customWidth="1"/>
    <col min="14" max="14" width="14.875" customWidth="1"/>
    <col min="15" max="15" width="7.75" bestFit="1" customWidth="1"/>
    <col min="16" max="16" width="15.625" customWidth="1"/>
    <col min="17" max="17" width="7.75" bestFit="1" customWidth="1"/>
    <col min="18" max="18" width="14.375" customWidth="1"/>
    <col min="19" max="19" width="7.75" bestFit="1" customWidth="1"/>
    <col min="20" max="20" width="16.25" customWidth="1"/>
    <col min="21" max="21" width="7.75" customWidth="1"/>
    <col min="22" max="22" width="16" customWidth="1"/>
    <col min="23" max="23" width="7.75" customWidth="1"/>
    <col min="24" max="24" width="15.375" customWidth="1"/>
    <col min="25" max="25" width="7.75" bestFit="1" customWidth="1"/>
    <col min="26" max="26" width="15.75" customWidth="1"/>
    <col min="27" max="27" width="7.75" customWidth="1"/>
    <col min="28" max="28" width="15.875" customWidth="1"/>
    <col min="29" max="29" width="16.375" customWidth="1"/>
    <col min="30" max="48" width="10" customWidth="1"/>
  </cols>
  <sheetData>
    <row r="1" spans="1:43" ht="84.75" customHeight="1" x14ac:dyDescent="0.25">
      <c r="A1" s="177"/>
      <c r="B1" s="178"/>
      <c r="C1" s="430" t="s">
        <v>11</v>
      </c>
      <c r="D1" s="431"/>
      <c r="E1" s="431"/>
      <c r="F1" s="432"/>
      <c r="G1" s="177"/>
      <c r="H1" s="177"/>
      <c r="I1" s="179"/>
      <c r="J1" s="179"/>
      <c r="K1" s="177"/>
      <c r="L1" s="177"/>
      <c r="M1" s="177"/>
      <c r="N1" s="177"/>
      <c r="O1" s="177"/>
      <c r="P1" s="177"/>
      <c r="Q1" s="177"/>
      <c r="R1" s="177"/>
      <c r="S1" s="177"/>
      <c r="T1" s="177"/>
      <c r="U1" s="177"/>
      <c r="V1" s="177"/>
      <c r="W1" s="177"/>
      <c r="X1" s="177"/>
      <c r="Y1" s="177"/>
      <c r="Z1" s="177"/>
      <c r="AA1" s="177"/>
      <c r="AB1" s="177"/>
      <c r="AC1" s="177"/>
      <c r="AD1" s="177"/>
      <c r="AE1" s="177"/>
      <c r="AF1" s="177"/>
      <c r="AG1" s="177"/>
      <c r="AH1" s="177"/>
      <c r="AI1" s="177"/>
      <c r="AJ1" s="177"/>
      <c r="AK1" s="177"/>
      <c r="AL1" s="177"/>
      <c r="AM1" s="177"/>
      <c r="AN1" s="177"/>
      <c r="AO1" s="177"/>
      <c r="AP1" s="177"/>
      <c r="AQ1" s="177"/>
    </row>
    <row r="2" spans="1:43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</row>
    <row r="3" spans="1:43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</row>
    <row r="4" spans="1:43" ht="15.75" thickBot="1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</row>
    <row r="5" spans="1:43" ht="27" thickBot="1" x14ac:dyDescent="0.45">
      <c r="A5" s="1"/>
      <c r="B5" s="433" t="s">
        <v>37</v>
      </c>
      <c r="C5" s="434"/>
      <c r="D5" s="435"/>
      <c r="E5" s="1"/>
      <c r="F5" s="487" t="s">
        <v>38</v>
      </c>
      <c r="G5" s="488"/>
      <c r="H5" s="488"/>
      <c r="I5" s="488"/>
      <c r="J5" s="488"/>
      <c r="K5" s="489"/>
      <c r="L5" s="21"/>
      <c r="M5" s="21"/>
      <c r="N5" s="21"/>
      <c r="O5" s="2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3" ht="30" customHeight="1" x14ac:dyDescent="0.25">
      <c r="A6" s="22"/>
      <c r="B6" s="198">
        <v>2022</v>
      </c>
      <c r="C6" s="199">
        <v>2023</v>
      </c>
      <c r="D6" s="200">
        <v>2024</v>
      </c>
      <c r="E6" s="1"/>
      <c r="F6" s="490" t="s">
        <v>218</v>
      </c>
      <c r="G6" s="491"/>
      <c r="H6" s="491"/>
      <c r="I6" s="491"/>
      <c r="J6" s="491"/>
      <c r="K6" s="492"/>
      <c r="L6" s="23"/>
      <c r="M6" s="23"/>
      <c r="N6" s="23"/>
      <c r="O6" s="23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3" x14ac:dyDescent="0.25">
      <c r="A7" s="22"/>
      <c r="B7" s="24">
        <f>Hipótesis!C25</f>
        <v>0.1</v>
      </c>
      <c r="C7" s="25">
        <f>Hipótesis!C26</f>
        <v>0.2</v>
      </c>
      <c r="D7" s="26">
        <f>Hipótesis!C27</f>
        <v>0.3</v>
      </c>
      <c r="E7" s="1"/>
      <c r="F7" s="493"/>
      <c r="G7" s="494"/>
      <c r="H7" s="494"/>
      <c r="I7" s="494"/>
      <c r="J7" s="494"/>
      <c r="K7" s="495"/>
      <c r="L7" s="23"/>
      <c r="M7" s="23"/>
      <c r="N7" s="23"/>
      <c r="O7" s="23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43" ht="15.75" thickBot="1" x14ac:dyDescent="0.3">
      <c r="A8" s="22"/>
      <c r="B8" s="27">
        <f>Hipótesis!D25</f>
        <v>29160000</v>
      </c>
      <c r="C8" s="28">
        <f>Hipótesis!D26</f>
        <v>58320000</v>
      </c>
      <c r="D8" s="29">
        <f>Hipótesis!D27</f>
        <v>87480000</v>
      </c>
      <c r="E8" s="1"/>
      <c r="F8" s="493"/>
      <c r="G8" s="494"/>
      <c r="H8" s="494"/>
      <c r="I8" s="494"/>
      <c r="J8" s="494"/>
      <c r="K8" s="495"/>
      <c r="L8" s="23"/>
      <c r="M8" s="23"/>
      <c r="N8" s="23"/>
      <c r="O8" s="23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43" x14ac:dyDescent="0.25">
      <c r="A9" s="1"/>
      <c r="B9" s="1"/>
      <c r="C9" s="1"/>
      <c r="D9" s="1"/>
      <c r="E9" s="1"/>
      <c r="F9" s="493"/>
      <c r="G9" s="494"/>
      <c r="H9" s="494"/>
      <c r="I9" s="494"/>
      <c r="J9" s="494"/>
      <c r="K9" s="495"/>
      <c r="L9" s="23"/>
      <c r="M9" s="23"/>
      <c r="N9" s="23"/>
      <c r="O9" s="23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43" x14ac:dyDescent="0.25">
      <c r="A10" s="1" t="s">
        <v>39</v>
      </c>
      <c r="B10" s="1"/>
      <c r="C10" s="1"/>
      <c r="D10" s="1"/>
      <c r="E10" s="1"/>
      <c r="F10" s="493"/>
      <c r="G10" s="494"/>
      <c r="H10" s="494"/>
      <c r="I10" s="494"/>
      <c r="J10" s="494"/>
      <c r="K10" s="495"/>
      <c r="L10" s="23"/>
      <c r="M10" s="23"/>
      <c r="N10" s="23"/>
      <c r="O10" s="23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43" x14ac:dyDescent="0.25">
      <c r="A11" s="1"/>
      <c r="B11" s="1"/>
      <c r="C11" s="1"/>
      <c r="D11" s="1"/>
      <c r="E11" s="1"/>
      <c r="F11" s="493"/>
      <c r="G11" s="494"/>
      <c r="H11" s="494"/>
      <c r="I11" s="494"/>
      <c r="J11" s="494"/>
      <c r="K11" s="495"/>
      <c r="L11" s="23"/>
      <c r="M11" s="23"/>
      <c r="N11" s="23"/>
      <c r="O11" s="23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  <row r="12" spans="1:43" ht="158.25" customHeight="1" thickBot="1" x14ac:dyDescent="0.3">
      <c r="A12" s="1"/>
      <c r="B12" s="1"/>
      <c r="C12" s="1"/>
      <c r="D12" s="1"/>
      <c r="E12" s="1"/>
      <c r="F12" s="496"/>
      <c r="G12" s="497"/>
      <c r="H12" s="497"/>
      <c r="I12" s="497"/>
      <c r="J12" s="497"/>
      <c r="K12" s="498"/>
      <c r="L12" s="23"/>
      <c r="M12" s="23"/>
      <c r="N12" s="23"/>
      <c r="O12" s="23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</row>
    <row r="13" spans="1:43" ht="18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</row>
    <row r="14" spans="1:43" ht="10.5" customHeight="1" thickBot="1" x14ac:dyDescent="0.3">
      <c r="A14" s="126"/>
      <c r="B14" s="126"/>
      <c r="C14" s="126"/>
      <c r="D14" s="126"/>
      <c r="E14" s="126"/>
      <c r="F14" s="126"/>
      <c r="G14" s="126"/>
      <c r="H14" s="126"/>
      <c r="I14" s="126"/>
      <c r="J14" s="126"/>
      <c r="K14" s="126"/>
      <c r="L14" s="126"/>
      <c r="M14" s="126"/>
      <c r="N14" s="126"/>
      <c r="O14" s="126"/>
      <c r="P14" s="126"/>
      <c r="Q14" s="126"/>
      <c r="R14" s="126"/>
      <c r="S14" s="126"/>
      <c r="T14" s="126"/>
      <c r="U14" s="126"/>
      <c r="V14" s="126"/>
      <c r="W14" s="126"/>
      <c r="X14" s="126"/>
      <c r="Y14" s="126"/>
      <c r="Z14" s="126"/>
      <c r="AA14" s="126"/>
      <c r="AB14" s="126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</row>
    <row r="15" spans="1:43" ht="25.5" customHeight="1" thickBot="1" x14ac:dyDescent="0.3">
      <c r="A15" s="436" t="s">
        <v>71</v>
      </c>
      <c r="B15" s="437"/>
      <c r="C15" s="437"/>
      <c r="D15" s="437"/>
      <c r="E15" s="437"/>
      <c r="F15" s="437"/>
      <c r="G15" s="437"/>
      <c r="H15" s="437"/>
      <c r="I15" s="437"/>
      <c r="J15" s="437"/>
      <c r="K15" s="437"/>
      <c r="L15" s="437"/>
      <c r="M15" s="437"/>
      <c r="N15" s="437"/>
      <c r="O15" s="437"/>
      <c r="P15" s="437"/>
      <c r="Q15" s="437"/>
      <c r="R15" s="437"/>
      <c r="S15" s="437"/>
      <c r="T15" s="437"/>
      <c r="U15" s="437"/>
      <c r="V15" s="437"/>
      <c r="W15" s="437"/>
      <c r="X15" s="437"/>
      <c r="Y15" s="437"/>
      <c r="Z15" s="437"/>
      <c r="AA15" s="437"/>
      <c r="AB15" s="437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</row>
    <row r="16" spans="1:43" ht="15.75" thickBot="1" x14ac:dyDescent="0.3">
      <c r="A16" s="438" t="s">
        <v>192</v>
      </c>
      <c r="B16" s="438" t="s">
        <v>34</v>
      </c>
      <c r="C16" s="440" t="s">
        <v>40</v>
      </c>
      <c r="D16" s="428"/>
      <c r="E16" s="439" t="s">
        <v>41</v>
      </c>
      <c r="F16" s="428"/>
      <c r="G16" s="439" t="s">
        <v>42</v>
      </c>
      <c r="H16" s="428"/>
      <c r="I16" s="439" t="s">
        <v>43</v>
      </c>
      <c r="J16" s="428"/>
      <c r="K16" s="439" t="s">
        <v>44</v>
      </c>
      <c r="L16" s="428"/>
      <c r="M16" s="439" t="s">
        <v>45</v>
      </c>
      <c r="N16" s="428"/>
      <c r="O16" s="439" t="s">
        <v>46</v>
      </c>
      <c r="P16" s="428"/>
      <c r="Q16" s="439" t="s">
        <v>47</v>
      </c>
      <c r="R16" s="428"/>
      <c r="S16" s="439" t="s">
        <v>48</v>
      </c>
      <c r="T16" s="428"/>
      <c r="U16" s="439" t="s">
        <v>49</v>
      </c>
      <c r="V16" s="428"/>
      <c r="W16" s="439" t="s">
        <v>50</v>
      </c>
      <c r="X16" s="428"/>
      <c r="Y16" s="439" t="s">
        <v>51</v>
      </c>
      <c r="Z16" s="428"/>
      <c r="AA16" s="439" t="s">
        <v>52</v>
      </c>
      <c r="AB16" s="428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</row>
    <row r="17" spans="1:43" ht="15.75" thickBot="1" x14ac:dyDescent="0.3">
      <c r="A17" s="437"/>
      <c r="B17" s="437"/>
      <c r="C17" s="440" t="s">
        <v>54</v>
      </c>
      <c r="D17" s="440" t="s">
        <v>53</v>
      </c>
      <c r="E17" s="427">
        <v>0.05</v>
      </c>
      <c r="F17" s="428"/>
      <c r="G17" s="427">
        <v>0.05</v>
      </c>
      <c r="H17" s="427"/>
      <c r="I17" s="427">
        <v>0.05</v>
      </c>
      <c r="J17" s="428"/>
      <c r="K17" s="427">
        <v>7.0000000000000007E-2</v>
      </c>
      <c r="L17" s="427"/>
      <c r="M17" s="427">
        <v>0.1</v>
      </c>
      <c r="N17" s="428"/>
      <c r="O17" s="427">
        <v>0.15</v>
      </c>
      <c r="P17" s="427"/>
      <c r="Q17" s="427">
        <v>7.0000000000000007E-2</v>
      </c>
      <c r="R17" s="428"/>
      <c r="S17" s="427">
        <v>7.0000000000000007E-2</v>
      </c>
      <c r="T17" s="427"/>
      <c r="U17" s="427">
        <v>7.0000000000000007E-2</v>
      </c>
      <c r="V17" s="428"/>
      <c r="W17" s="427">
        <v>7.0000000000000007E-2</v>
      </c>
      <c r="X17" s="427"/>
      <c r="Y17" s="427">
        <v>0.1</v>
      </c>
      <c r="Z17" s="428"/>
      <c r="AA17" s="427">
        <v>0.15</v>
      </c>
      <c r="AB17" s="427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</row>
    <row r="18" spans="1:43" ht="15.75" customHeight="1" thickBot="1" x14ac:dyDescent="0.3">
      <c r="A18" s="437"/>
      <c r="B18" s="437"/>
      <c r="C18" s="428"/>
      <c r="D18" s="428"/>
      <c r="E18" s="206" t="s">
        <v>54</v>
      </c>
      <c r="F18" s="206" t="s">
        <v>53</v>
      </c>
      <c r="G18" s="206" t="s">
        <v>54</v>
      </c>
      <c r="H18" s="206" t="s">
        <v>53</v>
      </c>
      <c r="I18" s="206" t="s">
        <v>54</v>
      </c>
      <c r="J18" s="206" t="s">
        <v>53</v>
      </c>
      <c r="K18" s="206" t="s">
        <v>54</v>
      </c>
      <c r="L18" s="206" t="s">
        <v>53</v>
      </c>
      <c r="M18" s="206" t="s">
        <v>54</v>
      </c>
      <c r="N18" s="206" t="s">
        <v>53</v>
      </c>
      <c r="O18" s="206" t="s">
        <v>54</v>
      </c>
      <c r="P18" s="206" t="s">
        <v>53</v>
      </c>
      <c r="Q18" s="206" t="s">
        <v>54</v>
      </c>
      <c r="R18" s="206" t="s">
        <v>53</v>
      </c>
      <c r="S18" s="206" t="s">
        <v>54</v>
      </c>
      <c r="T18" s="206" t="s">
        <v>53</v>
      </c>
      <c r="U18" s="206" t="s">
        <v>54</v>
      </c>
      <c r="V18" s="206" t="s">
        <v>53</v>
      </c>
      <c r="W18" s="206" t="s">
        <v>54</v>
      </c>
      <c r="X18" s="206" t="s">
        <v>53</v>
      </c>
      <c r="Y18" s="206" t="s">
        <v>54</v>
      </c>
      <c r="Z18" s="206" t="s">
        <v>53</v>
      </c>
      <c r="AA18" s="206" t="s">
        <v>54</v>
      </c>
      <c r="AB18" s="206" t="s">
        <v>53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</row>
    <row r="19" spans="1:43" ht="16.5" thickBot="1" x14ac:dyDescent="0.3">
      <c r="A19" s="271" t="str">
        <f>Hipótesis!B37</f>
        <v>Inicial</v>
      </c>
      <c r="B19" s="272">
        <f>Hipótesis!C37</f>
        <v>80000</v>
      </c>
      <c r="C19" s="242">
        <f>E19+G19+I19+K19+M19+O19+Q19+S19+U19+W19+Y19+AA19</f>
        <v>9</v>
      </c>
      <c r="D19" s="241">
        <f>B19*C19</f>
        <v>720000</v>
      </c>
      <c r="E19" s="243">
        <v>0</v>
      </c>
      <c r="F19" s="241">
        <f>B19*E19</f>
        <v>0</v>
      </c>
      <c r="G19" s="243">
        <v>1</v>
      </c>
      <c r="H19" s="241">
        <f>B19*G19</f>
        <v>80000</v>
      </c>
      <c r="I19" s="243">
        <v>0</v>
      </c>
      <c r="J19" s="241">
        <f>B19*I19</f>
        <v>0</v>
      </c>
      <c r="K19" s="243">
        <v>1</v>
      </c>
      <c r="L19" s="241">
        <f>K19*B19</f>
        <v>80000</v>
      </c>
      <c r="M19" s="243">
        <v>1</v>
      </c>
      <c r="N19" s="241">
        <f>M19*B19</f>
        <v>80000</v>
      </c>
      <c r="O19" s="243">
        <v>1</v>
      </c>
      <c r="P19" s="241">
        <f>O19*B19</f>
        <v>80000</v>
      </c>
      <c r="Q19" s="243">
        <v>1</v>
      </c>
      <c r="R19" s="241">
        <f t="shared" ref="R19:R21" si="0">N19*Q19</f>
        <v>80000</v>
      </c>
      <c r="S19" s="243">
        <v>0</v>
      </c>
      <c r="T19" s="241">
        <f>S19*B19</f>
        <v>0</v>
      </c>
      <c r="U19" s="243">
        <v>1</v>
      </c>
      <c r="V19" s="241">
        <f t="shared" ref="V19:V21" si="1">R19*U19</f>
        <v>80000</v>
      </c>
      <c r="W19" s="243">
        <v>0</v>
      </c>
      <c r="X19" s="241">
        <f t="shared" ref="X19:X21" si="2">R19*W19</f>
        <v>0</v>
      </c>
      <c r="Y19" s="243">
        <v>1</v>
      </c>
      <c r="Z19" s="241">
        <f t="shared" ref="Z19:Z20" si="3">V19*Y19</f>
        <v>80000</v>
      </c>
      <c r="AA19" s="243">
        <v>2</v>
      </c>
      <c r="AB19" s="241">
        <f>$B$19*AA19</f>
        <v>160000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</row>
    <row r="20" spans="1:43" ht="16.5" thickBot="1" x14ac:dyDescent="0.3">
      <c r="A20" s="273" t="str">
        <f>Hipótesis!B38</f>
        <v>Normal</v>
      </c>
      <c r="B20" s="274">
        <f>Hipótesis!C38</f>
        <v>90000</v>
      </c>
      <c r="C20" s="245">
        <f>E20+G20+I20+K20+M20+O20+Q20+S20+U20+W20+Y20+AA20</f>
        <v>18</v>
      </c>
      <c r="D20" s="244">
        <f t="shared" ref="D20:D21" si="4">B20*C20</f>
        <v>1620000</v>
      </c>
      <c r="E20" s="245">
        <v>1</v>
      </c>
      <c r="F20" s="246">
        <f t="shared" ref="F20:F21" si="5">B20*E20</f>
        <v>90000</v>
      </c>
      <c r="G20" s="245">
        <v>0</v>
      </c>
      <c r="H20" s="246">
        <f t="shared" ref="H20:H21" si="6">B20*G20</f>
        <v>0</v>
      </c>
      <c r="I20" s="245">
        <v>1</v>
      </c>
      <c r="J20" s="246">
        <f>I20*$B$20</f>
        <v>90000</v>
      </c>
      <c r="K20" s="245">
        <v>1</v>
      </c>
      <c r="L20" s="246">
        <f>K20*$B$20</f>
        <v>90000</v>
      </c>
      <c r="M20" s="245">
        <v>2</v>
      </c>
      <c r="N20" s="246">
        <f t="shared" ref="N20:N21" si="7">J20*M20</f>
        <v>180000</v>
      </c>
      <c r="O20" s="245">
        <v>3</v>
      </c>
      <c r="P20" s="246">
        <f t="shared" ref="P20:P21" si="8">J20*O20</f>
        <v>270000</v>
      </c>
      <c r="Q20" s="245">
        <v>1</v>
      </c>
      <c r="R20" s="246">
        <f>Q20*B20</f>
        <v>90000</v>
      </c>
      <c r="S20" s="245">
        <v>2</v>
      </c>
      <c r="T20" s="246">
        <f>B20*S20</f>
        <v>180000</v>
      </c>
      <c r="U20" s="245">
        <v>2</v>
      </c>
      <c r="V20" s="246">
        <f t="shared" si="1"/>
        <v>180000</v>
      </c>
      <c r="W20" s="245">
        <v>1</v>
      </c>
      <c r="X20" s="246">
        <f t="shared" si="2"/>
        <v>90000</v>
      </c>
      <c r="Y20" s="245">
        <v>2</v>
      </c>
      <c r="Z20" s="246">
        <f>$B$20*Y20</f>
        <v>180000</v>
      </c>
      <c r="AA20" s="245">
        <v>2</v>
      </c>
      <c r="AB20" s="246">
        <f>$B$20*AA20</f>
        <v>180000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</row>
    <row r="21" spans="1:43" ht="15.75" customHeight="1" thickBot="1" x14ac:dyDescent="0.3">
      <c r="A21" s="275" t="str">
        <f>Hipótesis!B39</f>
        <v>Premium</v>
      </c>
      <c r="B21" s="276">
        <f>Hipótesis!C39</f>
        <v>100000</v>
      </c>
      <c r="C21" s="248">
        <f>E21+G21+I21+K21+M21+O21+Q21+S21+U21+W21+Y21+AA21</f>
        <v>13</v>
      </c>
      <c r="D21" s="247">
        <f t="shared" si="4"/>
        <v>1300000</v>
      </c>
      <c r="E21" s="249">
        <v>1</v>
      </c>
      <c r="F21" s="250">
        <f t="shared" si="5"/>
        <v>100000</v>
      </c>
      <c r="G21" s="249">
        <v>1</v>
      </c>
      <c r="H21" s="250">
        <f t="shared" si="6"/>
        <v>100000</v>
      </c>
      <c r="I21" s="249">
        <v>1</v>
      </c>
      <c r="J21" s="250">
        <f t="shared" ref="J21" si="9">F21*I21</f>
        <v>100000</v>
      </c>
      <c r="K21" s="249">
        <v>1</v>
      </c>
      <c r="L21" s="250">
        <f t="shared" ref="L21" si="10">F21*K21</f>
        <v>100000</v>
      </c>
      <c r="M21" s="249">
        <v>1</v>
      </c>
      <c r="N21" s="250">
        <f t="shared" si="7"/>
        <v>100000</v>
      </c>
      <c r="O21" s="249">
        <v>2</v>
      </c>
      <c r="P21" s="250">
        <f t="shared" si="8"/>
        <v>200000</v>
      </c>
      <c r="Q21" s="249">
        <v>1</v>
      </c>
      <c r="R21" s="250">
        <f t="shared" si="0"/>
        <v>100000</v>
      </c>
      <c r="S21" s="249">
        <v>1</v>
      </c>
      <c r="T21" s="250">
        <f t="shared" ref="T21" si="11">N21*S21</f>
        <v>100000</v>
      </c>
      <c r="U21" s="249">
        <v>0</v>
      </c>
      <c r="V21" s="250">
        <f t="shared" si="1"/>
        <v>0</v>
      </c>
      <c r="W21" s="249">
        <v>2</v>
      </c>
      <c r="X21" s="250">
        <f t="shared" si="2"/>
        <v>200000</v>
      </c>
      <c r="Y21" s="249">
        <v>1</v>
      </c>
      <c r="Z21" s="250">
        <f>B21*Y21</f>
        <v>100000</v>
      </c>
      <c r="AA21" s="249">
        <v>1</v>
      </c>
      <c r="AB21" s="250">
        <f>B21*AA21</f>
        <v>100000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</row>
    <row r="22" spans="1:43" ht="15.75" customHeight="1" thickBot="1" x14ac:dyDescent="0.3">
      <c r="A22" s="454" t="s">
        <v>55</v>
      </c>
      <c r="B22" s="455"/>
      <c r="C22" s="251">
        <f t="shared" ref="C22:AB22" si="12">SUM(C19:C21)</f>
        <v>40</v>
      </c>
      <c r="D22" s="252">
        <f t="shared" si="12"/>
        <v>3640000</v>
      </c>
      <c r="E22" s="253">
        <f t="shared" si="12"/>
        <v>2</v>
      </c>
      <c r="F22" s="252">
        <f t="shared" si="12"/>
        <v>190000</v>
      </c>
      <c r="G22" s="253">
        <f t="shared" si="12"/>
        <v>2</v>
      </c>
      <c r="H22" s="252">
        <f t="shared" si="12"/>
        <v>180000</v>
      </c>
      <c r="I22" s="253">
        <f t="shared" si="12"/>
        <v>2</v>
      </c>
      <c r="J22" s="252">
        <f t="shared" si="12"/>
        <v>190000</v>
      </c>
      <c r="K22" s="253">
        <f t="shared" si="12"/>
        <v>3</v>
      </c>
      <c r="L22" s="252">
        <f t="shared" si="12"/>
        <v>270000</v>
      </c>
      <c r="M22" s="253">
        <f t="shared" si="12"/>
        <v>4</v>
      </c>
      <c r="N22" s="252">
        <f t="shared" si="12"/>
        <v>360000</v>
      </c>
      <c r="O22" s="253">
        <f t="shared" si="12"/>
        <v>6</v>
      </c>
      <c r="P22" s="252">
        <f t="shared" si="12"/>
        <v>550000</v>
      </c>
      <c r="Q22" s="253">
        <f t="shared" si="12"/>
        <v>3</v>
      </c>
      <c r="R22" s="252">
        <f t="shared" si="12"/>
        <v>270000</v>
      </c>
      <c r="S22" s="253">
        <f t="shared" si="12"/>
        <v>3</v>
      </c>
      <c r="T22" s="252">
        <f t="shared" si="12"/>
        <v>280000</v>
      </c>
      <c r="U22" s="253">
        <f t="shared" si="12"/>
        <v>3</v>
      </c>
      <c r="V22" s="252">
        <f t="shared" si="12"/>
        <v>260000</v>
      </c>
      <c r="W22" s="253">
        <f t="shared" si="12"/>
        <v>3</v>
      </c>
      <c r="X22" s="252">
        <f t="shared" si="12"/>
        <v>290000</v>
      </c>
      <c r="Y22" s="253">
        <f t="shared" si="12"/>
        <v>4</v>
      </c>
      <c r="Z22" s="252">
        <f t="shared" si="12"/>
        <v>360000</v>
      </c>
      <c r="AA22" s="253">
        <f t="shared" si="12"/>
        <v>5</v>
      </c>
      <c r="AB22" s="252">
        <f t="shared" si="12"/>
        <v>440000</v>
      </c>
      <c r="AC22" s="30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</row>
    <row r="23" spans="1:43" ht="15.75" customHeight="1" thickBot="1" x14ac:dyDescent="0.3">
      <c r="A23" s="398" t="s">
        <v>202</v>
      </c>
      <c r="B23" s="399"/>
      <c r="C23" s="400"/>
      <c r="D23" s="254">
        <f t="shared" ref="D23:D25" si="13">SUM(F23+H23+J23+L23+N23+P23+R23+T23+V23+X23+Z23+AB23)</f>
        <v>3840000</v>
      </c>
      <c r="E23" s="255">
        <f>E19</f>
        <v>0</v>
      </c>
      <c r="F23" s="256">
        <f>B19*E23*E19</f>
        <v>0</v>
      </c>
      <c r="G23" s="255">
        <f>G19+E23</f>
        <v>1</v>
      </c>
      <c r="H23" s="256">
        <f>B19*G23*G19</f>
        <v>80000</v>
      </c>
      <c r="I23" s="255">
        <f>I19+G23</f>
        <v>1</v>
      </c>
      <c r="J23" s="256">
        <f>B19*I23*I19</f>
        <v>0</v>
      </c>
      <c r="K23" s="255">
        <f>K19+I23</f>
        <v>2</v>
      </c>
      <c r="L23" s="256">
        <f>B19*K23*K19</f>
        <v>160000</v>
      </c>
      <c r="M23" s="255">
        <f>K23+M19</f>
        <v>3</v>
      </c>
      <c r="N23" s="257">
        <f>L23+B19*M19</f>
        <v>240000</v>
      </c>
      <c r="O23" s="255">
        <f>M23+O19</f>
        <v>4</v>
      </c>
      <c r="P23" s="257">
        <f>N23+B19*O19</f>
        <v>320000</v>
      </c>
      <c r="Q23" s="255">
        <f>O23+Q19</f>
        <v>5</v>
      </c>
      <c r="R23" s="255">
        <f>P23+B19*Q19</f>
        <v>400000</v>
      </c>
      <c r="S23" s="255">
        <f>Q23+1</f>
        <v>6</v>
      </c>
      <c r="T23" s="255">
        <f>R23+B19*S19</f>
        <v>400000</v>
      </c>
      <c r="U23" s="255">
        <f>S23+1</f>
        <v>7</v>
      </c>
      <c r="V23" s="255">
        <f>T23+B19*U19</f>
        <v>480000</v>
      </c>
      <c r="W23" s="255">
        <f>U23+1</f>
        <v>8</v>
      </c>
      <c r="X23" s="255">
        <f>V23+X19*W19</f>
        <v>480000</v>
      </c>
      <c r="Y23" s="255">
        <f>W23+1</f>
        <v>9</v>
      </c>
      <c r="Z23" s="255">
        <f>X23+B19*Y19</f>
        <v>560000</v>
      </c>
      <c r="AA23" s="255">
        <f>Y23+1</f>
        <v>10</v>
      </c>
      <c r="AB23" s="255">
        <f>Z23+B19*AA19</f>
        <v>720000</v>
      </c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</row>
    <row r="24" spans="1:43" ht="15.75" customHeight="1" thickBot="1" x14ac:dyDescent="0.3">
      <c r="A24" s="401" t="s">
        <v>203</v>
      </c>
      <c r="B24" s="402"/>
      <c r="C24" s="403"/>
      <c r="D24" s="258">
        <f t="shared" si="13"/>
        <v>9000000</v>
      </c>
      <c r="E24" s="259">
        <f>E20</f>
        <v>1</v>
      </c>
      <c r="F24" s="260">
        <f>B20*E24*E20</f>
        <v>90000</v>
      </c>
      <c r="G24" s="259">
        <f>G20+E24</f>
        <v>1</v>
      </c>
      <c r="H24" s="260">
        <f>B20*G24*G20</f>
        <v>0</v>
      </c>
      <c r="I24" s="259">
        <f>I20+G24</f>
        <v>2</v>
      </c>
      <c r="J24" s="260">
        <f>B20*I24*I20</f>
        <v>180000</v>
      </c>
      <c r="K24" s="259">
        <f>K20+I24</f>
        <v>3</v>
      </c>
      <c r="L24" s="260">
        <f>B20*K24*K20</f>
        <v>270000</v>
      </c>
      <c r="M24" s="259">
        <f>K24+M20</f>
        <v>5</v>
      </c>
      <c r="N24" s="261">
        <f>L24+B20*M20</f>
        <v>450000</v>
      </c>
      <c r="O24" s="259">
        <f>M24+O20</f>
        <v>8</v>
      </c>
      <c r="P24" s="261">
        <f>N24+B20*O20</f>
        <v>720000</v>
      </c>
      <c r="Q24" s="259">
        <f>O24+Q20</f>
        <v>9</v>
      </c>
      <c r="R24" s="259">
        <f>P24+B20*Q20</f>
        <v>810000</v>
      </c>
      <c r="S24" s="259">
        <f>Q24+1</f>
        <v>10</v>
      </c>
      <c r="T24" s="259">
        <f>R24+B20*S20</f>
        <v>990000</v>
      </c>
      <c r="U24" s="259">
        <f>S24+1</f>
        <v>11</v>
      </c>
      <c r="V24" s="259">
        <f>T24+B20*U20</f>
        <v>1170000</v>
      </c>
      <c r="W24" s="259">
        <f>U24+1</f>
        <v>12</v>
      </c>
      <c r="X24" s="259">
        <f>V24+X20*W20</f>
        <v>1260000</v>
      </c>
      <c r="Y24" s="259">
        <f>W24+Y20</f>
        <v>14</v>
      </c>
      <c r="Z24" s="259">
        <f>X24+B20*Y20</f>
        <v>1440000</v>
      </c>
      <c r="AA24" s="259">
        <f>Y24+AA20</f>
        <v>16</v>
      </c>
      <c r="AB24" s="259">
        <f>Z24+B20*AA20</f>
        <v>1620000</v>
      </c>
      <c r="AC24" s="116"/>
      <c r="AD24" s="116"/>
      <c r="AE24" s="116"/>
      <c r="AF24" s="116"/>
      <c r="AG24" s="116"/>
      <c r="AH24" s="116"/>
      <c r="AI24" s="116"/>
      <c r="AJ24" s="116"/>
      <c r="AK24" s="116"/>
      <c r="AL24" s="116"/>
      <c r="AM24" s="116"/>
      <c r="AN24" s="116"/>
      <c r="AO24" s="116"/>
      <c r="AP24" s="116"/>
      <c r="AQ24" s="116"/>
    </row>
    <row r="25" spans="1:43" ht="15.75" customHeight="1" thickBot="1" x14ac:dyDescent="0.3">
      <c r="A25" s="404" t="s">
        <v>204</v>
      </c>
      <c r="B25" s="405"/>
      <c r="C25" s="406"/>
      <c r="D25" s="262">
        <f t="shared" si="13"/>
        <v>9000000</v>
      </c>
      <c r="E25" s="263">
        <f>E21</f>
        <v>1</v>
      </c>
      <c r="F25" s="264">
        <f>B21*E25*E21</f>
        <v>100000</v>
      </c>
      <c r="G25" s="263">
        <f>G21+E25</f>
        <v>2</v>
      </c>
      <c r="H25" s="264">
        <f>B21*G25*G21</f>
        <v>200000</v>
      </c>
      <c r="I25" s="263">
        <f>I21+G25</f>
        <v>3</v>
      </c>
      <c r="J25" s="264">
        <f>B21*I25*I21</f>
        <v>300000</v>
      </c>
      <c r="K25" s="263">
        <f>K21+I25</f>
        <v>4</v>
      </c>
      <c r="L25" s="264">
        <f>B21*K25*K21</f>
        <v>400000</v>
      </c>
      <c r="M25" s="263">
        <f>K25+M21</f>
        <v>5</v>
      </c>
      <c r="N25" s="265">
        <f>L25+B21*M21</f>
        <v>500000</v>
      </c>
      <c r="O25" s="263">
        <f>M25+O21</f>
        <v>7</v>
      </c>
      <c r="P25" s="265">
        <f>N25+B21*O21</f>
        <v>700000</v>
      </c>
      <c r="Q25" s="263">
        <f>O25+Q21</f>
        <v>8</v>
      </c>
      <c r="R25" s="263">
        <f>P25+B21*Q21</f>
        <v>800000</v>
      </c>
      <c r="S25" s="263">
        <f>Q25+1</f>
        <v>9</v>
      </c>
      <c r="T25" s="263">
        <f>R25+B21*S21</f>
        <v>900000</v>
      </c>
      <c r="U25" s="263">
        <f>S25+1</f>
        <v>10</v>
      </c>
      <c r="V25" s="263">
        <f>T25+B21*U21</f>
        <v>900000</v>
      </c>
      <c r="W25" s="263">
        <f>U25+W21</f>
        <v>12</v>
      </c>
      <c r="X25" s="263">
        <f>V25+X21*W21</f>
        <v>1300000</v>
      </c>
      <c r="Y25" s="263">
        <f>W25+Y21</f>
        <v>13</v>
      </c>
      <c r="Z25" s="263">
        <f>X25+B21*Y21</f>
        <v>1400000</v>
      </c>
      <c r="AA25" s="263">
        <f>Y25+AA21</f>
        <v>14</v>
      </c>
      <c r="AB25" s="263">
        <f>Z25+B21*AA21</f>
        <v>1500000</v>
      </c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</row>
    <row r="26" spans="1:43" ht="15.75" customHeight="1" thickBot="1" x14ac:dyDescent="0.3">
      <c r="A26" s="456" t="s">
        <v>164</v>
      </c>
      <c r="B26" s="457"/>
      <c r="C26" s="266">
        <f>C22</f>
        <v>40</v>
      </c>
      <c r="D26" s="267">
        <f>SUM(D23:D25)</f>
        <v>21840000</v>
      </c>
      <c r="E26" s="268">
        <f>E22</f>
        <v>2</v>
      </c>
      <c r="F26" s="269">
        <f>F22</f>
        <v>190000</v>
      </c>
      <c r="G26" s="268">
        <f>E22+G22</f>
        <v>4</v>
      </c>
      <c r="H26" s="269">
        <f>F26+H22</f>
        <v>370000</v>
      </c>
      <c r="I26" s="268">
        <f>E22+G22+I22</f>
        <v>6</v>
      </c>
      <c r="J26" s="269">
        <f>H26+J22</f>
        <v>560000</v>
      </c>
      <c r="K26" s="268">
        <f>SUM(I26,K22)</f>
        <v>9</v>
      </c>
      <c r="L26" s="270">
        <f>J26+L22</f>
        <v>830000</v>
      </c>
      <c r="M26" s="268">
        <f>K26+M22</f>
        <v>13</v>
      </c>
      <c r="N26" s="266">
        <f t="shared" ref="N26:X26" si="14">SUM(L26,N22)</f>
        <v>1190000</v>
      </c>
      <c r="O26" s="268">
        <f t="shared" si="14"/>
        <v>19</v>
      </c>
      <c r="P26" s="266">
        <f t="shared" si="14"/>
        <v>1740000</v>
      </c>
      <c r="Q26" s="268">
        <f t="shared" si="14"/>
        <v>22</v>
      </c>
      <c r="R26" s="266">
        <f t="shared" si="14"/>
        <v>2010000</v>
      </c>
      <c r="S26" s="268">
        <f t="shared" si="14"/>
        <v>25</v>
      </c>
      <c r="T26" s="266">
        <f t="shared" si="14"/>
        <v>2290000</v>
      </c>
      <c r="U26" s="268">
        <f t="shared" si="14"/>
        <v>28</v>
      </c>
      <c r="V26" s="266">
        <f t="shared" si="14"/>
        <v>2550000</v>
      </c>
      <c r="W26" s="268">
        <f t="shared" si="14"/>
        <v>31</v>
      </c>
      <c r="X26" s="266">
        <f t="shared" si="14"/>
        <v>2840000</v>
      </c>
      <c r="Y26" s="268">
        <f>SUM(Y23:Y25)</f>
        <v>36</v>
      </c>
      <c r="Z26" s="266">
        <f>SUM(X26,Z22)</f>
        <v>3200000</v>
      </c>
      <c r="AA26" s="268">
        <f>SUM(AA23:AA25)</f>
        <v>40</v>
      </c>
      <c r="AB26" s="266">
        <f>SUM(Z26,AB22)</f>
        <v>3640000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</row>
    <row r="27" spans="1:43" ht="15.75" thickBot="1" x14ac:dyDescent="0.3">
      <c r="A27" s="1"/>
      <c r="B27" s="1"/>
      <c r="C27" s="1"/>
      <c r="D27" s="31"/>
      <c r="E27" s="1"/>
      <c r="F27" s="1"/>
      <c r="G27" s="1"/>
      <c r="H27" s="1"/>
      <c r="I27" s="32"/>
      <c r="J27" s="32"/>
      <c r="K27" s="32"/>
      <c r="L27" s="32"/>
      <c r="M27" s="1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1"/>
      <c r="AB27" s="32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</row>
    <row r="28" spans="1:43" ht="27" thickBot="1" x14ac:dyDescent="0.45">
      <c r="A28" s="433" t="s">
        <v>198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  <c r="L28" s="434"/>
      <c r="M28" s="434"/>
      <c r="N28" s="434"/>
      <c r="O28" s="434"/>
      <c r="P28" s="434"/>
      <c r="Q28" s="434"/>
      <c r="R28" s="434"/>
      <c r="S28" s="434"/>
      <c r="T28" s="434"/>
      <c r="U28" s="434"/>
      <c r="V28" s="434"/>
      <c r="W28" s="434"/>
      <c r="X28" s="434"/>
      <c r="Y28" s="434"/>
      <c r="Z28" s="434"/>
      <c r="AA28" s="434"/>
      <c r="AB28" s="435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</row>
    <row r="29" spans="1:43" ht="184.5" customHeight="1" thickBot="1" x14ac:dyDescent="0.3">
      <c r="A29" s="186" t="s">
        <v>56</v>
      </c>
      <c r="B29" s="458" t="s">
        <v>193</v>
      </c>
      <c r="C29" s="459"/>
      <c r="D29" s="459"/>
      <c r="E29" s="459"/>
      <c r="F29" s="459"/>
      <c r="G29" s="459"/>
      <c r="H29" s="459"/>
      <c r="I29" s="459"/>
      <c r="J29" s="459"/>
      <c r="K29" s="459"/>
      <c r="L29" s="459"/>
      <c r="M29" s="459"/>
      <c r="N29" s="459"/>
      <c r="O29" s="459"/>
      <c r="P29" s="459"/>
      <c r="Q29" s="459"/>
      <c r="R29" s="459"/>
      <c r="S29" s="459"/>
      <c r="T29" s="459"/>
      <c r="U29" s="459"/>
      <c r="V29" s="459"/>
      <c r="W29" s="459"/>
      <c r="X29" s="459"/>
      <c r="Y29" s="459"/>
      <c r="Z29" s="459"/>
      <c r="AA29" s="459"/>
      <c r="AB29" s="460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</row>
    <row r="30" spans="1:43" ht="25.5" customHeight="1" thickBot="1" x14ac:dyDescent="0.3">
      <c r="A30" s="443" t="s">
        <v>57</v>
      </c>
      <c r="B30" s="444"/>
      <c r="C30" s="447" t="s">
        <v>58</v>
      </c>
      <c r="D30" s="435"/>
      <c r="E30" s="451" t="s">
        <v>248</v>
      </c>
      <c r="F30" s="452"/>
      <c r="G30" s="452"/>
      <c r="H30" s="452"/>
      <c r="I30" s="452"/>
      <c r="J30" s="452"/>
      <c r="K30" s="452"/>
      <c r="L30" s="452"/>
      <c r="M30" s="452"/>
      <c r="N30" s="452"/>
      <c r="O30" s="452"/>
      <c r="P30" s="452"/>
      <c r="Q30" s="452"/>
      <c r="R30" s="452"/>
      <c r="S30" s="452"/>
      <c r="T30" s="452"/>
      <c r="U30" s="452"/>
      <c r="V30" s="452"/>
      <c r="W30" s="452"/>
      <c r="X30" s="452"/>
      <c r="Y30" s="452"/>
      <c r="Z30" s="452"/>
      <c r="AA30" s="452"/>
      <c r="AB30" s="453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</row>
    <row r="31" spans="1:43" ht="15.75" customHeight="1" thickBot="1" x14ac:dyDescent="0.3">
      <c r="A31" s="445"/>
      <c r="B31" s="446"/>
      <c r="C31" s="187" t="s">
        <v>54</v>
      </c>
      <c r="D31" s="188" t="s">
        <v>57</v>
      </c>
      <c r="E31" s="441" t="s">
        <v>41</v>
      </c>
      <c r="F31" s="435"/>
      <c r="G31" s="441" t="s">
        <v>42</v>
      </c>
      <c r="H31" s="435"/>
      <c r="I31" s="441" t="s">
        <v>43</v>
      </c>
      <c r="J31" s="435"/>
      <c r="K31" s="441" t="s">
        <v>44</v>
      </c>
      <c r="L31" s="435"/>
      <c r="M31" s="441" t="s">
        <v>45</v>
      </c>
      <c r="N31" s="435"/>
      <c r="O31" s="441" t="s">
        <v>46</v>
      </c>
      <c r="P31" s="435"/>
      <c r="Q31" s="441" t="s">
        <v>47</v>
      </c>
      <c r="R31" s="435"/>
      <c r="S31" s="441" t="s">
        <v>48</v>
      </c>
      <c r="T31" s="435"/>
      <c r="U31" s="441" t="s">
        <v>49</v>
      </c>
      <c r="V31" s="435"/>
      <c r="W31" s="441" t="s">
        <v>50</v>
      </c>
      <c r="X31" s="435"/>
      <c r="Y31" s="441" t="s">
        <v>51</v>
      </c>
      <c r="Z31" s="435"/>
      <c r="AA31" s="441" t="s">
        <v>52</v>
      </c>
      <c r="AB31" s="435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</row>
    <row r="32" spans="1:43" ht="15" customHeight="1" x14ac:dyDescent="0.25">
      <c r="A32" s="448" t="s">
        <v>59</v>
      </c>
      <c r="B32" s="444"/>
      <c r="C32" s="33">
        <f>'Anexo capacidad operativa'!A22</f>
        <v>1</v>
      </c>
      <c r="D32" s="34" t="str">
        <f>'Anexo capacidad operativa'!B22</f>
        <v>Gerente general</v>
      </c>
      <c r="E32" s="461" t="s">
        <v>61</v>
      </c>
      <c r="F32" s="374"/>
      <c r="G32" s="429" t="s">
        <v>61</v>
      </c>
      <c r="H32" s="374"/>
      <c r="I32" s="429" t="s">
        <v>61</v>
      </c>
      <c r="J32" s="374"/>
      <c r="K32" s="429" t="s">
        <v>61</v>
      </c>
      <c r="L32" s="374"/>
      <c r="M32" s="429" t="s">
        <v>61</v>
      </c>
      <c r="N32" s="374"/>
      <c r="O32" s="429" t="s">
        <v>61</v>
      </c>
      <c r="P32" s="374"/>
      <c r="Q32" s="429" t="s">
        <v>61</v>
      </c>
      <c r="R32" s="374"/>
      <c r="S32" s="429" t="s">
        <v>61</v>
      </c>
      <c r="T32" s="374"/>
      <c r="U32" s="429" t="s">
        <v>61</v>
      </c>
      <c r="V32" s="374"/>
      <c r="W32" s="429" t="s">
        <v>61</v>
      </c>
      <c r="X32" s="374"/>
      <c r="Y32" s="429" t="s">
        <v>61</v>
      </c>
      <c r="Z32" s="374"/>
      <c r="AA32" s="429" t="s">
        <v>61</v>
      </c>
      <c r="AB32" s="462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</row>
    <row r="33" spans="1:43" ht="15" customHeight="1" x14ac:dyDescent="0.25">
      <c r="A33" s="449"/>
      <c r="B33" s="450"/>
      <c r="C33" s="35">
        <f>'Anexo capacidad operativa'!A23</f>
        <v>1</v>
      </c>
      <c r="D33" s="36" t="str">
        <f>'Anexo capacidad operativa'!B23</f>
        <v>Gerente de servicios</v>
      </c>
      <c r="E33" s="442" t="s">
        <v>61</v>
      </c>
      <c r="F33" s="423"/>
      <c r="G33" s="421" t="s">
        <v>61</v>
      </c>
      <c r="H33" s="423"/>
      <c r="I33" s="421" t="s">
        <v>61</v>
      </c>
      <c r="J33" s="423"/>
      <c r="K33" s="421" t="s">
        <v>61</v>
      </c>
      <c r="L33" s="423"/>
      <c r="M33" s="421" t="s">
        <v>61</v>
      </c>
      <c r="N33" s="423"/>
      <c r="O33" s="421" t="s">
        <v>61</v>
      </c>
      <c r="P33" s="423"/>
      <c r="Q33" s="421" t="s">
        <v>61</v>
      </c>
      <c r="R33" s="423"/>
      <c r="S33" s="421" t="s">
        <v>61</v>
      </c>
      <c r="T33" s="423"/>
      <c r="U33" s="421" t="s">
        <v>61</v>
      </c>
      <c r="V33" s="423"/>
      <c r="W33" s="421" t="s">
        <v>61</v>
      </c>
      <c r="X33" s="423"/>
      <c r="Y33" s="421" t="s">
        <v>61</v>
      </c>
      <c r="Z33" s="423"/>
      <c r="AA33" s="421" t="s">
        <v>61</v>
      </c>
      <c r="AB33" s="422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</row>
    <row r="34" spans="1:43" ht="15" customHeight="1" x14ac:dyDescent="0.25">
      <c r="A34" s="449"/>
      <c r="B34" s="450"/>
      <c r="C34" s="35">
        <f>'Anexo capacidad operativa'!A24</f>
        <v>1</v>
      </c>
      <c r="D34" s="36" t="str">
        <f>'Anexo capacidad operativa'!B24</f>
        <v>Gerente de tecnologia</v>
      </c>
      <c r="E34" s="442" t="s">
        <v>61</v>
      </c>
      <c r="F34" s="423"/>
      <c r="G34" s="421" t="s">
        <v>61</v>
      </c>
      <c r="H34" s="423"/>
      <c r="I34" s="421" t="s">
        <v>61</v>
      </c>
      <c r="J34" s="423"/>
      <c r="K34" s="421" t="s">
        <v>61</v>
      </c>
      <c r="L34" s="423"/>
      <c r="M34" s="421" t="s">
        <v>61</v>
      </c>
      <c r="N34" s="423"/>
      <c r="O34" s="421" t="s">
        <v>61</v>
      </c>
      <c r="P34" s="423"/>
      <c r="Q34" s="421" t="s">
        <v>61</v>
      </c>
      <c r="R34" s="423"/>
      <c r="S34" s="421" t="s">
        <v>61</v>
      </c>
      <c r="T34" s="423"/>
      <c r="U34" s="421" t="s">
        <v>61</v>
      </c>
      <c r="V34" s="423"/>
      <c r="W34" s="421" t="s">
        <v>61</v>
      </c>
      <c r="X34" s="423"/>
      <c r="Y34" s="421" t="s">
        <v>61</v>
      </c>
      <c r="Z34" s="423"/>
      <c r="AA34" s="421" t="s">
        <v>61</v>
      </c>
      <c r="AB34" s="422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</row>
    <row r="35" spans="1:43" ht="15" customHeight="1" x14ac:dyDescent="0.25">
      <c r="A35" s="449"/>
      <c r="B35" s="450"/>
      <c r="C35" s="35">
        <f>'Anexo capacidad operativa'!A25</f>
        <v>1</v>
      </c>
      <c r="D35" s="36" t="str">
        <f>'Anexo capacidad operativa'!B25</f>
        <v>Gerente de administracion</v>
      </c>
      <c r="E35" s="442" t="s">
        <v>61</v>
      </c>
      <c r="F35" s="423"/>
      <c r="G35" s="421" t="s">
        <v>61</v>
      </c>
      <c r="H35" s="423"/>
      <c r="I35" s="421" t="s">
        <v>61</v>
      </c>
      <c r="J35" s="423"/>
      <c r="K35" s="421" t="s">
        <v>61</v>
      </c>
      <c r="L35" s="423"/>
      <c r="M35" s="421" t="s">
        <v>61</v>
      </c>
      <c r="N35" s="423"/>
      <c r="O35" s="421" t="s">
        <v>61</v>
      </c>
      <c r="P35" s="423"/>
      <c r="Q35" s="421" t="s">
        <v>61</v>
      </c>
      <c r="R35" s="423"/>
      <c r="S35" s="421" t="s">
        <v>61</v>
      </c>
      <c r="T35" s="423"/>
      <c r="U35" s="421" t="s">
        <v>61</v>
      </c>
      <c r="V35" s="423"/>
      <c r="W35" s="421" t="s">
        <v>61</v>
      </c>
      <c r="X35" s="423"/>
      <c r="Y35" s="421" t="s">
        <v>61</v>
      </c>
      <c r="Z35" s="423"/>
      <c r="AA35" s="421" t="s">
        <v>61</v>
      </c>
      <c r="AB35" s="422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</row>
    <row r="36" spans="1:43" ht="15" customHeight="1" thickBot="1" x14ac:dyDescent="0.3">
      <c r="A36" s="449"/>
      <c r="B36" s="450"/>
      <c r="C36" s="35">
        <f>'Anexo capacidad operativa'!A26</f>
        <v>1</v>
      </c>
      <c r="D36" s="36" t="str">
        <f>'Anexo capacidad operativa'!B26</f>
        <v>Gerente de comunicacion</v>
      </c>
      <c r="E36" s="481" t="s">
        <v>61</v>
      </c>
      <c r="F36" s="425"/>
      <c r="G36" s="424" t="s">
        <v>61</v>
      </c>
      <c r="H36" s="425"/>
      <c r="I36" s="424" t="s">
        <v>61</v>
      </c>
      <c r="J36" s="425"/>
      <c r="K36" s="424" t="s">
        <v>61</v>
      </c>
      <c r="L36" s="425"/>
      <c r="M36" s="424" t="s">
        <v>61</v>
      </c>
      <c r="N36" s="425"/>
      <c r="O36" s="424" t="s">
        <v>61</v>
      </c>
      <c r="P36" s="425"/>
      <c r="Q36" s="424" t="s">
        <v>61</v>
      </c>
      <c r="R36" s="425"/>
      <c r="S36" s="424" t="s">
        <v>61</v>
      </c>
      <c r="T36" s="425"/>
      <c r="U36" s="424" t="s">
        <v>61</v>
      </c>
      <c r="V36" s="425"/>
      <c r="W36" s="424" t="s">
        <v>61</v>
      </c>
      <c r="X36" s="425"/>
      <c r="Y36" s="424" t="s">
        <v>61</v>
      </c>
      <c r="Z36" s="425"/>
      <c r="AA36" s="424" t="s">
        <v>61</v>
      </c>
      <c r="AB36" s="426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</row>
    <row r="37" spans="1:43" ht="15" customHeight="1" x14ac:dyDescent="0.25">
      <c r="A37" s="475" t="s">
        <v>63</v>
      </c>
      <c r="B37" s="476"/>
      <c r="C37" s="37">
        <v>1</v>
      </c>
      <c r="D37" s="38" t="s">
        <v>64</v>
      </c>
      <c r="E37" s="461" t="s">
        <v>61</v>
      </c>
      <c r="F37" s="374"/>
      <c r="G37" s="429" t="s">
        <v>61</v>
      </c>
      <c r="H37" s="374"/>
      <c r="I37" s="429" t="s">
        <v>61</v>
      </c>
      <c r="J37" s="374"/>
      <c r="K37" s="429" t="s">
        <v>61</v>
      </c>
      <c r="L37" s="374"/>
      <c r="M37" s="429" t="s">
        <v>61</v>
      </c>
      <c r="N37" s="374"/>
      <c r="O37" s="429" t="s">
        <v>61</v>
      </c>
      <c r="P37" s="374"/>
      <c r="Q37" s="429" t="s">
        <v>61</v>
      </c>
      <c r="R37" s="374"/>
      <c r="S37" s="429" t="s">
        <v>61</v>
      </c>
      <c r="T37" s="374"/>
      <c r="U37" s="429" t="s">
        <v>61</v>
      </c>
      <c r="V37" s="374"/>
      <c r="W37" s="429" t="s">
        <v>61</v>
      </c>
      <c r="X37" s="374"/>
      <c r="Y37" s="429" t="s">
        <v>61</v>
      </c>
      <c r="Z37" s="374"/>
      <c r="AA37" s="429" t="s">
        <v>61</v>
      </c>
      <c r="AB37" s="462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</row>
    <row r="38" spans="1:43" ht="15" customHeight="1" x14ac:dyDescent="0.25">
      <c r="A38" s="449"/>
      <c r="B38" s="450"/>
      <c r="C38" s="39">
        <v>1</v>
      </c>
      <c r="D38" s="40" t="s">
        <v>65</v>
      </c>
      <c r="E38" s="442" t="s">
        <v>61</v>
      </c>
      <c r="F38" s="423"/>
      <c r="G38" s="421" t="s">
        <v>61</v>
      </c>
      <c r="H38" s="423"/>
      <c r="I38" s="421" t="s">
        <v>61</v>
      </c>
      <c r="J38" s="423"/>
      <c r="K38" s="421" t="s">
        <v>61</v>
      </c>
      <c r="L38" s="423"/>
      <c r="M38" s="421" t="s">
        <v>61</v>
      </c>
      <c r="N38" s="423"/>
      <c r="O38" s="421" t="s">
        <v>61</v>
      </c>
      <c r="P38" s="423"/>
      <c r="Q38" s="421" t="s">
        <v>61</v>
      </c>
      <c r="R38" s="423"/>
      <c r="S38" s="421" t="s">
        <v>61</v>
      </c>
      <c r="T38" s="423"/>
      <c r="U38" s="421" t="s">
        <v>61</v>
      </c>
      <c r="V38" s="423"/>
      <c r="W38" s="421" t="s">
        <v>61</v>
      </c>
      <c r="X38" s="423"/>
      <c r="Y38" s="421" t="s">
        <v>61</v>
      </c>
      <c r="Z38" s="423"/>
      <c r="AA38" s="421" t="s">
        <v>61</v>
      </c>
      <c r="AB38" s="422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</row>
    <row r="39" spans="1:43" ht="15" customHeight="1" x14ac:dyDescent="0.25">
      <c r="A39" s="449"/>
      <c r="B39" s="450"/>
      <c r="C39" s="39">
        <v>1</v>
      </c>
      <c r="D39" s="40" t="s">
        <v>66</v>
      </c>
      <c r="E39" s="442" t="s">
        <v>61</v>
      </c>
      <c r="F39" s="423"/>
      <c r="G39" s="421" t="s">
        <v>61</v>
      </c>
      <c r="H39" s="423"/>
      <c r="I39" s="421" t="s">
        <v>61</v>
      </c>
      <c r="J39" s="423"/>
      <c r="K39" s="421" t="s">
        <v>61</v>
      </c>
      <c r="L39" s="423"/>
      <c r="M39" s="421" t="s">
        <v>61</v>
      </c>
      <c r="N39" s="423"/>
      <c r="O39" s="421" t="s">
        <v>61</v>
      </c>
      <c r="P39" s="423"/>
      <c r="Q39" s="421" t="s">
        <v>61</v>
      </c>
      <c r="R39" s="423"/>
      <c r="S39" s="421" t="s">
        <v>61</v>
      </c>
      <c r="T39" s="423"/>
      <c r="U39" s="421" t="s">
        <v>61</v>
      </c>
      <c r="V39" s="423"/>
      <c r="W39" s="421" t="s">
        <v>61</v>
      </c>
      <c r="X39" s="423"/>
      <c r="Y39" s="421" t="s">
        <v>61</v>
      </c>
      <c r="Z39" s="423"/>
      <c r="AA39" s="421" t="s">
        <v>61</v>
      </c>
      <c r="AB39" s="422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</row>
    <row r="40" spans="1:43" ht="15" customHeight="1" x14ac:dyDescent="0.25">
      <c r="A40" s="449"/>
      <c r="B40" s="450"/>
      <c r="C40" s="39">
        <v>1</v>
      </c>
      <c r="D40" s="40" t="s">
        <v>67</v>
      </c>
      <c r="E40" s="442" t="s">
        <v>61</v>
      </c>
      <c r="F40" s="423"/>
      <c r="G40" s="421" t="s">
        <v>61</v>
      </c>
      <c r="H40" s="423"/>
      <c r="I40" s="421" t="s">
        <v>61</v>
      </c>
      <c r="J40" s="423"/>
      <c r="K40" s="421" t="s">
        <v>61</v>
      </c>
      <c r="L40" s="423"/>
      <c r="M40" s="421" t="s">
        <v>61</v>
      </c>
      <c r="N40" s="423"/>
      <c r="O40" s="421" t="s">
        <v>61</v>
      </c>
      <c r="P40" s="423"/>
      <c r="Q40" s="421" t="s">
        <v>61</v>
      </c>
      <c r="R40" s="423"/>
      <c r="S40" s="421" t="s">
        <v>61</v>
      </c>
      <c r="T40" s="423"/>
      <c r="U40" s="421" t="s">
        <v>61</v>
      </c>
      <c r="V40" s="423"/>
      <c r="W40" s="421" t="s">
        <v>61</v>
      </c>
      <c r="X40" s="423"/>
      <c r="Y40" s="421" t="s">
        <v>61</v>
      </c>
      <c r="Z40" s="423"/>
      <c r="AA40" s="421" t="s">
        <v>61</v>
      </c>
      <c r="AB40" s="422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</row>
    <row r="41" spans="1:43" ht="15" customHeight="1" x14ac:dyDescent="0.25">
      <c r="A41" s="449"/>
      <c r="B41" s="450"/>
      <c r="C41" s="39">
        <v>1</v>
      </c>
      <c r="D41" s="40" t="s">
        <v>68</v>
      </c>
      <c r="E41" s="442" t="s">
        <v>61</v>
      </c>
      <c r="F41" s="423"/>
      <c r="G41" s="421" t="s">
        <v>61</v>
      </c>
      <c r="H41" s="423"/>
      <c r="I41" s="421" t="s">
        <v>61</v>
      </c>
      <c r="J41" s="423"/>
      <c r="K41" s="421" t="s">
        <v>61</v>
      </c>
      <c r="L41" s="423"/>
      <c r="M41" s="421" t="s">
        <v>61</v>
      </c>
      <c r="N41" s="423"/>
      <c r="O41" s="421" t="s">
        <v>61</v>
      </c>
      <c r="P41" s="423"/>
      <c r="Q41" s="421" t="s">
        <v>61</v>
      </c>
      <c r="R41" s="423"/>
      <c r="S41" s="421" t="s">
        <v>61</v>
      </c>
      <c r="T41" s="423"/>
      <c r="U41" s="421" t="s">
        <v>61</v>
      </c>
      <c r="V41" s="423"/>
      <c r="W41" s="421" t="s">
        <v>61</v>
      </c>
      <c r="X41" s="423"/>
      <c r="Y41" s="421" t="s">
        <v>61</v>
      </c>
      <c r="Z41" s="423"/>
      <c r="AA41" s="421" t="s">
        <v>61</v>
      </c>
      <c r="AB41" s="422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</row>
    <row r="42" spans="1:43" ht="15" customHeight="1" thickBot="1" x14ac:dyDescent="0.3">
      <c r="A42" s="477"/>
      <c r="B42" s="478"/>
      <c r="C42" s="39">
        <v>1</v>
      </c>
      <c r="D42" s="40" t="s">
        <v>69</v>
      </c>
      <c r="E42" s="442" t="s">
        <v>61</v>
      </c>
      <c r="F42" s="423"/>
      <c r="G42" s="421" t="s">
        <v>61</v>
      </c>
      <c r="H42" s="423"/>
      <c r="I42" s="421" t="s">
        <v>61</v>
      </c>
      <c r="J42" s="423"/>
      <c r="K42" s="421" t="s">
        <v>61</v>
      </c>
      <c r="L42" s="423"/>
      <c r="M42" s="421" t="s">
        <v>61</v>
      </c>
      <c r="N42" s="423"/>
      <c r="O42" s="421" t="s">
        <v>61</v>
      </c>
      <c r="P42" s="423"/>
      <c r="Q42" s="421" t="s">
        <v>61</v>
      </c>
      <c r="R42" s="423"/>
      <c r="S42" s="421" t="s">
        <v>61</v>
      </c>
      <c r="T42" s="423"/>
      <c r="U42" s="421" t="s">
        <v>61</v>
      </c>
      <c r="V42" s="423"/>
      <c r="W42" s="421" t="s">
        <v>61</v>
      </c>
      <c r="X42" s="423"/>
      <c r="Y42" s="421" t="s">
        <v>61</v>
      </c>
      <c r="Z42" s="423"/>
      <c r="AA42" s="421" t="s">
        <v>61</v>
      </c>
      <c r="AB42" s="422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</row>
    <row r="43" spans="1:43" ht="27.75" customHeight="1" thickBot="1" x14ac:dyDescent="0.3">
      <c r="A43" s="479" t="s">
        <v>70</v>
      </c>
      <c r="B43" s="480"/>
      <c r="C43" s="37">
        <f>SUM(C32:C36)</f>
        <v>5</v>
      </c>
      <c r="D43" s="180" t="s">
        <v>170</v>
      </c>
      <c r="E43" s="442" t="s">
        <v>61</v>
      </c>
      <c r="F43" s="423"/>
      <c r="G43" s="421" t="s">
        <v>61</v>
      </c>
      <c r="H43" s="423"/>
      <c r="I43" s="421" t="s">
        <v>61</v>
      </c>
      <c r="J43" s="423"/>
      <c r="K43" s="421" t="s">
        <v>61</v>
      </c>
      <c r="L43" s="423"/>
      <c r="M43" s="421" t="s">
        <v>61</v>
      </c>
      <c r="N43" s="423"/>
      <c r="O43" s="421" t="s">
        <v>61</v>
      </c>
      <c r="P43" s="423"/>
      <c r="Q43" s="421" t="s">
        <v>61</v>
      </c>
      <c r="R43" s="423"/>
      <c r="S43" s="421" t="s">
        <v>61</v>
      </c>
      <c r="T43" s="423"/>
      <c r="U43" s="421" t="s">
        <v>61</v>
      </c>
      <c r="V43" s="423"/>
      <c r="W43" s="421" t="s">
        <v>61</v>
      </c>
      <c r="X43" s="423"/>
      <c r="Y43" s="421" t="s">
        <v>61</v>
      </c>
      <c r="Z43" s="423"/>
      <c r="AA43" s="421" t="s">
        <v>61</v>
      </c>
      <c r="AB43" s="422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</row>
    <row r="44" spans="1:43" ht="18.75" customHeight="1" x14ac:dyDescent="0.25">
      <c r="A44" s="41"/>
      <c r="B44" s="41"/>
      <c r="C44" s="1"/>
      <c r="D44" s="31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</row>
    <row r="45" spans="1:43" ht="6.75" customHeight="1" thickBot="1" x14ac:dyDescent="0.3">
      <c r="A45" s="43"/>
      <c r="B45" s="43"/>
      <c r="C45" s="44"/>
      <c r="D45" s="45"/>
      <c r="E45" s="46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/>
      <c r="AO45" s="44"/>
      <c r="AP45" s="44"/>
      <c r="AQ45" s="44"/>
    </row>
    <row r="46" spans="1:43" ht="27" thickBot="1" x14ac:dyDescent="0.45">
      <c r="A46" s="468" t="s">
        <v>72</v>
      </c>
      <c r="B46" s="468"/>
      <c r="C46" s="468"/>
      <c r="D46" s="468"/>
      <c r="E46" s="468"/>
      <c r="F46" s="468"/>
      <c r="G46" s="468"/>
      <c r="H46" s="468"/>
      <c r="I46" s="468"/>
      <c r="J46" s="468"/>
      <c r="K46" s="468"/>
      <c r="L46" s="468"/>
      <c r="M46" s="468"/>
      <c r="N46" s="468"/>
      <c r="O46" s="468"/>
      <c r="P46" s="468"/>
      <c r="Q46" s="468"/>
      <c r="R46" s="468"/>
      <c r="S46" s="468"/>
      <c r="T46" s="468"/>
      <c r="U46" s="468"/>
      <c r="V46" s="468"/>
      <c r="W46" s="468"/>
      <c r="X46" s="468"/>
      <c r="Y46" s="468"/>
      <c r="Z46" s="468"/>
      <c r="AA46" s="468"/>
      <c r="AB46" s="468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</row>
    <row r="47" spans="1:43" ht="15.75" customHeight="1" thickBot="1" x14ac:dyDescent="0.3">
      <c r="A47" s="440" t="s">
        <v>192</v>
      </c>
      <c r="B47" s="440" t="s">
        <v>34</v>
      </c>
      <c r="C47" s="440" t="s">
        <v>40</v>
      </c>
      <c r="D47" s="464"/>
      <c r="E47" s="439" t="s">
        <v>41</v>
      </c>
      <c r="F47" s="464"/>
      <c r="G47" s="439" t="s">
        <v>42</v>
      </c>
      <c r="H47" s="464"/>
      <c r="I47" s="439" t="s">
        <v>43</v>
      </c>
      <c r="J47" s="464"/>
      <c r="K47" s="439" t="s">
        <v>44</v>
      </c>
      <c r="L47" s="464"/>
      <c r="M47" s="439" t="s">
        <v>45</v>
      </c>
      <c r="N47" s="464"/>
      <c r="O47" s="439" t="s">
        <v>46</v>
      </c>
      <c r="P47" s="464"/>
      <c r="Q47" s="439" t="s">
        <v>47</v>
      </c>
      <c r="R47" s="464"/>
      <c r="S47" s="439" t="s">
        <v>48</v>
      </c>
      <c r="T47" s="464"/>
      <c r="U47" s="439" t="s">
        <v>49</v>
      </c>
      <c r="V47" s="464"/>
      <c r="W47" s="439" t="s">
        <v>50</v>
      </c>
      <c r="X47" s="464"/>
      <c r="Y47" s="439" t="s">
        <v>51</v>
      </c>
      <c r="Z47" s="464"/>
      <c r="AA47" s="439" t="s">
        <v>52</v>
      </c>
      <c r="AB47" s="464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</row>
    <row r="48" spans="1:43" ht="15.75" customHeight="1" thickBot="1" x14ac:dyDescent="0.3">
      <c r="A48" s="464"/>
      <c r="B48" s="464"/>
      <c r="C48" s="440" t="s">
        <v>54</v>
      </c>
      <c r="D48" s="440" t="s">
        <v>53</v>
      </c>
      <c r="E48" s="427">
        <v>0.05</v>
      </c>
      <c r="F48" s="428"/>
      <c r="G48" s="427">
        <v>0.05</v>
      </c>
      <c r="H48" s="427"/>
      <c r="I48" s="427">
        <v>0.05</v>
      </c>
      <c r="J48" s="428"/>
      <c r="K48" s="427">
        <v>7.0000000000000007E-2</v>
      </c>
      <c r="L48" s="427"/>
      <c r="M48" s="427">
        <v>0.1</v>
      </c>
      <c r="N48" s="428"/>
      <c r="O48" s="427">
        <v>0.15</v>
      </c>
      <c r="P48" s="427"/>
      <c r="Q48" s="427">
        <v>7.0000000000000007E-2</v>
      </c>
      <c r="R48" s="428"/>
      <c r="S48" s="427">
        <v>7.0000000000000007E-2</v>
      </c>
      <c r="T48" s="427"/>
      <c r="U48" s="427">
        <v>7.0000000000000007E-2</v>
      </c>
      <c r="V48" s="428"/>
      <c r="W48" s="427">
        <v>7.0000000000000007E-2</v>
      </c>
      <c r="X48" s="427"/>
      <c r="Y48" s="427">
        <v>0.1</v>
      </c>
      <c r="Z48" s="428"/>
      <c r="AA48" s="427">
        <v>0.15</v>
      </c>
      <c r="AB48" s="427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</row>
    <row r="49" spans="1:293" ht="15.75" customHeight="1" thickBot="1" x14ac:dyDescent="0.3">
      <c r="A49" s="464"/>
      <c r="B49" s="464"/>
      <c r="C49" s="428"/>
      <c r="D49" s="428"/>
      <c r="E49" s="206" t="s">
        <v>54</v>
      </c>
      <c r="F49" s="206" t="s">
        <v>53</v>
      </c>
      <c r="G49" s="206" t="s">
        <v>54</v>
      </c>
      <c r="H49" s="206" t="s">
        <v>53</v>
      </c>
      <c r="I49" s="206" t="s">
        <v>54</v>
      </c>
      <c r="J49" s="206" t="s">
        <v>53</v>
      </c>
      <c r="K49" s="206" t="s">
        <v>54</v>
      </c>
      <c r="L49" s="206" t="s">
        <v>53</v>
      </c>
      <c r="M49" s="206" t="s">
        <v>54</v>
      </c>
      <c r="N49" s="206" t="s">
        <v>53</v>
      </c>
      <c r="O49" s="206" t="s">
        <v>54</v>
      </c>
      <c r="P49" s="206" t="s">
        <v>53</v>
      </c>
      <c r="Q49" s="206" t="s">
        <v>54</v>
      </c>
      <c r="R49" s="206" t="s">
        <v>53</v>
      </c>
      <c r="S49" s="206" t="s">
        <v>54</v>
      </c>
      <c r="T49" s="206" t="s">
        <v>53</v>
      </c>
      <c r="U49" s="206" t="s">
        <v>54</v>
      </c>
      <c r="V49" s="206" t="s">
        <v>53</v>
      </c>
      <c r="W49" s="206" t="s">
        <v>54</v>
      </c>
      <c r="X49" s="206" t="s">
        <v>53</v>
      </c>
      <c r="Y49" s="206" t="s">
        <v>54</v>
      </c>
      <c r="Z49" s="206" t="s">
        <v>53</v>
      </c>
      <c r="AA49" s="206" t="s">
        <v>54</v>
      </c>
      <c r="AB49" s="206" t="s">
        <v>53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</row>
    <row r="50" spans="1:293" s="189" customFormat="1" ht="15.75" customHeight="1" thickBot="1" x14ac:dyDescent="0.3">
      <c r="A50" s="207" t="s">
        <v>190</v>
      </c>
      <c r="B50" s="208">
        <f>B19</f>
        <v>80000</v>
      </c>
      <c r="C50" s="242">
        <f>E50+G50+I50+K50+M50+O50+Q50+S50+U50+W50+Y50+AA50</f>
        <v>6</v>
      </c>
      <c r="D50" s="241">
        <f>B50*C50</f>
        <v>480000</v>
      </c>
      <c r="E50" s="243">
        <v>0</v>
      </c>
      <c r="F50" s="241">
        <f>B50*E50</f>
        <v>0</v>
      </c>
      <c r="G50" s="243">
        <v>0</v>
      </c>
      <c r="H50" s="241">
        <f>B50*G50</f>
        <v>0</v>
      </c>
      <c r="I50" s="243">
        <v>0</v>
      </c>
      <c r="J50" s="241">
        <f t="shared" ref="J50" si="15">F50*I50</f>
        <v>0</v>
      </c>
      <c r="K50" s="243">
        <v>0</v>
      </c>
      <c r="L50" s="241">
        <f>K50*B50</f>
        <v>0</v>
      </c>
      <c r="M50" s="243">
        <v>1</v>
      </c>
      <c r="N50" s="241">
        <f>M50*B50</f>
        <v>80000</v>
      </c>
      <c r="O50" s="243">
        <v>1</v>
      </c>
      <c r="P50" s="241">
        <f>O50*B50</f>
        <v>80000</v>
      </c>
      <c r="Q50" s="243">
        <v>1</v>
      </c>
      <c r="R50" s="241">
        <f t="shared" ref="R50" si="16">N50*Q50</f>
        <v>80000</v>
      </c>
      <c r="S50" s="243">
        <v>0</v>
      </c>
      <c r="T50" s="241">
        <f>S50*B50</f>
        <v>0</v>
      </c>
      <c r="U50" s="243">
        <v>1</v>
      </c>
      <c r="V50" s="241">
        <f t="shared" ref="V50:V52" si="17">R50*U50</f>
        <v>80000</v>
      </c>
      <c r="W50" s="243">
        <v>0</v>
      </c>
      <c r="X50" s="241">
        <f t="shared" ref="X50:X52" si="18">R50*W50</f>
        <v>0</v>
      </c>
      <c r="Y50" s="243">
        <v>1</v>
      </c>
      <c r="Z50" s="241">
        <f t="shared" ref="Z50:Z52" si="19">V50*Y50</f>
        <v>80000</v>
      </c>
      <c r="AA50" s="243">
        <v>1</v>
      </c>
      <c r="AB50" s="241">
        <f t="shared" ref="AB50:AB52" si="20">V50*AA50</f>
        <v>80000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  <c r="EK50" s="193"/>
      <c r="EL50" s="193"/>
      <c r="EM50" s="193"/>
      <c r="EN50" s="193"/>
      <c r="EO50" s="193"/>
      <c r="EP50" s="193"/>
      <c r="EQ50" s="193"/>
      <c r="ER50" s="193"/>
      <c r="ES50" s="193"/>
      <c r="ET50" s="193"/>
      <c r="EU50" s="193"/>
      <c r="EV50" s="193"/>
      <c r="EW50" s="193"/>
      <c r="EX50" s="193"/>
      <c r="EY50" s="193"/>
      <c r="EZ50" s="193"/>
      <c r="FA50" s="193"/>
      <c r="FB50" s="193"/>
      <c r="FC50" s="193"/>
      <c r="FD50" s="193"/>
      <c r="FE50" s="193"/>
      <c r="FF50" s="193"/>
      <c r="FG50" s="193"/>
      <c r="FH50" s="193"/>
      <c r="FI50" s="193"/>
      <c r="FJ50" s="193"/>
      <c r="FK50" s="193"/>
      <c r="FL50" s="193"/>
      <c r="FM50" s="193"/>
      <c r="FN50" s="193"/>
      <c r="FO50" s="193"/>
      <c r="FP50" s="193"/>
      <c r="FQ50" s="193"/>
      <c r="FR50" s="193"/>
      <c r="FS50" s="193"/>
      <c r="FT50" s="193"/>
      <c r="FU50" s="193"/>
      <c r="FV50" s="193"/>
      <c r="FW50" s="193"/>
      <c r="FX50" s="193"/>
      <c r="FY50" s="193"/>
      <c r="FZ50" s="193"/>
      <c r="GA50" s="193"/>
      <c r="GB50" s="193"/>
      <c r="GC50" s="193"/>
      <c r="GD50" s="193"/>
      <c r="GE50" s="193"/>
      <c r="GF50" s="193"/>
      <c r="GG50" s="193"/>
      <c r="GH50" s="193"/>
      <c r="GI50" s="193"/>
      <c r="GJ50" s="193"/>
      <c r="GK50" s="193"/>
      <c r="GL50" s="193"/>
      <c r="GM50" s="193"/>
      <c r="GN50" s="193"/>
      <c r="GO50" s="193"/>
      <c r="GP50" s="193"/>
      <c r="GQ50" s="193"/>
      <c r="GR50" s="193"/>
      <c r="GS50" s="193"/>
      <c r="GT50" s="193"/>
      <c r="GU50" s="193"/>
      <c r="GV50" s="193"/>
      <c r="GW50" s="193"/>
      <c r="GX50" s="193"/>
      <c r="GY50" s="193"/>
      <c r="GZ50" s="193"/>
      <c r="HA50" s="193"/>
      <c r="HB50" s="193"/>
      <c r="HC50" s="193"/>
      <c r="HD50" s="193"/>
      <c r="HE50" s="193"/>
      <c r="HF50" s="193"/>
      <c r="HG50" s="193"/>
      <c r="HH50" s="193"/>
      <c r="HI50" s="193"/>
      <c r="HJ50" s="193"/>
      <c r="HK50" s="193"/>
      <c r="HL50" s="193"/>
      <c r="HM50" s="193"/>
      <c r="HN50" s="193"/>
      <c r="HO50" s="193"/>
      <c r="HP50" s="193"/>
      <c r="HQ50" s="193"/>
      <c r="HR50" s="193"/>
      <c r="HS50" s="193"/>
      <c r="HT50" s="193"/>
      <c r="HU50" s="193"/>
      <c r="HV50" s="193"/>
      <c r="HW50" s="193"/>
      <c r="HX50" s="193"/>
      <c r="HY50" s="193"/>
      <c r="HZ50" s="193"/>
      <c r="IA50" s="193"/>
      <c r="IB50" s="193"/>
      <c r="IC50" s="193"/>
      <c r="ID50" s="193"/>
      <c r="IE50" s="193"/>
      <c r="IF50" s="193"/>
      <c r="IG50" s="193"/>
      <c r="IH50" s="193"/>
      <c r="II50" s="193"/>
      <c r="IJ50" s="193"/>
      <c r="IK50" s="193"/>
      <c r="IL50" s="193"/>
      <c r="IM50" s="193"/>
      <c r="IN50" s="193"/>
      <c r="IO50" s="193"/>
      <c r="IP50" s="193"/>
      <c r="IQ50" s="193"/>
      <c r="IR50" s="193"/>
      <c r="IS50" s="193"/>
      <c r="IT50" s="193"/>
      <c r="IU50" s="193"/>
      <c r="IV50" s="193"/>
      <c r="IW50" s="193"/>
      <c r="IX50" s="193"/>
      <c r="IY50" s="193"/>
      <c r="IZ50" s="193"/>
      <c r="JA50" s="193"/>
      <c r="JB50" s="193"/>
      <c r="JC50" s="193"/>
      <c r="JD50" s="193"/>
      <c r="JE50" s="193"/>
      <c r="JF50" s="193"/>
      <c r="JG50" s="193"/>
      <c r="JH50" s="193"/>
      <c r="JI50" s="193"/>
      <c r="JJ50" s="193"/>
      <c r="JK50" s="193"/>
      <c r="JL50" s="193"/>
      <c r="JM50" s="193"/>
      <c r="JN50" s="193"/>
      <c r="JO50" s="193"/>
      <c r="JP50" s="193"/>
      <c r="JQ50" s="193"/>
      <c r="JR50" s="193"/>
      <c r="JS50" s="193"/>
      <c r="JT50" s="193"/>
      <c r="JU50" s="193"/>
      <c r="JV50" s="193"/>
      <c r="JW50" s="193"/>
      <c r="JX50" s="193"/>
      <c r="JY50" s="193"/>
      <c r="JZ50" s="193"/>
      <c r="KA50" s="193"/>
      <c r="KB50" s="193"/>
      <c r="KC50" s="193"/>
      <c r="KD50" s="193"/>
      <c r="KE50" s="193"/>
      <c r="KF50" s="193"/>
      <c r="KG50" s="193"/>
    </row>
    <row r="51" spans="1:293" s="190" customFormat="1" ht="15.75" customHeight="1" thickBot="1" x14ac:dyDescent="0.3">
      <c r="A51" s="209" t="s">
        <v>191</v>
      </c>
      <c r="B51" s="210">
        <f>B20</f>
        <v>90000</v>
      </c>
      <c r="C51" s="245">
        <f>E51+G51+I51+K51+M51+O51+Q51+S51+U51+W51+Y51+AA51</f>
        <v>16</v>
      </c>
      <c r="D51" s="244">
        <f>B51*C51</f>
        <v>1440000</v>
      </c>
      <c r="E51" s="245">
        <v>0</v>
      </c>
      <c r="F51" s="246">
        <f>B51*E51</f>
        <v>0</v>
      </c>
      <c r="G51" s="245">
        <v>0</v>
      </c>
      <c r="H51" s="246">
        <f>B51*G51</f>
        <v>0</v>
      </c>
      <c r="I51" s="245">
        <v>1</v>
      </c>
      <c r="J51" s="246">
        <f>$B$51*I51</f>
        <v>90000</v>
      </c>
      <c r="K51" s="245">
        <v>1</v>
      </c>
      <c r="L51" s="246">
        <f>K51*$B$51</f>
        <v>90000</v>
      </c>
      <c r="M51" s="245">
        <v>2</v>
      </c>
      <c r="N51" s="246">
        <f>M51*$B$51</f>
        <v>180000</v>
      </c>
      <c r="O51" s="245">
        <v>3</v>
      </c>
      <c r="P51" s="246">
        <f>O51*$B$51</f>
        <v>270000</v>
      </c>
      <c r="Q51" s="245">
        <v>1</v>
      </c>
      <c r="R51" s="246">
        <f>Q51*B51</f>
        <v>90000</v>
      </c>
      <c r="S51" s="245">
        <v>1</v>
      </c>
      <c r="T51" s="246">
        <f>B51*S51</f>
        <v>90000</v>
      </c>
      <c r="U51" s="245">
        <v>1</v>
      </c>
      <c r="V51" s="246">
        <f t="shared" si="17"/>
        <v>90000</v>
      </c>
      <c r="W51" s="245">
        <v>1</v>
      </c>
      <c r="X51" s="246">
        <f t="shared" si="18"/>
        <v>90000</v>
      </c>
      <c r="Y51" s="245">
        <v>2</v>
      </c>
      <c r="Z51" s="246">
        <f t="shared" si="19"/>
        <v>180000</v>
      </c>
      <c r="AA51" s="245">
        <v>3</v>
      </c>
      <c r="AB51" s="246">
        <f t="shared" si="20"/>
        <v>270000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  <c r="EK51" s="193"/>
      <c r="EL51" s="193"/>
      <c r="EM51" s="193"/>
      <c r="EN51" s="193"/>
      <c r="EO51" s="193"/>
      <c r="EP51" s="193"/>
      <c r="EQ51" s="193"/>
      <c r="ER51" s="193"/>
      <c r="ES51" s="193"/>
      <c r="ET51" s="193"/>
      <c r="EU51" s="193"/>
      <c r="EV51" s="193"/>
      <c r="EW51" s="193"/>
      <c r="EX51" s="193"/>
      <c r="EY51" s="193"/>
      <c r="EZ51" s="193"/>
      <c r="FA51" s="193"/>
      <c r="FB51" s="193"/>
      <c r="FC51" s="193"/>
      <c r="FD51" s="193"/>
      <c r="FE51" s="193"/>
      <c r="FF51" s="193"/>
      <c r="FG51" s="193"/>
      <c r="FH51" s="193"/>
      <c r="FI51" s="193"/>
      <c r="FJ51" s="193"/>
      <c r="FK51" s="193"/>
      <c r="FL51" s="193"/>
      <c r="FM51" s="193"/>
      <c r="FN51" s="193"/>
      <c r="FO51" s="193"/>
      <c r="FP51" s="193"/>
      <c r="FQ51" s="193"/>
      <c r="FR51" s="193"/>
      <c r="FS51" s="193"/>
      <c r="FT51" s="193"/>
      <c r="FU51" s="193"/>
      <c r="FV51" s="193"/>
      <c r="FW51" s="193"/>
      <c r="FX51" s="193"/>
      <c r="FY51" s="193"/>
      <c r="FZ51" s="193"/>
      <c r="GA51" s="193"/>
      <c r="GB51" s="193"/>
      <c r="GC51" s="193"/>
      <c r="GD51" s="193"/>
      <c r="GE51" s="193"/>
      <c r="GF51" s="193"/>
      <c r="GG51" s="193"/>
      <c r="GH51" s="193"/>
      <c r="GI51" s="193"/>
      <c r="GJ51" s="193"/>
      <c r="GK51" s="193"/>
      <c r="GL51" s="193"/>
      <c r="GM51" s="193"/>
      <c r="GN51" s="193"/>
      <c r="GO51" s="193"/>
      <c r="GP51" s="193"/>
      <c r="GQ51" s="193"/>
      <c r="GR51" s="193"/>
      <c r="GS51" s="193"/>
      <c r="GT51" s="193"/>
      <c r="GU51" s="193"/>
      <c r="GV51" s="193"/>
      <c r="GW51" s="193"/>
      <c r="GX51" s="193"/>
      <c r="GY51" s="193"/>
      <c r="GZ51" s="193"/>
      <c r="HA51" s="193"/>
      <c r="HB51" s="193"/>
      <c r="HC51" s="193"/>
      <c r="HD51" s="193"/>
      <c r="HE51" s="193"/>
      <c r="HF51" s="193"/>
      <c r="HG51" s="193"/>
      <c r="HH51" s="193"/>
      <c r="HI51" s="193"/>
      <c r="HJ51" s="193"/>
      <c r="HK51" s="193"/>
      <c r="HL51" s="193"/>
      <c r="HM51" s="193"/>
      <c r="HN51" s="193"/>
      <c r="HO51" s="193"/>
      <c r="HP51" s="193"/>
      <c r="HQ51" s="193"/>
      <c r="HR51" s="193"/>
      <c r="HS51" s="193"/>
      <c r="HT51" s="193"/>
      <c r="HU51" s="193"/>
      <c r="HV51" s="193"/>
      <c r="HW51" s="193"/>
      <c r="HX51" s="193"/>
      <c r="HY51" s="193"/>
      <c r="HZ51" s="193"/>
      <c r="IA51" s="193"/>
      <c r="IB51" s="193"/>
      <c r="IC51" s="193"/>
      <c r="ID51" s="193"/>
      <c r="IE51" s="193"/>
      <c r="IF51" s="193"/>
      <c r="IG51" s="193"/>
      <c r="IH51" s="193"/>
      <c r="II51" s="193"/>
      <c r="IJ51" s="193"/>
      <c r="IK51" s="193"/>
      <c r="IL51" s="193"/>
      <c r="IM51" s="193"/>
      <c r="IN51" s="193"/>
      <c r="IO51" s="193"/>
      <c r="IP51" s="193"/>
      <c r="IQ51" s="193"/>
      <c r="IR51" s="193"/>
      <c r="IS51" s="193"/>
      <c r="IT51" s="193"/>
      <c r="IU51" s="193"/>
      <c r="IV51" s="193"/>
      <c r="IW51" s="193"/>
      <c r="IX51" s="193"/>
      <c r="IY51" s="193"/>
      <c r="IZ51" s="193"/>
      <c r="JA51" s="193"/>
      <c r="JB51" s="193"/>
      <c r="JC51" s="193"/>
      <c r="JD51" s="193"/>
      <c r="JE51" s="193"/>
      <c r="JF51" s="193"/>
      <c r="JG51" s="193"/>
      <c r="JH51" s="193"/>
      <c r="JI51" s="193"/>
      <c r="JJ51" s="193"/>
      <c r="JK51" s="193"/>
      <c r="JL51" s="193"/>
      <c r="JM51" s="193"/>
      <c r="JN51" s="193"/>
      <c r="JO51" s="193"/>
      <c r="JP51" s="193"/>
      <c r="JQ51" s="193"/>
      <c r="JR51" s="193"/>
      <c r="JS51" s="193"/>
      <c r="JT51" s="193"/>
      <c r="JU51" s="193"/>
      <c r="JV51" s="193"/>
      <c r="JW51" s="193"/>
      <c r="JX51" s="193"/>
      <c r="JY51" s="193"/>
      <c r="JZ51" s="193"/>
      <c r="KA51" s="193"/>
      <c r="KB51" s="193"/>
      <c r="KC51" s="193"/>
      <c r="KD51" s="193"/>
      <c r="KE51" s="193"/>
      <c r="KF51" s="193"/>
      <c r="KG51" s="193"/>
    </row>
    <row r="52" spans="1:293" s="191" customFormat="1" ht="15.75" customHeight="1" thickBot="1" x14ac:dyDescent="0.3">
      <c r="A52" s="211" t="s">
        <v>36</v>
      </c>
      <c r="B52" s="212">
        <f>B21</f>
        <v>100000</v>
      </c>
      <c r="C52" s="248">
        <f>E52+G52+I52+K52+M52+O52+Q52+S52+U52+W52+Y52+AA52</f>
        <v>13</v>
      </c>
      <c r="D52" s="247">
        <f>B52*C52</f>
        <v>1300000</v>
      </c>
      <c r="E52" s="249">
        <v>1</v>
      </c>
      <c r="F52" s="250">
        <f>B52*E52</f>
        <v>100000</v>
      </c>
      <c r="G52" s="249">
        <v>1</v>
      </c>
      <c r="H52" s="250">
        <f>B52*G52</f>
        <v>100000</v>
      </c>
      <c r="I52" s="249">
        <v>0</v>
      </c>
      <c r="J52" s="250">
        <f>$B$52*I52</f>
        <v>0</v>
      </c>
      <c r="K52" s="249">
        <v>1</v>
      </c>
      <c r="L52" s="250">
        <f>$B$52*K52</f>
        <v>100000</v>
      </c>
      <c r="M52" s="249">
        <v>1</v>
      </c>
      <c r="N52" s="250">
        <f>$B$52*M52</f>
        <v>100000</v>
      </c>
      <c r="O52" s="249">
        <v>2</v>
      </c>
      <c r="P52" s="250">
        <f>$B$52*O52</f>
        <v>200000</v>
      </c>
      <c r="Q52" s="249">
        <v>1</v>
      </c>
      <c r="R52" s="250">
        <f t="shared" ref="R52" si="21">N52*Q52</f>
        <v>100000</v>
      </c>
      <c r="S52" s="249">
        <v>1</v>
      </c>
      <c r="T52" s="250">
        <f t="shared" ref="T52" si="22">N52*S52</f>
        <v>100000</v>
      </c>
      <c r="U52" s="249">
        <v>1</v>
      </c>
      <c r="V52" s="250">
        <f t="shared" si="17"/>
        <v>100000</v>
      </c>
      <c r="W52" s="249">
        <v>1</v>
      </c>
      <c r="X52" s="250">
        <f t="shared" si="18"/>
        <v>100000</v>
      </c>
      <c r="Y52" s="249">
        <v>1</v>
      </c>
      <c r="Z52" s="250">
        <f t="shared" si="19"/>
        <v>100000</v>
      </c>
      <c r="AA52" s="249">
        <v>2</v>
      </c>
      <c r="AB52" s="250">
        <f t="shared" si="20"/>
        <v>200000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  <c r="EK52" s="193"/>
      <c r="EL52" s="193"/>
      <c r="EM52" s="193"/>
      <c r="EN52" s="193"/>
      <c r="EO52" s="193"/>
      <c r="EP52" s="193"/>
      <c r="EQ52" s="193"/>
      <c r="ER52" s="193"/>
      <c r="ES52" s="193"/>
      <c r="ET52" s="193"/>
      <c r="EU52" s="193"/>
      <c r="EV52" s="193"/>
      <c r="EW52" s="193"/>
      <c r="EX52" s="193"/>
      <c r="EY52" s="193"/>
      <c r="EZ52" s="193"/>
      <c r="FA52" s="193"/>
      <c r="FB52" s="193"/>
      <c r="FC52" s="193"/>
      <c r="FD52" s="193"/>
      <c r="FE52" s="193"/>
      <c r="FF52" s="193"/>
      <c r="FG52" s="193"/>
      <c r="FH52" s="193"/>
      <c r="FI52" s="193"/>
      <c r="FJ52" s="193"/>
      <c r="FK52" s="193"/>
      <c r="FL52" s="193"/>
      <c r="FM52" s="193"/>
      <c r="FN52" s="193"/>
      <c r="FO52" s="193"/>
      <c r="FP52" s="193"/>
      <c r="FQ52" s="193"/>
      <c r="FR52" s="193"/>
      <c r="FS52" s="193"/>
      <c r="FT52" s="193"/>
      <c r="FU52" s="193"/>
      <c r="FV52" s="193"/>
      <c r="FW52" s="193"/>
      <c r="FX52" s="193"/>
      <c r="FY52" s="193"/>
      <c r="FZ52" s="193"/>
      <c r="GA52" s="193"/>
      <c r="GB52" s="193"/>
      <c r="GC52" s="193"/>
      <c r="GD52" s="193"/>
      <c r="GE52" s="193"/>
      <c r="GF52" s="193"/>
      <c r="GG52" s="193"/>
      <c r="GH52" s="193"/>
      <c r="GI52" s="193"/>
      <c r="GJ52" s="193"/>
      <c r="GK52" s="193"/>
      <c r="GL52" s="193"/>
      <c r="GM52" s="193"/>
      <c r="GN52" s="193"/>
      <c r="GO52" s="193"/>
      <c r="GP52" s="193"/>
      <c r="GQ52" s="193"/>
      <c r="GR52" s="193"/>
      <c r="GS52" s="193"/>
      <c r="GT52" s="193"/>
      <c r="GU52" s="193"/>
      <c r="GV52" s="193"/>
      <c r="GW52" s="193"/>
      <c r="GX52" s="193"/>
      <c r="GY52" s="193"/>
      <c r="GZ52" s="193"/>
      <c r="HA52" s="193"/>
      <c r="HB52" s="193"/>
      <c r="HC52" s="193"/>
      <c r="HD52" s="193"/>
      <c r="HE52" s="193"/>
      <c r="HF52" s="193"/>
      <c r="HG52" s="193"/>
      <c r="HH52" s="193"/>
      <c r="HI52" s="193"/>
      <c r="HJ52" s="193"/>
      <c r="HK52" s="193"/>
      <c r="HL52" s="193"/>
      <c r="HM52" s="193"/>
      <c r="HN52" s="193"/>
      <c r="HO52" s="193"/>
      <c r="HP52" s="193"/>
      <c r="HQ52" s="193"/>
      <c r="HR52" s="193"/>
      <c r="HS52" s="193"/>
      <c r="HT52" s="193"/>
      <c r="HU52" s="193"/>
      <c r="HV52" s="193"/>
      <c r="HW52" s="193"/>
      <c r="HX52" s="193"/>
      <c r="HY52" s="193"/>
      <c r="HZ52" s="193"/>
      <c r="IA52" s="193"/>
      <c r="IB52" s="193"/>
      <c r="IC52" s="193"/>
      <c r="ID52" s="193"/>
      <c r="IE52" s="193"/>
      <c r="IF52" s="193"/>
      <c r="IG52" s="193"/>
      <c r="IH52" s="193"/>
      <c r="II52" s="193"/>
      <c r="IJ52" s="193"/>
      <c r="IK52" s="193"/>
      <c r="IL52" s="193"/>
      <c r="IM52" s="193"/>
      <c r="IN52" s="193"/>
      <c r="IO52" s="193"/>
      <c r="IP52" s="193"/>
      <c r="IQ52" s="193"/>
      <c r="IR52" s="193"/>
      <c r="IS52" s="193"/>
      <c r="IT52" s="193"/>
      <c r="IU52" s="193"/>
      <c r="IV52" s="193"/>
      <c r="IW52" s="193"/>
      <c r="IX52" s="193"/>
      <c r="IY52" s="193"/>
      <c r="IZ52" s="193"/>
      <c r="JA52" s="193"/>
      <c r="JB52" s="193"/>
      <c r="JC52" s="193"/>
      <c r="JD52" s="193"/>
      <c r="JE52" s="193"/>
      <c r="JF52" s="193"/>
      <c r="JG52" s="193"/>
      <c r="JH52" s="193"/>
      <c r="JI52" s="193"/>
      <c r="JJ52" s="193"/>
      <c r="JK52" s="193"/>
      <c r="JL52" s="193"/>
      <c r="JM52" s="193"/>
      <c r="JN52" s="193"/>
      <c r="JO52" s="193"/>
      <c r="JP52" s="193"/>
      <c r="JQ52" s="193"/>
      <c r="JR52" s="193"/>
      <c r="JS52" s="193"/>
      <c r="JT52" s="193"/>
      <c r="JU52" s="193"/>
      <c r="JV52" s="193"/>
      <c r="JW52" s="193"/>
      <c r="JX52" s="193"/>
      <c r="JY52" s="193"/>
      <c r="JZ52" s="193"/>
      <c r="KA52" s="193"/>
      <c r="KB52" s="193"/>
      <c r="KC52" s="193"/>
      <c r="KD52" s="193"/>
      <c r="KE52" s="193"/>
      <c r="KF52" s="193"/>
      <c r="KG52" s="193"/>
    </row>
    <row r="53" spans="1:293" ht="15.75" customHeight="1" thickBot="1" x14ac:dyDescent="0.3">
      <c r="A53" s="472" t="s">
        <v>55</v>
      </c>
      <c r="B53" s="473"/>
      <c r="C53" s="278">
        <f t="shared" ref="C53:J53" si="23">SUM(C50:C52)</f>
        <v>35</v>
      </c>
      <c r="D53" s="279">
        <f t="shared" si="23"/>
        <v>3220000</v>
      </c>
      <c r="E53" s="277">
        <f t="shared" si="23"/>
        <v>1</v>
      </c>
      <c r="F53" s="279">
        <f t="shared" si="23"/>
        <v>100000</v>
      </c>
      <c r="G53" s="277">
        <f t="shared" si="23"/>
        <v>1</v>
      </c>
      <c r="H53" s="279">
        <f t="shared" si="23"/>
        <v>100000</v>
      </c>
      <c r="I53" s="277">
        <f t="shared" si="23"/>
        <v>1</v>
      </c>
      <c r="J53" s="279">
        <f t="shared" si="23"/>
        <v>90000</v>
      </c>
      <c r="K53" s="277">
        <f t="shared" ref="K53:Z53" si="24">SUM(K50:K52)</f>
        <v>2</v>
      </c>
      <c r="L53" s="279">
        <f t="shared" si="24"/>
        <v>190000</v>
      </c>
      <c r="M53" s="277">
        <f t="shared" si="24"/>
        <v>4</v>
      </c>
      <c r="N53" s="279">
        <f t="shared" si="24"/>
        <v>360000</v>
      </c>
      <c r="O53" s="277">
        <f t="shared" si="24"/>
        <v>6</v>
      </c>
      <c r="P53" s="279">
        <f t="shared" si="24"/>
        <v>550000</v>
      </c>
      <c r="Q53" s="277">
        <f t="shared" si="24"/>
        <v>3</v>
      </c>
      <c r="R53" s="279">
        <f t="shared" si="24"/>
        <v>270000</v>
      </c>
      <c r="S53" s="277">
        <f t="shared" si="24"/>
        <v>2</v>
      </c>
      <c r="T53" s="279">
        <f t="shared" si="24"/>
        <v>190000</v>
      </c>
      <c r="U53" s="277">
        <f t="shared" si="24"/>
        <v>3</v>
      </c>
      <c r="V53" s="279">
        <f t="shared" si="24"/>
        <v>270000</v>
      </c>
      <c r="W53" s="277">
        <f t="shared" si="24"/>
        <v>2</v>
      </c>
      <c r="X53" s="279">
        <f t="shared" si="24"/>
        <v>190000</v>
      </c>
      <c r="Y53" s="277">
        <f t="shared" si="24"/>
        <v>4</v>
      </c>
      <c r="Z53" s="279">
        <f t="shared" si="24"/>
        <v>360000</v>
      </c>
      <c r="AA53" s="277">
        <f>SUM(AA50:AA52)</f>
        <v>6</v>
      </c>
      <c r="AB53" s="279">
        <f t="shared" ref="AB53" si="25">SUM(AB50:AB52)</f>
        <v>550000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93"/>
      <c r="AS53" s="193"/>
      <c r="AT53" s="193"/>
      <c r="AU53" s="193"/>
      <c r="AV53" s="193"/>
      <c r="AW53" s="193"/>
      <c r="AX53" s="193"/>
      <c r="AY53" s="193"/>
      <c r="AZ53" s="193"/>
      <c r="BA53" s="193"/>
      <c r="BB53" s="193"/>
      <c r="BC53" s="193"/>
      <c r="BD53" s="193"/>
      <c r="BE53" s="193"/>
      <c r="BF53" s="193"/>
      <c r="BG53" s="193"/>
      <c r="BH53" s="193"/>
      <c r="BI53" s="193"/>
      <c r="BJ53" s="193"/>
      <c r="BK53" s="193"/>
      <c r="BL53" s="193"/>
      <c r="BM53" s="193"/>
      <c r="BN53" s="193"/>
      <c r="BO53" s="193"/>
      <c r="BP53" s="193"/>
      <c r="BQ53" s="193"/>
      <c r="BR53" s="193"/>
      <c r="BS53" s="193"/>
      <c r="BT53" s="193"/>
      <c r="BU53" s="193"/>
      <c r="BV53" s="193"/>
      <c r="BW53" s="193"/>
      <c r="BX53" s="193"/>
      <c r="BY53" s="193"/>
      <c r="BZ53" s="193"/>
      <c r="CA53" s="193"/>
      <c r="CB53" s="193"/>
      <c r="CC53" s="193"/>
      <c r="CD53" s="193"/>
      <c r="CE53" s="193"/>
      <c r="CF53" s="193"/>
      <c r="CG53" s="193"/>
      <c r="CH53" s="193"/>
      <c r="CI53" s="193"/>
      <c r="CJ53" s="193"/>
      <c r="CK53" s="193"/>
      <c r="CL53" s="193"/>
      <c r="CM53" s="193"/>
      <c r="CN53" s="193"/>
      <c r="CO53" s="193"/>
      <c r="CP53" s="193"/>
      <c r="CQ53" s="193"/>
      <c r="CR53" s="193"/>
      <c r="CS53" s="193"/>
      <c r="CT53" s="193"/>
      <c r="CU53" s="193"/>
      <c r="CV53" s="193"/>
      <c r="CW53" s="193"/>
      <c r="CX53" s="193"/>
      <c r="CY53" s="193"/>
      <c r="CZ53" s="193"/>
      <c r="DA53" s="193"/>
      <c r="DB53" s="193"/>
      <c r="DC53" s="193"/>
      <c r="DD53" s="193"/>
      <c r="DE53" s="193"/>
      <c r="DF53" s="193"/>
      <c r="DG53" s="193"/>
      <c r="DH53" s="193"/>
      <c r="DI53" s="193"/>
      <c r="DJ53" s="193"/>
      <c r="DK53" s="193"/>
      <c r="DL53" s="193"/>
      <c r="DM53" s="193"/>
      <c r="DN53" s="193"/>
      <c r="DO53" s="193"/>
      <c r="DP53" s="193"/>
      <c r="DQ53" s="193"/>
      <c r="DR53" s="193"/>
      <c r="DS53" s="193"/>
      <c r="DT53" s="193"/>
      <c r="DU53" s="193"/>
      <c r="DV53" s="193"/>
      <c r="DW53" s="193"/>
      <c r="DX53" s="193"/>
      <c r="DY53" s="193"/>
      <c r="DZ53" s="193"/>
      <c r="EA53" s="193"/>
      <c r="EB53" s="193"/>
      <c r="EC53" s="193"/>
      <c r="ED53" s="193"/>
      <c r="EE53" s="193"/>
      <c r="EF53" s="193"/>
      <c r="EG53" s="193"/>
      <c r="EH53" s="193"/>
      <c r="EI53" s="193"/>
      <c r="EJ53" s="193"/>
      <c r="EK53" s="193"/>
      <c r="EL53" s="193"/>
      <c r="EM53" s="193"/>
      <c r="EN53" s="193"/>
      <c r="EO53" s="193"/>
      <c r="EP53" s="193"/>
      <c r="EQ53" s="193"/>
      <c r="ER53" s="193"/>
      <c r="ES53" s="193"/>
      <c r="ET53" s="193"/>
      <c r="EU53" s="193"/>
      <c r="EV53" s="193"/>
      <c r="EW53" s="193"/>
      <c r="EX53" s="193"/>
      <c r="EY53" s="193"/>
      <c r="EZ53" s="193"/>
      <c r="FA53" s="193"/>
      <c r="FB53" s="193"/>
      <c r="FC53" s="193"/>
      <c r="FD53" s="193"/>
      <c r="FE53" s="193"/>
      <c r="FF53" s="193"/>
      <c r="FG53" s="193"/>
      <c r="FH53" s="193"/>
      <c r="FI53" s="193"/>
      <c r="FJ53" s="193"/>
      <c r="FK53" s="193"/>
      <c r="FL53" s="193"/>
      <c r="FM53" s="193"/>
      <c r="FN53" s="193"/>
      <c r="FO53" s="193"/>
      <c r="FP53" s="193"/>
      <c r="FQ53" s="193"/>
      <c r="FR53" s="193"/>
      <c r="FS53" s="193"/>
      <c r="FT53" s="193"/>
      <c r="FU53" s="193"/>
      <c r="FV53" s="193"/>
      <c r="FW53" s="193"/>
      <c r="FX53" s="193"/>
      <c r="FY53" s="193"/>
      <c r="FZ53" s="193"/>
      <c r="GA53" s="193"/>
      <c r="GB53" s="193"/>
      <c r="GC53" s="193"/>
      <c r="GD53" s="193"/>
      <c r="GE53" s="193"/>
      <c r="GF53" s="193"/>
      <c r="GG53" s="193"/>
      <c r="GH53" s="193"/>
      <c r="GI53" s="193"/>
      <c r="GJ53" s="193"/>
      <c r="GK53" s="193"/>
      <c r="GL53" s="193"/>
      <c r="GM53" s="193"/>
      <c r="GN53" s="193"/>
      <c r="GO53" s="193"/>
      <c r="GP53" s="193"/>
      <c r="GQ53" s="193"/>
      <c r="GR53" s="193"/>
      <c r="GS53" s="193"/>
      <c r="GT53" s="193"/>
      <c r="GU53" s="193"/>
      <c r="GV53" s="193"/>
      <c r="GW53" s="193"/>
      <c r="GX53" s="193"/>
      <c r="GY53" s="193"/>
      <c r="GZ53" s="193"/>
      <c r="HA53" s="193"/>
      <c r="HB53" s="193"/>
      <c r="HC53" s="193"/>
      <c r="HD53" s="193"/>
      <c r="HE53" s="193"/>
      <c r="HF53" s="193"/>
      <c r="HG53" s="193"/>
      <c r="HH53" s="193"/>
      <c r="HI53" s="193"/>
      <c r="HJ53" s="193"/>
      <c r="HK53" s="193"/>
      <c r="HL53" s="193"/>
      <c r="HM53" s="193"/>
      <c r="HN53" s="193"/>
      <c r="HO53" s="193"/>
      <c r="HP53" s="193"/>
      <c r="HQ53" s="193"/>
      <c r="HR53" s="193"/>
      <c r="HS53" s="193"/>
      <c r="HT53" s="193"/>
      <c r="HU53" s="193"/>
      <c r="HV53" s="193"/>
      <c r="HW53" s="193"/>
      <c r="HX53" s="193"/>
      <c r="HY53" s="193"/>
      <c r="HZ53" s="193"/>
      <c r="IA53" s="193"/>
      <c r="IB53" s="193"/>
      <c r="IC53" s="193"/>
      <c r="ID53" s="193"/>
      <c r="IE53" s="193"/>
      <c r="IF53" s="193"/>
      <c r="IG53" s="193"/>
      <c r="IH53" s="193"/>
      <c r="II53" s="193"/>
      <c r="IJ53" s="193"/>
      <c r="IK53" s="193"/>
      <c r="IL53" s="193"/>
      <c r="IM53" s="193"/>
      <c r="IN53" s="193"/>
      <c r="IO53" s="193"/>
      <c r="IP53" s="193"/>
      <c r="IQ53" s="193"/>
      <c r="IR53" s="193"/>
      <c r="IS53" s="193"/>
      <c r="IT53" s="193"/>
      <c r="IU53" s="193"/>
      <c r="IV53" s="193"/>
      <c r="IW53" s="193"/>
      <c r="IX53" s="193"/>
      <c r="IY53" s="193"/>
      <c r="IZ53" s="193"/>
      <c r="JA53" s="193"/>
      <c r="JB53" s="193"/>
      <c r="JC53" s="193"/>
      <c r="JD53" s="193"/>
      <c r="JE53" s="193"/>
      <c r="JF53" s="193"/>
      <c r="JG53" s="193"/>
      <c r="JH53" s="193"/>
      <c r="JI53" s="193"/>
      <c r="JJ53" s="193"/>
      <c r="JK53" s="193"/>
      <c r="JL53" s="193"/>
      <c r="JM53" s="193"/>
      <c r="JN53" s="193"/>
      <c r="JO53" s="193"/>
      <c r="JP53" s="193"/>
      <c r="JQ53" s="193"/>
      <c r="JR53" s="193"/>
      <c r="JS53" s="193"/>
      <c r="JT53" s="193"/>
      <c r="JU53" s="193"/>
      <c r="JV53" s="193"/>
      <c r="JW53" s="193"/>
      <c r="JX53" s="193"/>
      <c r="JY53" s="193"/>
      <c r="JZ53" s="193"/>
      <c r="KA53" s="193"/>
      <c r="KB53" s="193"/>
      <c r="KC53" s="193"/>
      <c r="KD53" s="193"/>
      <c r="KE53" s="193"/>
      <c r="KF53" s="193"/>
      <c r="KG53" s="193"/>
    </row>
    <row r="54" spans="1:293" ht="15.75" customHeight="1" thickBot="1" x14ac:dyDescent="0.3">
      <c r="A54" s="411" t="s">
        <v>202</v>
      </c>
      <c r="B54" s="412"/>
      <c r="C54" s="413"/>
      <c r="D54" s="254">
        <f>SUM(F54+H54+J54+L54+N54+P54+R54+T54+V54+X54+Z54+AB54)</f>
        <v>11840000</v>
      </c>
      <c r="E54" s="255">
        <f>E50+AA23</f>
        <v>10</v>
      </c>
      <c r="F54" s="256">
        <f>(E54+E50)*B50</f>
        <v>800000</v>
      </c>
      <c r="G54" s="255">
        <f>G50+E54</f>
        <v>10</v>
      </c>
      <c r="H54" s="256">
        <f>(E54+E50)*B50</f>
        <v>800000</v>
      </c>
      <c r="I54" s="255">
        <f>I50+G54</f>
        <v>10</v>
      </c>
      <c r="J54" s="256">
        <f>(E54+E50)*B50</f>
        <v>800000</v>
      </c>
      <c r="K54" s="255">
        <f>K50+I54</f>
        <v>10</v>
      </c>
      <c r="L54" s="256">
        <f>(E54+E50)*B50</f>
        <v>800000</v>
      </c>
      <c r="M54" s="255">
        <f>K54+M50</f>
        <v>11</v>
      </c>
      <c r="N54" s="257">
        <f>L54+B50*M50</f>
        <v>880000</v>
      </c>
      <c r="O54" s="255">
        <f>M54+O50</f>
        <v>12</v>
      </c>
      <c r="P54" s="257">
        <f>N54+B50*O50</f>
        <v>960000</v>
      </c>
      <c r="Q54" s="255">
        <f>O54+Q50</f>
        <v>13</v>
      </c>
      <c r="R54" s="255">
        <f>P54+B50*Q50</f>
        <v>1040000</v>
      </c>
      <c r="S54" s="255">
        <f>Q54+1</f>
        <v>14</v>
      </c>
      <c r="T54" s="255">
        <f>R54+B50*S50</f>
        <v>1040000</v>
      </c>
      <c r="U54" s="255">
        <f>S54+1</f>
        <v>15</v>
      </c>
      <c r="V54" s="255">
        <f>T54+B50*U50</f>
        <v>1120000</v>
      </c>
      <c r="W54" s="255">
        <f>U54+1</f>
        <v>16</v>
      </c>
      <c r="X54" s="255">
        <f>V54+X50*W50</f>
        <v>1120000</v>
      </c>
      <c r="Y54" s="255">
        <f>W54+1</f>
        <v>17</v>
      </c>
      <c r="Z54" s="255">
        <f>X54+B50*Y50</f>
        <v>1200000</v>
      </c>
      <c r="AA54" s="255">
        <f>Y54+1</f>
        <v>18</v>
      </c>
      <c r="AB54" s="255">
        <f>Z54+B50*AA50</f>
        <v>1280000</v>
      </c>
      <c r="AC54" s="116"/>
      <c r="AD54" s="116"/>
      <c r="AE54" s="116"/>
      <c r="AF54" s="116"/>
      <c r="AG54" s="116"/>
      <c r="AH54" s="116"/>
      <c r="AI54" s="116"/>
      <c r="AJ54" s="116"/>
      <c r="AK54" s="116"/>
      <c r="AL54" s="116"/>
      <c r="AM54" s="116"/>
      <c r="AN54" s="116"/>
      <c r="AO54" s="116"/>
      <c r="AP54" s="116"/>
      <c r="AQ54" s="116"/>
      <c r="AR54" s="193"/>
      <c r="AS54" s="193"/>
      <c r="AT54" s="193"/>
      <c r="AU54" s="193"/>
      <c r="AV54" s="193"/>
      <c r="AW54" s="193"/>
      <c r="AX54" s="193"/>
      <c r="AY54" s="193"/>
      <c r="AZ54" s="193"/>
      <c r="BA54" s="193"/>
      <c r="BB54" s="193"/>
      <c r="BC54" s="193"/>
      <c r="BD54" s="193"/>
      <c r="BE54" s="193"/>
      <c r="BF54" s="193"/>
      <c r="BG54" s="193"/>
      <c r="BH54" s="193"/>
      <c r="BI54" s="193"/>
      <c r="BJ54" s="193"/>
      <c r="BK54" s="193"/>
      <c r="BL54" s="193"/>
      <c r="BM54" s="193"/>
      <c r="BN54" s="193"/>
      <c r="BO54" s="193"/>
      <c r="BP54" s="193"/>
      <c r="BQ54" s="193"/>
      <c r="BR54" s="193"/>
      <c r="BS54" s="193"/>
      <c r="BT54" s="193"/>
      <c r="BU54" s="193"/>
      <c r="BV54" s="193"/>
      <c r="BW54" s="193"/>
      <c r="BX54" s="193"/>
      <c r="BY54" s="193"/>
      <c r="BZ54" s="193"/>
      <c r="CA54" s="193"/>
      <c r="CB54" s="193"/>
      <c r="CC54" s="193"/>
      <c r="CD54" s="193"/>
      <c r="CE54" s="193"/>
      <c r="CF54" s="193"/>
      <c r="CG54" s="193"/>
      <c r="CH54" s="193"/>
      <c r="CI54" s="193"/>
      <c r="CJ54" s="193"/>
      <c r="CK54" s="193"/>
      <c r="CL54" s="193"/>
      <c r="CM54" s="193"/>
      <c r="CN54" s="193"/>
      <c r="CO54" s="193"/>
      <c r="CP54" s="193"/>
      <c r="CQ54" s="193"/>
      <c r="CR54" s="193"/>
      <c r="CS54" s="193"/>
      <c r="CT54" s="193"/>
      <c r="CU54" s="193"/>
      <c r="CV54" s="193"/>
      <c r="CW54" s="193"/>
      <c r="CX54" s="193"/>
      <c r="CY54" s="193"/>
      <c r="CZ54" s="193"/>
      <c r="DA54" s="193"/>
      <c r="DB54" s="193"/>
      <c r="DC54" s="193"/>
      <c r="DD54" s="193"/>
      <c r="DE54" s="193"/>
      <c r="DF54" s="193"/>
      <c r="DG54" s="193"/>
      <c r="DH54" s="193"/>
      <c r="DI54" s="193"/>
      <c r="DJ54" s="193"/>
      <c r="DK54" s="193"/>
      <c r="DL54" s="193"/>
      <c r="DM54" s="193"/>
      <c r="DN54" s="193"/>
      <c r="DO54" s="193"/>
      <c r="DP54" s="193"/>
      <c r="DQ54" s="193"/>
      <c r="DR54" s="193"/>
      <c r="DS54" s="193"/>
      <c r="DT54" s="193"/>
      <c r="DU54" s="193"/>
      <c r="DV54" s="193"/>
      <c r="DW54" s="193"/>
      <c r="DX54" s="193"/>
      <c r="DY54" s="193"/>
      <c r="DZ54" s="193"/>
      <c r="EA54" s="193"/>
      <c r="EB54" s="193"/>
      <c r="EC54" s="193"/>
      <c r="ED54" s="193"/>
      <c r="EE54" s="193"/>
      <c r="EF54" s="193"/>
      <c r="EG54" s="193"/>
      <c r="EH54" s="193"/>
      <c r="EI54" s="193"/>
      <c r="EJ54" s="193"/>
      <c r="EK54" s="193"/>
      <c r="EL54" s="193"/>
      <c r="EM54" s="193"/>
      <c r="EN54" s="193"/>
      <c r="EO54" s="193"/>
      <c r="EP54" s="193"/>
      <c r="EQ54" s="193"/>
      <c r="ER54" s="193"/>
      <c r="ES54" s="193"/>
      <c r="ET54" s="193"/>
      <c r="EU54" s="193"/>
      <c r="EV54" s="193"/>
      <c r="EW54" s="193"/>
      <c r="EX54" s="193"/>
      <c r="EY54" s="193"/>
      <c r="EZ54" s="193"/>
      <c r="FA54" s="193"/>
      <c r="FB54" s="193"/>
      <c r="FC54" s="193"/>
      <c r="FD54" s="193"/>
      <c r="FE54" s="193"/>
      <c r="FF54" s="193"/>
      <c r="FG54" s="193"/>
      <c r="FH54" s="193"/>
      <c r="FI54" s="193"/>
      <c r="FJ54" s="193"/>
      <c r="FK54" s="193"/>
      <c r="FL54" s="193"/>
      <c r="FM54" s="193"/>
      <c r="FN54" s="193"/>
      <c r="FO54" s="193"/>
      <c r="FP54" s="193"/>
      <c r="FQ54" s="193"/>
      <c r="FR54" s="193"/>
      <c r="FS54" s="193"/>
      <c r="FT54" s="193"/>
      <c r="FU54" s="193"/>
      <c r="FV54" s="193"/>
      <c r="FW54" s="193"/>
      <c r="FX54" s="193"/>
      <c r="FY54" s="193"/>
      <c r="FZ54" s="193"/>
      <c r="GA54" s="193"/>
      <c r="GB54" s="193"/>
      <c r="GC54" s="193"/>
      <c r="GD54" s="193"/>
      <c r="GE54" s="193"/>
      <c r="GF54" s="193"/>
      <c r="GG54" s="193"/>
      <c r="GH54" s="193"/>
      <c r="GI54" s="193"/>
      <c r="GJ54" s="193"/>
      <c r="GK54" s="193"/>
      <c r="GL54" s="193"/>
      <c r="GM54" s="193"/>
      <c r="GN54" s="193"/>
      <c r="GO54" s="193"/>
      <c r="GP54" s="193"/>
      <c r="GQ54" s="193"/>
      <c r="GR54" s="193"/>
      <c r="GS54" s="193"/>
      <c r="GT54" s="193"/>
      <c r="GU54" s="193"/>
      <c r="GV54" s="193"/>
      <c r="GW54" s="193"/>
      <c r="GX54" s="193"/>
      <c r="GY54" s="193"/>
      <c r="GZ54" s="193"/>
      <c r="HA54" s="193"/>
      <c r="HB54" s="193"/>
      <c r="HC54" s="193"/>
      <c r="HD54" s="193"/>
      <c r="HE54" s="193"/>
      <c r="HF54" s="193"/>
      <c r="HG54" s="193"/>
      <c r="HH54" s="193"/>
      <c r="HI54" s="193"/>
      <c r="HJ54" s="193"/>
      <c r="HK54" s="193"/>
      <c r="HL54" s="193"/>
      <c r="HM54" s="193"/>
      <c r="HN54" s="193"/>
      <c r="HO54" s="193"/>
      <c r="HP54" s="193"/>
      <c r="HQ54" s="193"/>
      <c r="HR54" s="193"/>
      <c r="HS54" s="193"/>
      <c r="HT54" s="193"/>
      <c r="HU54" s="193"/>
      <c r="HV54" s="193"/>
      <c r="HW54" s="193"/>
      <c r="HX54" s="193"/>
      <c r="HY54" s="193"/>
      <c r="HZ54" s="193"/>
      <c r="IA54" s="193"/>
      <c r="IB54" s="193"/>
      <c r="IC54" s="193"/>
      <c r="ID54" s="193"/>
      <c r="IE54" s="193"/>
      <c r="IF54" s="193"/>
      <c r="IG54" s="193"/>
      <c r="IH54" s="193"/>
      <c r="II54" s="193"/>
      <c r="IJ54" s="193"/>
      <c r="IK54" s="193"/>
      <c r="IL54" s="193"/>
      <c r="IM54" s="193"/>
      <c r="IN54" s="193"/>
      <c r="IO54" s="193"/>
      <c r="IP54" s="193"/>
      <c r="IQ54" s="193"/>
      <c r="IR54" s="193"/>
      <c r="IS54" s="193"/>
      <c r="IT54" s="193"/>
      <c r="IU54" s="193"/>
      <c r="IV54" s="193"/>
      <c r="IW54" s="193"/>
      <c r="IX54" s="193"/>
      <c r="IY54" s="193"/>
      <c r="IZ54" s="193"/>
      <c r="JA54" s="193"/>
      <c r="JB54" s="193"/>
      <c r="JC54" s="193"/>
      <c r="JD54" s="193"/>
      <c r="JE54" s="193"/>
      <c r="JF54" s="193"/>
      <c r="JG54" s="193"/>
      <c r="JH54" s="193"/>
      <c r="JI54" s="193"/>
      <c r="JJ54" s="193"/>
      <c r="JK54" s="193"/>
      <c r="JL54" s="193"/>
      <c r="JM54" s="193"/>
      <c r="JN54" s="193"/>
      <c r="JO54" s="193"/>
      <c r="JP54" s="193"/>
      <c r="JQ54" s="193"/>
      <c r="JR54" s="193"/>
      <c r="JS54" s="193"/>
      <c r="JT54" s="193"/>
      <c r="JU54" s="193"/>
      <c r="JV54" s="193"/>
      <c r="JW54" s="193"/>
      <c r="JX54" s="193"/>
      <c r="JY54" s="193"/>
      <c r="JZ54" s="193"/>
      <c r="KA54" s="193"/>
      <c r="KB54" s="193"/>
      <c r="KC54" s="193"/>
      <c r="KD54" s="193"/>
      <c r="KE54" s="193"/>
      <c r="KF54" s="193"/>
      <c r="KG54" s="193"/>
    </row>
    <row r="55" spans="1:293" ht="15.75" customHeight="1" thickBot="1" x14ac:dyDescent="0.3">
      <c r="A55" s="414" t="s">
        <v>203</v>
      </c>
      <c r="B55" s="415"/>
      <c r="C55" s="416"/>
      <c r="D55" s="258">
        <f>SUM(F55+H55+J55+L55+N55+P55+R55+T55+V55+X55+Z55+AB55)</f>
        <v>24480000</v>
      </c>
      <c r="E55" s="259">
        <f>E51+AA24</f>
        <v>16</v>
      </c>
      <c r="F55" s="260">
        <f>(E55+E51)*B51</f>
        <v>1440000</v>
      </c>
      <c r="G55" s="259">
        <f>G51+E55</f>
        <v>16</v>
      </c>
      <c r="H55" s="260">
        <f>(E55+E51)*B51</f>
        <v>1440000</v>
      </c>
      <c r="I55" s="259">
        <f>I51+G55</f>
        <v>17</v>
      </c>
      <c r="J55" s="260">
        <f>(E55+E51)*B51</f>
        <v>1440000</v>
      </c>
      <c r="K55" s="259">
        <f>K51+I55</f>
        <v>18</v>
      </c>
      <c r="L55" s="260">
        <f>B51*K55*K51</f>
        <v>1620000</v>
      </c>
      <c r="M55" s="259">
        <f>K55+M51</f>
        <v>20</v>
      </c>
      <c r="N55" s="261">
        <f>L55+B51*M51</f>
        <v>1800000</v>
      </c>
      <c r="O55" s="259">
        <f>M55+O51</f>
        <v>23</v>
      </c>
      <c r="P55" s="261">
        <f>N55+B51*O51</f>
        <v>2070000</v>
      </c>
      <c r="Q55" s="259">
        <f>O55+Q51</f>
        <v>24</v>
      </c>
      <c r="R55" s="259">
        <f>P55+B51*Q51</f>
        <v>2160000</v>
      </c>
      <c r="S55" s="259">
        <f>Q55+1</f>
        <v>25</v>
      </c>
      <c r="T55" s="259">
        <f>R55+B51*S51</f>
        <v>2250000</v>
      </c>
      <c r="U55" s="259">
        <f>S55+1</f>
        <v>26</v>
      </c>
      <c r="V55" s="259">
        <f>T55+B51*U51</f>
        <v>2340000</v>
      </c>
      <c r="W55" s="259">
        <f>U55+1</f>
        <v>27</v>
      </c>
      <c r="X55" s="259">
        <f>V55+X51*W51</f>
        <v>2430000</v>
      </c>
      <c r="Y55" s="259">
        <f>W55+1</f>
        <v>28</v>
      </c>
      <c r="Z55" s="259">
        <f>X55+B51*Y51</f>
        <v>2610000</v>
      </c>
      <c r="AA55" s="259">
        <f>Y55+1</f>
        <v>29</v>
      </c>
      <c r="AB55" s="259">
        <f>Z55+B51*AA51</f>
        <v>2880000</v>
      </c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93"/>
      <c r="AS55" s="193"/>
      <c r="AT55" s="193"/>
      <c r="AU55" s="193"/>
      <c r="AV55" s="193"/>
      <c r="AW55" s="193"/>
      <c r="AX55" s="193"/>
      <c r="AY55" s="193"/>
      <c r="AZ55" s="193"/>
      <c r="BA55" s="193"/>
      <c r="BB55" s="193"/>
      <c r="BC55" s="193"/>
      <c r="BD55" s="193"/>
      <c r="BE55" s="193"/>
      <c r="BF55" s="193"/>
      <c r="BG55" s="193"/>
      <c r="BH55" s="193"/>
      <c r="BI55" s="193"/>
      <c r="BJ55" s="193"/>
      <c r="BK55" s="193"/>
      <c r="BL55" s="193"/>
      <c r="BM55" s="193"/>
      <c r="BN55" s="193"/>
      <c r="BO55" s="193"/>
      <c r="BP55" s="193"/>
      <c r="BQ55" s="193"/>
      <c r="BR55" s="193"/>
      <c r="BS55" s="193"/>
      <c r="BT55" s="193"/>
      <c r="BU55" s="193"/>
      <c r="BV55" s="193"/>
      <c r="BW55" s="193"/>
      <c r="BX55" s="193"/>
      <c r="BY55" s="193"/>
      <c r="BZ55" s="193"/>
      <c r="CA55" s="193"/>
      <c r="CB55" s="193"/>
      <c r="CC55" s="193"/>
      <c r="CD55" s="193"/>
      <c r="CE55" s="193"/>
      <c r="CF55" s="193"/>
      <c r="CG55" s="193"/>
      <c r="CH55" s="193"/>
      <c r="CI55" s="193"/>
      <c r="CJ55" s="193"/>
      <c r="CK55" s="193"/>
      <c r="CL55" s="193"/>
      <c r="CM55" s="193"/>
      <c r="CN55" s="193"/>
      <c r="CO55" s="193"/>
      <c r="CP55" s="193"/>
      <c r="CQ55" s="193"/>
      <c r="CR55" s="193"/>
      <c r="CS55" s="193"/>
      <c r="CT55" s="193"/>
      <c r="CU55" s="193"/>
      <c r="CV55" s="193"/>
      <c r="CW55" s="193"/>
      <c r="CX55" s="193"/>
      <c r="CY55" s="193"/>
      <c r="CZ55" s="193"/>
      <c r="DA55" s="193"/>
      <c r="DB55" s="193"/>
      <c r="DC55" s="193"/>
      <c r="DD55" s="193"/>
      <c r="DE55" s="193"/>
      <c r="DF55" s="193"/>
      <c r="DG55" s="193"/>
      <c r="DH55" s="193"/>
      <c r="DI55" s="193"/>
      <c r="DJ55" s="193"/>
      <c r="DK55" s="193"/>
      <c r="DL55" s="193"/>
      <c r="DM55" s="193"/>
      <c r="DN55" s="193"/>
      <c r="DO55" s="193"/>
      <c r="DP55" s="193"/>
      <c r="DQ55" s="193"/>
      <c r="DR55" s="193"/>
      <c r="DS55" s="193"/>
      <c r="DT55" s="193"/>
      <c r="DU55" s="193"/>
      <c r="DV55" s="193"/>
      <c r="DW55" s="193"/>
      <c r="DX55" s="193"/>
      <c r="DY55" s="193"/>
      <c r="DZ55" s="193"/>
      <c r="EA55" s="193"/>
      <c r="EB55" s="193"/>
      <c r="EC55" s="193"/>
      <c r="ED55" s="193"/>
      <c r="EE55" s="193"/>
      <c r="EF55" s="193"/>
      <c r="EG55" s="193"/>
      <c r="EH55" s="193"/>
      <c r="EI55" s="193"/>
      <c r="EJ55" s="193"/>
      <c r="EK55" s="193"/>
      <c r="EL55" s="193"/>
      <c r="EM55" s="193"/>
      <c r="EN55" s="193"/>
      <c r="EO55" s="193"/>
      <c r="EP55" s="193"/>
      <c r="EQ55" s="193"/>
      <c r="ER55" s="193"/>
      <c r="ES55" s="193"/>
      <c r="ET55" s="193"/>
      <c r="EU55" s="193"/>
      <c r="EV55" s="193"/>
      <c r="EW55" s="193"/>
      <c r="EX55" s="193"/>
      <c r="EY55" s="193"/>
      <c r="EZ55" s="193"/>
      <c r="FA55" s="193"/>
      <c r="FB55" s="193"/>
      <c r="FC55" s="193"/>
      <c r="FD55" s="193"/>
      <c r="FE55" s="193"/>
      <c r="FF55" s="193"/>
      <c r="FG55" s="193"/>
      <c r="FH55" s="193"/>
      <c r="FI55" s="193"/>
      <c r="FJ55" s="193"/>
      <c r="FK55" s="193"/>
      <c r="FL55" s="193"/>
      <c r="FM55" s="193"/>
      <c r="FN55" s="193"/>
      <c r="FO55" s="193"/>
      <c r="FP55" s="193"/>
      <c r="FQ55" s="193"/>
      <c r="FR55" s="193"/>
      <c r="FS55" s="193"/>
      <c r="FT55" s="193"/>
      <c r="FU55" s="193"/>
      <c r="FV55" s="193"/>
      <c r="FW55" s="193"/>
      <c r="FX55" s="193"/>
      <c r="FY55" s="193"/>
      <c r="FZ55" s="193"/>
      <c r="GA55" s="193"/>
      <c r="GB55" s="193"/>
      <c r="GC55" s="193"/>
      <c r="GD55" s="193"/>
      <c r="GE55" s="193"/>
      <c r="GF55" s="193"/>
      <c r="GG55" s="193"/>
      <c r="GH55" s="193"/>
      <c r="GI55" s="193"/>
      <c r="GJ55" s="193"/>
      <c r="GK55" s="193"/>
      <c r="GL55" s="193"/>
      <c r="GM55" s="193"/>
      <c r="GN55" s="193"/>
      <c r="GO55" s="193"/>
      <c r="GP55" s="193"/>
      <c r="GQ55" s="193"/>
      <c r="GR55" s="193"/>
      <c r="GS55" s="193"/>
      <c r="GT55" s="193"/>
      <c r="GU55" s="193"/>
      <c r="GV55" s="193"/>
      <c r="GW55" s="193"/>
      <c r="GX55" s="193"/>
      <c r="GY55" s="193"/>
      <c r="GZ55" s="193"/>
      <c r="HA55" s="193"/>
      <c r="HB55" s="193"/>
      <c r="HC55" s="193"/>
      <c r="HD55" s="193"/>
      <c r="HE55" s="193"/>
      <c r="HF55" s="193"/>
      <c r="HG55" s="193"/>
      <c r="HH55" s="193"/>
      <c r="HI55" s="193"/>
      <c r="HJ55" s="193"/>
      <c r="HK55" s="193"/>
      <c r="HL55" s="193"/>
      <c r="HM55" s="193"/>
      <c r="HN55" s="193"/>
      <c r="HO55" s="193"/>
      <c r="HP55" s="193"/>
      <c r="HQ55" s="193"/>
      <c r="HR55" s="193"/>
      <c r="HS55" s="193"/>
      <c r="HT55" s="193"/>
      <c r="HU55" s="193"/>
      <c r="HV55" s="193"/>
      <c r="HW55" s="193"/>
      <c r="HX55" s="193"/>
      <c r="HY55" s="193"/>
      <c r="HZ55" s="193"/>
      <c r="IA55" s="193"/>
      <c r="IB55" s="193"/>
      <c r="IC55" s="193"/>
      <c r="ID55" s="193"/>
      <c r="IE55" s="193"/>
      <c r="IF55" s="193"/>
      <c r="IG55" s="193"/>
      <c r="IH55" s="193"/>
      <c r="II55" s="193"/>
      <c r="IJ55" s="193"/>
      <c r="IK55" s="193"/>
      <c r="IL55" s="193"/>
      <c r="IM55" s="193"/>
      <c r="IN55" s="193"/>
      <c r="IO55" s="193"/>
      <c r="IP55" s="193"/>
      <c r="IQ55" s="193"/>
      <c r="IR55" s="193"/>
      <c r="IS55" s="193"/>
      <c r="IT55" s="193"/>
      <c r="IU55" s="193"/>
      <c r="IV55" s="193"/>
      <c r="IW55" s="193"/>
      <c r="IX55" s="193"/>
      <c r="IY55" s="193"/>
      <c r="IZ55" s="193"/>
      <c r="JA55" s="193"/>
      <c r="JB55" s="193"/>
      <c r="JC55" s="193"/>
      <c r="JD55" s="193"/>
      <c r="JE55" s="193"/>
      <c r="JF55" s="193"/>
      <c r="JG55" s="193"/>
      <c r="JH55" s="193"/>
      <c r="JI55" s="193"/>
      <c r="JJ55" s="193"/>
      <c r="JK55" s="193"/>
      <c r="JL55" s="193"/>
      <c r="JM55" s="193"/>
      <c r="JN55" s="193"/>
      <c r="JO55" s="193"/>
      <c r="JP55" s="193"/>
      <c r="JQ55" s="193"/>
      <c r="JR55" s="193"/>
      <c r="JS55" s="193"/>
      <c r="JT55" s="193"/>
      <c r="JU55" s="193"/>
      <c r="JV55" s="193"/>
      <c r="JW55" s="193"/>
      <c r="JX55" s="193"/>
      <c r="JY55" s="193"/>
      <c r="JZ55" s="193"/>
      <c r="KA55" s="193"/>
      <c r="KB55" s="193"/>
      <c r="KC55" s="193"/>
      <c r="KD55" s="193"/>
      <c r="KE55" s="193"/>
      <c r="KF55" s="193"/>
      <c r="KG55" s="193"/>
    </row>
    <row r="56" spans="1:293" ht="15.75" customHeight="1" thickBot="1" x14ac:dyDescent="0.3">
      <c r="A56" s="417" t="s">
        <v>204</v>
      </c>
      <c r="B56" s="418"/>
      <c r="C56" s="419"/>
      <c r="D56" s="262">
        <f>SUM(F56+H56+J56+L56+N56+P56+R56+T56+V56+X56+Z56+AB56)</f>
        <v>22800000</v>
      </c>
      <c r="E56" s="263">
        <f>E52+AA25</f>
        <v>15</v>
      </c>
      <c r="F56" s="264">
        <f>B52*E56*E52</f>
        <v>1500000</v>
      </c>
      <c r="G56" s="263">
        <f>G52+E56</f>
        <v>16</v>
      </c>
      <c r="H56" s="264">
        <f>B52*G56*G52</f>
        <v>1600000</v>
      </c>
      <c r="I56" s="263">
        <f>I52+G56</f>
        <v>16</v>
      </c>
      <c r="J56" s="264">
        <f>B52*I56*I52</f>
        <v>0</v>
      </c>
      <c r="K56" s="263">
        <f>K52+I56</f>
        <v>17</v>
      </c>
      <c r="L56" s="264">
        <f>B52*K56*K52</f>
        <v>1700000</v>
      </c>
      <c r="M56" s="263">
        <f>K56+M52</f>
        <v>18</v>
      </c>
      <c r="N56" s="265">
        <f>L56+B52*M52</f>
        <v>1800000</v>
      </c>
      <c r="O56" s="263">
        <f>M56+O52</f>
        <v>20</v>
      </c>
      <c r="P56" s="265">
        <f>N56+B52*O52</f>
        <v>2000000</v>
      </c>
      <c r="Q56" s="263">
        <f>O56+Q52</f>
        <v>21</v>
      </c>
      <c r="R56" s="263">
        <f>P56+B52*Q52</f>
        <v>2100000</v>
      </c>
      <c r="S56" s="263">
        <f>Q56+1</f>
        <v>22</v>
      </c>
      <c r="T56" s="263">
        <f>R56+B52*S52</f>
        <v>2200000</v>
      </c>
      <c r="U56" s="263">
        <f>S56+1</f>
        <v>23</v>
      </c>
      <c r="V56" s="263">
        <f>T56+B52*U52</f>
        <v>2300000</v>
      </c>
      <c r="W56" s="263">
        <f>U56+1</f>
        <v>24</v>
      </c>
      <c r="X56" s="263">
        <f>V56+X52*W52</f>
        <v>2400000</v>
      </c>
      <c r="Y56" s="263">
        <f>W56+1</f>
        <v>25</v>
      </c>
      <c r="Z56" s="263">
        <f>X56+B52*Y52</f>
        <v>2500000</v>
      </c>
      <c r="AA56" s="263">
        <f>Y56+1</f>
        <v>26</v>
      </c>
      <c r="AB56" s="263">
        <f>Z56+B52*AA52</f>
        <v>2700000</v>
      </c>
      <c r="AC56" s="116"/>
      <c r="AD56" s="116"/>
      <c r="AE56" s="116"/>
      <c r="AF56" s="116"/>
      <c r="AG56" s="116"/>
      <c r="AH56" s="116"/>
      <c r="AI56" s="116"/>
      <c r="AJ56" s="116"/>
      <c r="AK56" s="116"/>
      <c r="AL56" s="116"/>
      <c r="AM56" s="116"/>
      <c r="AN56" s="116"/>
      <c r="AO56" s="116"/>
      <c r="AP56" s="116"/>
      <c r="AQ56" s="116"/>
      <c r="AR56" s="193"/>
      <c r="AS56" s="193"/>
      <c r="AT56" s="193"/>
      <c r="AU56" s="193"/>
      <c r="AV56" s="193"/>
      <c r="AW56" s="193"/>
      <c r="AX56" s="193"/>
      <c r="AY56" s="193"/>
      <c r="AZ56" s="193"/>
      <c r="BA56" s="193"/>
      <c r="BB56" s="193"/>
      <c r="BC56" s="193"/>
      <c r="BD56" s="193"/>
      <c r="BE56" s="193"/>
      <c r="BF56" s="193"/>
      <c r="BG56" s="193"/>
      <c r="BH56" s="193"/>
      <c r="BI56" s="193"/>
      <c r="BJ56" s="193"/>
      <c r="BK56" s="193"/>
      <c r="BL56" s="193"/>
      <c r="BM56" s="193"/>
      <c r="BN56" s="193"/>
      <c r="BO56" s="193"/>
      <c r="BP56" s="193"/>
      <c r="BQ56" s="193"/>
      <c r="BR56" s="193"/>
      <c r="BS56" s="193"/>
      <c r="BT56" s="193"/>
      <c r="BU56" s="193"/>
      <c r="BV56" s="193"/>
      <c r="BW56" s="193"/>
      <c r="BX56" s="193"/>
      <c r="BY56" s="193"/>
      <c r="BZ56" s="193"/>
      <c r="CA56" s="193"/>
      <c r="CB56" s="193"/>
      <c r="CC56" s="193"/>
      <c r="CD56" s="193"/>
      <c r="CE56" s="193"/>
      <c r="CF56" s="193"/>
      <c r="CG56" s="193"/>
      <c r="CH56" s="193"/>
      <c r="CI56" s="193"/>
      <c r="CJ56" s="193"/>
      <c r="CK56" s="193"/>
      <c r="CL56" s="193"/>
      <c r="CM56" s="193"/>
      <c r="CN56" s="193"/>
      <c r="CO56" s="193"/>
      <c r="CP56" s="193"/>
      <c r="CQ56" s="193"/>
      <c r="CR56" s="193"/>
      <c r="CS56" s="193"/>
      <c r="CT56" s="193"/>
      <c r="CU56" s="193"/>
      <c r="CV56" s="193"/>
      <c r="CW56" s="193"/>
      <c r="CX56" s="193"/>
      <c r="CY56" s="193"/>
      <c r="CZ56" s="193"/>
      <c r="DA56" s="193"/>
      <c r="DB56" s="193"/>
      <c r="DC56" s="193"/>
      <c r="DD56" s="193"/>
      <c r="DE56" s="193"/>
      <c r="DF56" s="193"/>
      <c r="DG56" s="193"/>
      <c r="DH56" s="193"/>
      <c r="DI56" s="193"/>
      <c r="DJ56" s="193"/>
      <c r="DK56" s="193"/>
      <c r="DL56" s="193"/>
      <c r="DM56" s="193"/>
      <c r="DN56" s="193"/>
      <c r="DO56" s="193"/>
      <c r="DP56" s="193"/>
      <c r="DQ56" s="193"/>
      <c r="DR56" s="193"/>
      <c r="DS56" s="193"/>
      <c r="DT56" s="193"/>
      <c r="DU56" s="193"/>
      <c r="DV56" s="193"/>
      <c r="DW56" s="193"/>
      <c r="DX56" s="193"/>
      <c r="DY56" s="193"/>
      <c r="DZ56" s="193"/>
      <c r="EA56" s="193"/>
      <c r="EB56" s="193"/>
      <c r="EC56" s="193"/>
      <c r="ED56" s="193"/>
      <c r="EE56" s="193"/>
      <c r="EF56" s="193"/>
      <c r="EG56" s="193"/>
      <c r="EH56" s="193"/>
      <c r="EI56" s="193"/>
      <c r="EJ56" s="193"/>
      <c r="EK56" s="193"/>
      <c r="EL56" s="193"/>
      <c r="EM56" s="193"/>
      <c r="EN56" s="193"/>
      <c r="EO56" s="193"/>
      <c r="EP56" s="193"/>
      <c r="EQ56" s="193"/>
      <c r="ER56" s="193"/>
      <c r="ES56" s="193"/>
      <c r="ET56" s="193"/>
      <c r="EU56" s="193"/>
      <c r="EV56" s="193"/>
      <c r="EW56" s="193"/>
      <c r="EX56" s="193"/>
      <c r="EY56" s="193"/>
      <c r="EZ56" s="193"/>
      <c r="FA56" s="193"/>
      <c r="FB56" s="193"/>
      <c r="FC56" s="193"/>
      <c r="FD56" s="193"/>
      <c r="FE56" s="193"/>
      <c r="FF56" s="193"/>
      <c r="FG56" s="193"/>
      <c r="FH56" s="193"/>
      <c r="FI56" s="193"/>
      <c r="FJ56" s="193"/>
      <c r="FK56" s="193"/>
      <c r="FL56" s="193"/>
      <c r="FM56" s="193"/>
      <c r="FN56" s="193"/>
      <c r="FO56" s="193"/>
      <c r="FP56" s="193"/>
      <c r="FQ56" s="193"/>
      <c r="FR56" s="193"/>
      <c r="FS56" s="193"/>
      <c r="FT56" s="193"/>
      <c r="FU56" s="193"/>
      <c r="FV56" s="193"/>
      <c r="FW56" s="193"/>
      <c r="FX56" s="193"/>
      <c r="FY56" s="193"/>
      <c r="FZ56" s="193"/>
      <c r="GA56" s="193"/>
      <c r="GB56" s="193"/>
      <c r="GC56" s="193"/>
      <c r="GD56" s="193"/>
      <c r="GE56" s="193"/>
      <c r="GF56" s="193"/>
      <c r="GG56" s="193"/>
      <c r="GH56" s="193"/>
      <c r="GI56" s="193"/>
      <c r="GJ56" s="193"/>
      <c r="GK56" s="193"/>
      <c r="GL56" s="193"/>
      <c r="GM56" s="193"/>
      <c r="GN56" s="193"/>
      <c r="GO56" s="193"/>
      <c r="GP56" s="193"/>
      <c r="GQ56" s="193"/>
      <c r="GR56" s="193"/>
      <c r="GS56" s="193"/>
      <c r="GT56" s="193"/>
      <c r="GU56" s="193"/>
      <c r="GV56" s="193"/>
      <c r="GW56" s="193"/>
      <c r="GX56" s="193"/>
      <c r="GY56" s="193"/>
      <c r="GZ56" s="193"/>
      <c r="HA56" s="193"/>
      <c r="HB56" s="193"/>
      <c r="HC56" s="193"/>
      <c r="HD56" s="193"/>
      <c r="HE56" s="193"/>
      <c r="HF56" s="193"/>
      <c r="HG56" s="193"/>
      <c r="HH56" s="193"/>
      <c r="HI56" s="193"/>
      <c r="HJ56" s="193"/>
      <c r="HK56" s="193"/>
      <c r="HL56" s="193"/>
      <c r="HM56" s="193"/>
      <c r="HN56" s="193"/>
      <c r="HO56" s="193"/>
      <c r="HP56" s="193"/>
      <c r="HQ56" s="193"/>
      <c r="HR56" s="193"/>
      <c r="HS56" s="193"/>
      <c r="HT56" s="193"/>
      <c r="HU56" s="193"/>
      <c r="HV56" s="193"/>
      <c r="HW56" s="193"/>
      <c r="HX56" s="193"/>
      <c r="HY56" s="193"/>
      <c r="HZ56" s="193"/>
      <c r="IA56" s="193"/>
      <c r="IB56" s="193"/>
      <c r="IC56" s="193"/>
      <c r="ID56" s="193"/>
      <c r="IE56" s="193"/>
      <c r="IF56" s="193"/>
      <c r="IG56" s="193"/>
      <c r="IH56" s="193"/>
      <c r="II56" s="193"/>
      <c r="IJ56" s="193"/>
      <c r="IK56" s="193"/>
      <c r="IL56" s="193"/>
      <c r="IM56" s="193"/>
      <c r="IN56" s="193"/>
      <c r="IO56" s="193"/>
      <c r="IP56" s="193"/>
      <c r="IQ56" s="193"/>
      <c r="IR56" s="193"/>
      <c r="IS56" s="193"/>
      <c r="IT56" s="193"/>
      <c r="IU56" s="193"/>
      <c r="IV56" s="193"/>
      <c r="IW56" s="193"/>
      <c r="IX56" s="193"/>
      <c r="IY56" s="193"/>
      <c r="IZ56" s="193"/>
      <c r="JA56" s="193"/>
      <c r="JB56" s="193"/>
      <c r="JC56" s="193"/>
      <c r="JD56" s="193"/>
      <c r="JE56" s="193"/>
      <c r="JF56" s="193"/>
      <c r="JG56" s="193"/>
      <c r="JH56" s="193"/>
      <c r="JI56" s="193"/>
      <c r="JJ56" s="193"/>
      <c r="JK56" s="193"/>
      <c r="JL56" s="193"/>
      <c r="JM56" s="193"/>
      <c r="JN56" s="193"/>
      <c r="JO56" s="193"/>
      <c r="JP56" s="193"/>
      <c r="JQ56" s="193"/>
      <c r="JR56" s="193"/>
      <c r="JS56" s="193"/>
      <c r="JT56" s="193"/>
      <c r="JU56" s="193"/>
      <c r="JV56" s="193"/>
      <c r="JW56" s="193"/>
      <c r="JX56" s="193"/>
      <c r="JY56" s="193"/>
      <c r="JZ56" s="193"/>
      <c r="KA56" s="193"/>
      <c r="KB56" s="193"/>
      <c r="KC56" s="193"/>
      <c r="KD56" s="193"/>
      <c r="KE56" s="193"/>
      <c r="KF56" s="193"/>
      <c r="KG56" s="193"/>
    </row>
    <row r="57" spans="1:293" s="192" customFormat="1" ht="15.75" customHeight="1" thickBot="1" x14ac:dyDescent="0.3">
      <c r="A57" s="465" t="s">
        <v>164</v>
      </c>
      <c r="B57" s="466"/>
      <c r="C57" s="266">
        <f>C53+C26</f>
        <v>75</v>
      </c>
      <c r="D57" s="267">
        <f>SUM(D54:D56)</f>
        <v>59120000</v>
      </c>
      <c r="E57" s="268">
        <f>SUM(E54:E56)</f>
        <v>41</v>
      </c>
      <c r="F57" s="269">
        <f>SUM(F54:F56)</f>
        <v>3740000</v>
      </c>
      <c r="G57" s="268">
        <f t="shared" ref="G57:AB57" si="26">SUM(G54:G56)</f>
        <v>42</v>
      </c>
      <c r="H57" s="269">
        <f t="shared" si="26"/>
        <v>3840000</v>
      </c>
      <c r="I57" s="268">
        <f t="shared" si="26"/>
        <v>43</v>
      </c>
      <c r="J57" s="269">
        <f t="shared" si="26"/>
        <v>2240000</v>
      </c>
      <c r="K57" s="268">
        <f t="shared" si="26"/>
        <v>45</v>
      </c>
      <c r="L57" s="269">
        <f t="shared" si="26"/>
        <v>4120000</v>
      </c>
      <c r="M57" s="268">
        <f t="shared" si="26"/>
        <v>49</v>
      </c>
      <c r="N57" s="269">
        <f t="shared" si="26"/>
        <v>4480000</v>
      </c>
      <c r="O57" s="268">
        <f t="shared" si="26"/>
        <v>55</v>
      </c>
      <c r="P57" s="269">
        <f t="shared" si="26"/>
        <v>5030000</v>
      </c>
      <c r="Q57" s="268">
        <f t="shared" si="26"/>
        <v>58</v>
      </c>
      <c r="R57" s="269">
        <f t="shared" si="26"/>
        <v>5300000</v>
      </c>
      <c r="S57" s="268">
        <f t="shared" si="26"/>
        <v>61</v>
      </c>
      <c r="T57" s="269">
        <f t="shared" si="26"/>
        <v>5490000</v>
      </c>
      <c r="U57" s="268">
        <f t="shared" si="26"/>
        <v>64</v>
      </c>
      <c r="V57" s="269">
        <f t="shared" si="26"/>
        <v>5760000</v>
      </c>
      <c r="W57" s="268">
        <f t="shared" si="26"/>
        <v>67</v>
      </c>
      <c r="X57" s="269">
        <f t="shared" si="26"/>
        <v>5950000</v>
      </c>
      <c r="Y57" s="268">
        <f t="shared" si="26"/>
        <v>70</v>
      </c>
      <c r="Z57" s="269">
        <f t="shared" si="26"/>
        <v>6310000</v>
      </c>
      <c r="AA57" s="268">
        <f t="shared" si="26"/>
        <v>73</v>
      </c>
      <c r="AB57" s="269">
        <f t="shared" si="26"/>
        <v>6860000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93"/>
      <c r="AS57" s="193"/>
      <c r="AT57" s="193"/>
      <c r="AU57" s="193"/>
      <c r="AV57" s="193"/>
      <c r="AW57" s="193"/>
      <c r="AX57" s="193"/>
      <c r="AY57" s="193"/>
      <c r="AZ57" s="193"/>
      <c r="BA57" s="193"/>
      <c r="BB57" s="193"/>
      <c r="BC57" s="193"/>
      <c r="BD57" s="193"/>
      <c r="BE57" s="193"/>
      <c r="BF57" s="193"/>
      <c r="BG57" s="193"/>
      <c r="BH57" s="193"/>
      <c r="BI57" s="193"/>
      <c r="BJ57" s="193"/>
      <c r="BK57" s="193"/>
      <c r="BL57" s="193"/>
      <c r="BM57" s="193"/>
      <c r="BN57" s="193"/>
      <c r="BO57" s="193"/>
      <c r="BP57" s="193"/>
      <c r="BQ57" s="193"/>
      <c r="BR57" s="193"/>
      <c r="BS57" s="193"/>
      <c r="BT57" s="193"/>
      <c r="BU57" s="193"/>
      <c r="BV57" s="193"/>
      <c r="BW57" s="193"/>
      <c r="BX57" s="193"/>
      <c r="BY57" s="193"/>
      <c r="BZ57" s="193"/>
      <c r="CA57" s="193"/>
      <c r="CB57" s="193"/>
      <c r="CC57" s="193"/>
      <c r="CD57" s="193"/>
      <c r="CE57" s="193"/>
      <c r="CF57" s="193"/>
      <c r="CG57" s="193"/>
      <c r="CH57" s="193"/>
      <c r="CI57" s="193"/>
      <c r="CJ57" s="193"/>
      <c r="CK57" s="193"/>
      <c r="CL57" s="193"/>
      <c r="CM57" s="193"/>
      <c r="CN57" s="193"/>
      <c r="CO57" s="193"/>
      <c r="CP57" s="193"/>
      <c r="CQ57" s="193"/>
      <c r="CR57" s="193"/>
      <c r="CS57" s="193"/>
      <c r="CT57" s="193"/>
      <c r="CU57" s="193"/>
      <c r="CV57" s="193"/>
      <c r="CW57" s="193"/>
      <c r="CX57" s="193"/>
      <c r="CY57" s="193"/>
      <c r="CZ57" s="193"/>
      <c r="DA57" s="193"/>
      <c r="DB57" s="193"/>
      <c r="DC57" s="193"/>
      <c r="DD57" s="193"/>
      <c r="DE57" s="193"/>
      <c r="DF57" s="193"/>
      <c r="DG57" s="193"/>
      <c r="DH57" s="193"/>
      <c r="DI57" s="193"/>
      <c r="DJ57" s="193"/>
      <c r="DK57" s="193"/>
      <c r="DL57" s="193"/>
      <c r="DM57" s="193"/>
      <c r="DN57" s="193"/>
      <c r="DO57" s="193"/>
      <c r="DP57" s="193"/>
      <c r="DQ57" s="193"/>
      <c r="DR57" s="193"/>
      <c r="DS57" s="193"/>
      <c r="DT57" s="193"/>
      <c r="DU57" s="193"/>
      <c r="DV57" s="193"/>
      <c r="DW57" s="193"/>
      <c r="DX57" s="193"/>
      <c r="DY57" s="193"/>
      <c r="DZ57" s="193"/>
      <c r="EA57" s="193"/>
      <c r="EB57" s="193"/>
      <c r="EC57" s="193"/>
      <c r="ED57" s="193"/>
      <c r="EE57" s="193"/>
      <c r="EF57" s="193"/>
      <c r="EG57" s="193"/>
      <c r="EH57" s="193"/>
      <c r="EI57" s="193"/>
      <c r="EJ57" s="193"/>
      <c r="EK57" s="193"/>
      <c r="EL57" s="193"/>
      <c r="EM57" s="193"/>
      <c r="EN57" s="193"/>
      <c r="EO57" s="193"/>
      <c r="EP57" s="193"/>
      <c r="EQ57" s="193"/>
      <c r="ER57" s="193"/>
      <c r="ES57" s="193"/>
      <c r="ET57" s="193"/>
      <c r="EU57" s="193"/>
      <c r="EV57" s="193"/>
      <c r="EW57" s="193"/>
      <c r="EX57" s="193"/>
      <c r="EY57" s="193"/>
      <c r="EZ57" s="193"/>
      <c r="FA57" s="193"/>
      <c r="FB57" s="193"/>
      <c r="FC57" s="193"/>
      <c r="FD57" s="193"/>
      <c r="FE57" s="193"/>
      <c r="FF57" s="193"/>
      <c r="FG57" s="193"/>
      <c r="FH57" s="193"/>
      <c r="FI57" s="193"/>
      <c r="FJ57" s="193"/>
      <c r="FK57" s="193"/>
      <c r="FL57" s="193"/>
      <c r="FM57" s="193"/>
      <c r="FN57" s="193"/>
      <c r="FO57" s="193"/>
      <c r="FP57" s="193"/>
      <c r="FQ57" s="193"/>
      <c r="FR57" s="193"/>
      <c r="FS57" s="193"/>
      <c r="FT57" s="193"/>
      <c r="FU57" s="193"/>
      <c r="FV57" s="193"/>
      <c r="FW57" s="193"/>
      <c r="FX57" s="193"/>
      <c r="FY57" s="193"/>
      <c r="FZ57" s="193"/>
      <c r="GA57" s="193"/>
      <c r="GB57" s="193"/>
      <c r="GC57" s="193"/>
      <c r="GD57" s="193"/>
      <c r="GE57" s="193"/>
      <c r="GF57" s="193"/>
      <c r="GG57" s="193"/>
      <c r="GH57" s="193"/>
      <c r="GI57" s="193"/>
      <c r="GJ57" s="193"/>
      <c r="GK57" s="193"/>
      <c r="GL57" s="193"/>
      <c r="GM57" s="193"/>
      <c r="GN57" s="193"/>
      <c r="GO57" s="193"/>
      <c r="GP57" s="193"/>
      <c r="GQ57" s="193"/>
      <c r="GR57" s="193"/>
      <c r="GS57" s="193"/>
      <c r="GT57" s="193"/>
      <c r="GU57" s="193"/>
      <c r="GV57" s="193"/>
      <c r="GW57" s="193"/>
      <c r="GX57" s="193"/>
      <c r="GY57" s="193"/>
      <c r="GZ57" s="193"/>
      <c r="HA57" s="193"/>
      <c r="HB57" s="193"/>
      <c r="HC57" s="193"/>
      <c r="HD57" s="193"/>
      <c r="HE57" s="193"/>
      <c r="HF57" s="193"/>
      <c r="HG57" s="193"/>
      <c r="HH57" s="193"/>
      <c r="HI57" s="193"/>
      <c r="HJ57" s="193"/>
      <c r="HK57" s="193"/>
      <c r="HL57" s="193"/>
      <c r="HM57" s="193"/>
      <c r="HN57" s="193"/>
      <c r="HO57" s="193"/>
      <c r="HP57" s="193"/>
      <c r="HQ57" s="193"/>
      <c r="HR57" s="193"/>
      <c r="HS57" s="193"/>
      <c r="HT57" s="193"/>
      <c r="HU57" s="193"/>
      <c r="HV57" s="193"/>
      <c r="HW57" s="193"/>
      <c r="HX57" s="193"/>
      <c r="HY57" s="193"/>
      <c r="HZ57" s="193"/>
      <c r="IA57" s="193"/>
      <c r="IB57" s="193"/>
      <c r="IC57" s="193"/>
      <c r="ID57" s="193"/>
      <c r="IE57" s="193"/>
      <c r="IF57" s="193"/>
      <c r="IG57" s="193"/>
      <c r="IH57" s="193"/>
      <c r="II57" s="193"/>
      <c r="IJ57" s="193"/>
      <c r="IK57" s="193"/>
      <c r="IL57" s="193"/>
      <c r="IM57" s="193"/>
      <c r="IN57" s="193"/>
      <c r="IO57" s="193"/>
      <c r="IP57" s="193"/>
      <c r="IQ57" s="193"/>
      <c r="IR57" s="193"/>
      <c r="IS57" s="193"/>
      <c r="IT57" s="193"/>
      <c r="IU57" s="193"/>
      <c r="IV57" s="193"/>
      <c r="IW57" s="193"/>
      <c r="IX57" s="193"/>
      <c r="IY57" s="193"/>
      <c r="IZ57" s="193"/>
      <c r="JA57" s="193"/>
      <c r="JB57" s="193"/>
      <c r="JC57" s="193"/>
      <c r="JD57" s="193"/>
      <c r="JE57" s="193"/>
      <c r="JF57" s="193"/>
      <c r="JG57" s="193"/>
      <c r="JH57" s="193"/>
      <c r="JI57" s="193"/>
      <c r="JJ57" s="193"/>
      <c r="JK57" s="193"/>
      <c r="JL57" s="193"/>
      <c r="JM57" s="193"/>
      <c r="JN57" s="193"/>
      <c r="JO57" s="193"/>
      <c r="JP57" s="193"/>
      <c r="JQ57" s="193"/>
      <c r="JR57" s="193"/>
      <c r="JS57" s="193"/>
      <c r="JT57" s="193"/>
      <c r="JU57" s="193"/>
      <c r="JV57" s="193"/>
      <c r="JW57" s="193"/>
      <c r="JX57" s="193"/>
      <c r="JY57" s="193"/>
      <c r="JZ57" s="193"/>
      <c r="KA57" s="193"/>
      <c r="KB57" s="193"/>
      <c r="KC57" s="193"/>
      <c r="KD57" s="193"/>
      <c r="KE57" s="193"/>
      <c r="KF57" s="193"/>
      <c r="KG57" s="193"/>
    </row>
    <row r="58" spans="1:293" ht="15.75" customHeight="1" thickBot="1" x14ac:dyDescent="0.3">
      <c r="A58" s="1"/>
      <c r="B58" s="1"/>
      <c r="C58" s="1"/>
      <c r="D58" s="3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</row>
    <row r="59" spans="1:293" ht="27" thickBot="1" x14ac:dyDescent="0.45">
      <c r="A59" s="502" t="s">
        <v>73</v>
      </c>
      <c r="B59" s="503"/>
      <c r="C59" s="503"/>
      <c r="D59" s="503"/>
      <c r="E59" s="503"/>
      <c r="F59" s="503"/>
      <c r="G59" s="503"/>
      <c r="H59" s="503"/>
      <c r="I59" s="503"/>
      <c r="J59" s="503"/>
      <c r="K59" s="503"/>
      <c r="L59" s="503"/>
      <c r="M59" s="503"/>
      <c r="N59" s="503"/>
      <c r="O59" s="503"/>
      <c r="P59" s="503"/>
      <c r="Q59" s="503"/>
      <c r="R59" s="503"/>
      <c r="S59" s="503"/>
      <c r="T59" s="503"/>
      <c r="U59" s="503"/>
      <c r="V59" s="503"/>
      <c r="W59" s="503"/>
      <c r="X59" s="503"/>
      <c r="Y59" s="503"/>
      <c r="Z59" s="503"/>
      <c r="AA59" s="503"/>
      <c r="AB59" s="504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</row>
    <row r="60" spans="1:293" s="197" customFormat="1" ht="158.25" customHeight="1" thickBot="1" x14ac:dyDescent="0.3">
      <c r="A60" s="186" t="s">
        <v>56</v>
      </c>
      <c r="B60" s="499" t="s">
        <v>242</v>
      </c>
      <c r="C60" s="500"/>
      <c r="D60" s="500"/>
      <c r="E60" s="500"/>
      <c r="F60" s="500"/>
      <c r="G60" s="500"/>
      <c r="H60" s="500"/>
      <c r="I60" s="500"/>
      <c r="J60" s="500"/>
      <c r="K60" s="500"/>
      <c r="L60" s="500"/>
      <c r="M60" s="500"/>
      <c r="N60" s="500"/>
      <c r="O60" s="500"/>
      <c r="P60" s="500"/>
      <c r="Q60" s="500"/>
      <c r="R60" s="500"/>
      <c r="S60" s="500"/>
      <c r="T60" s="500"/>
      <c r="U60" s="500"/>
      <c r="V60" s="500"/>
      <c r="W60" s="500"/>
      <c r="X60" s="500"/>
      <c r="Y60" s="500"/>
      <c r="Z60" s="500"/>
      <c r="AA60" s="500"/>
      <c r="AB60" s="50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</row>
    <row r="61" spans="1:293" ht="31.5" customHeight="1" thickBot="1" x14ac:dyDescent="0.3">
      <c r="A61" s="443" t="s">
        <v>57</v>
      </c>
      <c r="B61" s="444"/>
      <c r="C61" s="447" t="s">
        <v>248</v>
      </c>
      <c r="D61" s="435"/>
      <c r="E61" s="474" t="s">
        <v>249</v>
      </c>
      <c r="F61" s="452"/>
      <c r="G61" s="452"/>
      <c r="H61" s="452"/>
      <c r="I61" s="452"/>
      <c r="J61" s="452"/>
      <c r="K61" s="452"/>
      <c r="L61" s="452"/>
      <c r="M61" s="452"/>
      <c r="N61" s="452"/>
      <c r="O61" s="452"/>
      <c r="P61" s="452"/>
      <c r="Q61" s="452"/>
      <c r="R61" s="452"/>
      <c r="S61" s="452"/>
      <c r="T61" s="452"/>
      <c r="U61" s="452"/>
      <c r="V61" s="452"/>
      <c r="W61" s="452"/>
      <c r="X61" s="452"/>
      <c r="Y61" s="452"/>
      <c r="Z61" s="452"/>
      <c r="AA61" s="452"/>
      <c r="AB61" s="453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</row>
    <row r="62" spans="1:293" ht="15.75" customHeight="1" thickBot="1" x14ac:dyDescent="0.3">
      <c r="A62" s="445"/>
      <c r="B62" s="446"/>
      <c r="C62" s="187" t="s">
        <v>54</v>
      </c>
      <c r="D62" s="188" t="s">
        <v>57</v>
      </c>
      <c r="E62" s="441" t="s">
        <v>41</v>
      </c>
      <c r="F62" s="435"/>
      <c r="G62" s="441" t="s">
        <v>42</v>
      </c>
      <c r="H62" s="435"/>
      <c r="I62" s="441" t="s">
        <v>43</v>
      </c>
      <c r="J62" s="435"/>
      <c r="K62" s="441" t="s">
        <v>44</v>
      </c>
      <c r="L62" s="435"/>
      <c r="M62" s="441" t="s">
        <v>45</v>
      </c>
      <c r="N62" s="435"/>
      <c r="O62" s="441" t="s">
        <v>46</v>
      </c>
      <c r="P62" s="435"/>
      <c r="Q62" s="441" t="s">
        <v>47</v>
      </c>
      <c r="R62" s="435"/>
      <c r="S62" s="441" t="s">
        <v>48</v>
      </c>
      <c r="T62" s="435"/>
      <c r="U62" s="441" t="s">
        <v>49</v>
      </c>
      <c r="V62" s="435"/>
      <c r="W62" s="441" t="s">
        <v>50</v>
      </c>
      <c r="X62" s="435"/>
      <c r="Y62" s="441" t="s">
        <v>51</v>
      </c>
      <c r="Z62" s="435"/>
      <c r="AA62" s="441" t="s">
        <v>52</v>
      </c>
      <c r="AB62" s="435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</row>
    <row r="63" spans="1:293" ht="15" customHeight="1" x14ac:dyDescent="0.25">
      <c r="A63" s="448" t="s">
        <v>59</v>
      </c>
      <c r="B63" s="444"/>
      <c r="C63" s="33">
        <f>'Anexo capacidad operativa'!A32</f>
        <v>1</v>
      </c>
      <c r="D63" s="34" t="str">
        <f>'Anexo capacidad operativa'!B32</f>
        <v>Gerente general</v>
      </c>
      <c r="E63" s="461" t="s">
        <v>61</v>
      </c>
      <c r="F63" s="374"/>
      <c r="G63" s="429" t="s">
        <v>61</v>
      </c>
      <c r="H63" s="374"/>
      <c r="I63" s="429" t="s">
        <v>61</v>
      </c>
      <c r="J63" s="374"/>
      <c r="K63" s="429" t="s">
        <v>61</v>
      </c>
      <c r="L63" s="374"/>
      <c r="M63" s="429" t="s">
        <v>61</v>
      </c>
      <c r="N63" s="374"/>
      <c r="O63" s="429" t="s">
        <v>61</v>
      </c>
      <c r="P63" s="374"/>
      <c r="Q63" s="429" t="s">
        <v>61</v>
      </c>
      <c r="R63" s="374"/>
      <c r="S63" s="429" t="s">
        <v>61</v>
      </c>
      <c r="T63" s="374"/>
      <c r="U63" s="429" t="s">
        <v>61</v>
      </c>
      <c r="V63" s="374"/>
      <c r="W63" s="429" t="s">
        <v>61</v>
      </c>
      <c r="X63" s="374"/>
      <c r="Y63" s="429" t="s">
        <v>61</v>
      </c>
      <c r="Z63" s="374"/>
      <c r="AA63" s="429" t="s">
        <v>61</v>
      </c>
      <c r="AB63" s="462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</row>
    <row r="64" spans="1:293" ht="15" customHeight="1" x14ac:dyDescent="0.25">
      <c r="A64" s="449"/>
      <c r="B64" s="450"/>
      <c r="C64" s="35">
        <f>'Anexo capacidad operativa'!A33</f>
        <v>1</v>
      </c>
      <c r="D64" s="36" t="str">
        <f>'Anexo capacidad operativa'!B33</f>
        <v>Gerente de servicios</v>
      </c>
      <c r="E64" s="442" t="s">
        <v>61</v>
      </c>
      <c r="F64" s="423"/>
      <c r="G64" s="421" t="s">
        <v>61</v>
      </c>
      <c r="H64" s="423"/>
      <c r="I64" s="421" t="s">
        <v>61</v>
      </c>
      <c r="J64" s="423"/>
      <c r="K64" s="421" t="s">
        <v>61</v>
      </c>
      <c r="L64" s="423"/>
      <c r="M64" s="421" t="s">
        <v>61</v>
      </c>
      <c r="N64" s="423"/>
      <c r="O64" s="421" t="s">
        <v>61</v>
      </c>
      <c r="P64" s="423"/>
      <c r="Q64" s="421" t="s">
        <v>61</v>
      </c>
      <c r="R64" s="423"/>
      <c r="S64" s="421" t="s">
        <v>61</v>
      </c>
      <c r="T64" s="423"/>
      <c r="U64" s="421" t="s">
        <v>61</v>
      </c>
      <c r="V64" s="423"/>
      <c r="W64" s="421" t="s">
        <v>61</v>
      </c>
      <c r="X64" s="423"/>
      <c r="Y64" s="421" t="s">
        <v>61</v>
      </c>
      <c r="Z64" s="423"/>
      <c r="AA64" s="421" t="s">
        <v>61</v>
      </c>
      <c r="AB64" s="422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</row>
    <row r="65" spans="1:43" ht="15" customHeight="1" x14ac:dyDescent="0.25">
      <c r="A65" s="449"/>
      <c r="B65" s="450"/>
      <c r="C65" s="35">
        <f>'Anexo capacidad operativa'!A34</f>
        <v>1</v>
      </c>
      <c r="D65" s="36" t="str">
        <f>'Anexo capacidad operativa'!B34</f>
        <v>Gerente de tecnologia</v>
      </c>
      <c r="E65" s="442" t="s">
        <v>61</v>
      </c>
      <c r="F65" s="423"/>
      <c r="G65" s="421" t="s">
        <v>61</v>
      </c>
      <c r="H65" s="423"/>
      <c r="I65" s="421" t="s">
        <v>61</v>
      </c>
      <c r="J65" s="423"/>
      <c r="K65" s="421" t="s">
        <v>61</v>
      </c>
      <c r="L65" s="423"/>
      <c r="M65" s="421" t="s">
        <v>61</v>
      </c>
      <c r="N65" s="423"/>
      <c r="O65" s="421" t="s">
        <v>61</v>
      </c>
      <c r="P65" s="423"/>
      <c r="Q65" s="421" t="s">
        <v>61</v>
      </c>
      <c r="R65" s="423"/>
      <c r="S65" s="421" t="s">
        <v>61</v>
      </c>
      <c r="T65" s="423"/>
      <c r="U65" s="421" t="s">
        <v>61</v>
      </c>
      <c r="V65" s="423"/>
      <c r="W65" s="421" t="s">
        <v>61</v>
      </c>
      <c r="X65" s="423"/>
      <c r="Y65" s="421" t="s">
        <v>61</v>
      </c>
      <c r="Z65" s="423"/>
      <c r="AA65" s="421" t="s">
        <v>61</v>
      </c>
      <c r="AB65" s="422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</row>
    <row r="66" spans="1:43" ht="15" customHeight="1" x14ac:dyDescent="0.25">
      <c r="A66" s="449"/>
      <c r="B66" s="450"/>
      <c r="C66" s="35">
        <f>'Anexo capacidad operativa'!A35</f>
        <v>1</v>
      </c>
      <c r="D66" s="36" t="str">
        <f>'Anexo capacidad operativa'!B35</f>
        <v>Gerente de administracion</v>
      </c>
      <c r="E66" s="442" t="s">
        <v>61</v>
      </c>
      <c r="F66" s="423"/>
      <c r="G66" s="421" t="s">
        <v>61</v>
      </c>
      <c r="H66" s="423"/>
      <c r="I66" s="421" t="s">
        <v>61</v>
      </c>
      <c r="J66" s="423"/>
      <c r="K66" s="421" t="s">
        <v>61</v>
      </c>
      <c r="L66" s="423"/>
      <c r="M66" s="421" t="s">
        <v>61</v>
      </c>
      <c r="N66" s="423"/>
      <c r="O66" s="421" t="s">
        <v>61</v>
      </c>
      <c r="P66" s="423"/>
      <c r="Q66" s="421" t="s">
        <v>61</v>
      </c>
      <c r="R66" s="423"/>
      <c r="S66" s="421" t="s">
        <v>61</v>
      </c>
      <c r="T66" s="423"/>
      <c r="U66" s="421" t="s">
        <v>61</v>
      </c>
      <c r="V66" s="423"/>
      <c r="W66" s="421" t="s">
        <v>61</v>
      </c>
      <c r="X66" s="423"/>
      <c r="Y66" s="421" t="s">
        <v>61</v>
      </c>
      <c r="Z66" s="423"/>
      <c r="AA66" s="421" t="s">
        <v>61</v>
      </c>
      <c r="AB66" s="422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</row>
    <row r="67" spans="1:43" ht="15" customHeight="1" x14ac:dyDescent="0.25">
      <c r="A67" s="449"/>
      <c r="B67" s="450"/>
      <c r="C67" s="35">
        <f>'Anexo capacidad operativa'!A36</f>
        <v>1</v>
      </c>
      <c r="D67" s="36" t="str">
        <f>'Anexo capacidad operativa'!B36</f>
        <v>Gerente de comuinicacion</v>
      </c>
      <c r="E67" s="481" t="s">
        <v>61</v>
      </c>
      <c r="F67" s="425"/>
      <c r="G67" s="424" t="s">
        <v>61</v>
      </c>
      <c r="H67" s="425"/>
      <c r="I67" s="424" t="s">
        <v>61</v>
      </c>
      <c r="J67" s="425"/>
      <c r="K67" s="424" t="s">
        <v>61</v>
      </c>
      <c r="L67" s="425"/>
      <c r="M67" s="424" t="s">
        <v>61</v>
      </c>
      <c r="N67" s="425"/>
      <c r="O67" s="424" t="s">
        <v>61</v>
      </c>
      <c r="P67" s="425"/>
      <c r="Q67" s="424" t="s">
        <v>61</v>
      </c>
      <c r="R67" s="425"/>
      <c r="S67" s="424" t="s">
        <v>61</v>
      </c>
      <c r="T67" s="425"/>
      <c r="U67" s="424" t="s">
        <v>61</v>
      </c>
      <c r="V67" s="425"/>
      <c r="W67" s="424" t="s">
        <v>61</v>
      </c>
      <c r="X67" s="425"/>
      <c r="Y67" s="424" t="s">
        <v>61</v>
      </c>
      <c r="Z67" s="425"/>
      <c r="AA67" s="424" t="s">
        <v>61</v>
      </c>
      <c r="AB67" s="426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</row>
    <row r="68" spans="1:43" ht="15" customHeight="1" thickBot="1" x14ac:dyDescent="0.3">
      <c r="A68" s="470"/>
      <c r="B68" s="471"/>
      <c r="C68" s="122">
        <f>'Anexo capacidad operativa'!A37</f>
        <v>1</v>
      </c>
      <c r="D68" s="194" t="str">
        <f>'Anexo capacidad operativa'!B37</f>
        <v>Desarrollador</v>
      </c>
      <c r="E68" s="481" t="s">
        <v>61</v>
      </c>
      <c r="F68" s="425"/>
      <c r="G68" s="424" t="s">
        <v>61</v>
      </c>
      <c r="H68" s="425"/>
      <c r="I68" s="424" t="s">
        <v>61</v>
      </c>
      <c r="J68" s="425"/>
      <c r="K68" s="424" t="s">
        <v>61</v>
      </c>
      <c r="L68" s="425"/>
      <c r="M68" s="424" t="s">
        <v>61</v>
      </c>
      <c r="N68" s="425"/>
      <c r="O68" s="482" t="s">
        <v>165</v>
      </c>
      <c r="P68" s="483"/>
      <c r="Q68" s="424" t="s">
        <v>61</v>
      </c>
      <c r="R68" s="425"/>
      <c r="S68" s="424" t="s">
        <v>61</v>
      </c>
      <c r="T68" s="425"/>
      <c r="U68" s="424" t="s">
        <v>61</v>
      </c>
      <c r="V68" s="425"/>
      <c r="W68" s="424" t="s">
        <v>61</v>
      </c>
      <c r="X68" s="425"/>
      <c r="Y68" s="424" t="s">
        <v>61</v>
      </c>
      <c r="Z68" s="425"/>
      <c r="AA68" s="424" t="s">
        <v>61</v>
      </c>
      <c r="AB68" s="426"/>
      <c r="AC68" s="116"/>
      <c r="AD68" s="116"/>
      <c r="AE68" s="116"/>
      <c r="AF68" s="116"/>
      <c r="AG68" s="116"/>
      <c r="AH68" s="116"/>
      <c r="AI68" s="116"/>
      <c r="AJ68" s="116"/>
      <c r="AK68" s="116"/>
      <c r="AL68" s="116"/>
      <c r="AM68" s="116"/>
      <c r="AN68" s="116"/>
      <c r="AO68" s="116"/>
      <c r="AP68" s="116"/>
      <c r="AQ68" s="116"/>
    </row>
    <row r="69" spans="1:43" ht="15" customHeight="1" thickBot="1" x14ac:dyDescent="0.3">
      <c r="A69" s="475" t="s">
        <v>63</v>
      </c>
      <c r="B69" s="476"/>
      <c r="C69" s="37">
        <v>1</v>
      </c>
      <c r="D69" s="38" t="s">
        <v>64</v>
      </c>
      <c r="E69" s="442" t="s">
        <v>61</v>
      </c>
      <c r="F69" s="423"/>
      <c r="G69" s="429" t="s">
        <v>61</v>
      </c>
      <c r="H69" s="374"/>
      <c r="I69" s="429" t="s">
        <v>61</v>
      </c>
      <c r="J69" s="374"/>
      <c r="K69" s="429" t="s">
        <v>61</v>
      </c>
      <c r="L69" s="374"/>
      <c r="M69" s="429" t="s">
        <v>61</v>
      </c>
      <c r="N69" s="374"/>
      <c r="O69" s="429" t="s">
        <v>61</v>
      </c>
      <c r="P69" s="374"/>
      <c r="Q69" s="429" t="s">
        <v>61</v>
      </c>
      <c r="R69" s="374"/>
      <c r="S69" s="429" t="s">
        <v>61</v>
      </c>
      <c r="T69" s="374"/>
      <c r="U69" s="429" t="s">
        <v>61</v>
      </c>
      <c r="V69" s="374"/>
      <c r="W69" s="429" t="s">
        <v>61</v>
      </c>
      <c r="X69" s="374"/>
      <c r="Y69" s="429" t="s">
        <v>61</v>
      </c>
      <c r="Z69" s="374"/>
      <c r="AA69" s="429" t="s">
        <v>61</v>
      </c>
      <c r="AB69" s="462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</row>
    <row r="70" spans="1:43" ht="15" customHeight="1" thickBot="1" x14ac:dyDescent="0.3">
      <c r="A70" s="449"/>
      <c r="B70" s="450"/>
      <c r="C70" s="39">
        <v>2</v>
      </c>
      <c r="D70" s="40" t="s">
        <v>65</v>
      </c>
      <c r="E70" s="420" t="s">
        <v>165</v>
      </c>
      <c r="F70" s="420"/>
      <c r="G70" s="421" t="s">
        <v>61</v>
      </c>
      <c r="H70" s="423"/>
      <c r="I70" s="421" t="s">
        <v>61</v>
      </c>
      <c r="J70" s="423"/>
      <c r="K70" s="421" t="s">
        <v>61</v>
      </c>
      <c r="L70" s="423"/>
      <c r="M70" s="421" t="s">
        <v>61</v>
      </c>
      <c r="N70" s="423"/>
      <c r="O70" s="421" t="s">
        <v>61</v>
      </c>
      <c r="P70" s="423"/>
      <c r="Q70" s="421" t="s">
        <v>61</v>
      </c>
      <c r="R70" s="423"/>
      <c r="S70" s="421" t="s">
        <v>61</v>
      </c>
      <c r="T70" s="423"/>
      <c r="U70" s="421" t="s">
        <v>61</v>
      </c>
      <c r="V70" s="423"/>
      <c r="W70" s="421" t="s">
        <v>61</v>
      </c>
      <c r="X70" s="423"/>
      <c r="Y70" s="421" t="s">
        <v>61</v>
      </c>
      <c r="Z70" s="423"/>
      <c r="AA70" s="421" t="s">
        <v>61</v>
      </c>
      <c r="AB70" s="422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</row>
    <row r="71" spans="1:43" ht="15" customHeight="1" x14ac:dyDescent="0.25">
      <c r="A71" s="449"/>
      <c r="B71" s="450"/>
      <c r="C71" s="39">
        <v>1</v>
      </c>
      <c r="D71" s="40" t="s">
        <v>66</v>
      </c>
      <c r="E71" s="442" t="s">
        <v>61</v>
      </c>
      <c r="F71" s="423"/>
      <c r="G71" s="421" t="s">
        <v>61</v>
      </c>
      <c r="H71" s="423"/>
      <c r="I71" s="421" t="s">
        <v>61</v>
      </c>
      <c r="J71" s="423"/>
      <c r="K71" s="421" t="s">
        <v>61</v>
      </c>
      <c r="L71" s="423"/>
      <c r="M71" s="421" t="s">
        <v>61</v>
      </c>
      <c r="N71" s="423"/>
      <c r="O71" s="421" t="s">
        <v>61</v>
      </c>
      <c r="P71" s="423"/>
      <c r="Q71" s="421" t="s">
        <v>61</v>
      </c>
      <c r="R71" s="423"/>
      <c r="S71" s="421" t="s">
        <v>61</v>
      </c>
      <c r="T71" s="423"/>
      <c r="U71" s="421" t="s">
        <v>61</v>
      </c>
      <c r="V71" s="423"/>
      <c r="W71" s="421" t="s">
        <v>61</v>
      </c>
      <c r="X71" s="423"/>
      <c r="Y71" s="421" t="s">
        <v>61</v>
      </c>
      <c r="Z71" s="423"/>
      <c r="AA71" s="421" t="s">
        <v>61</v>
      </c>
      <c r="AB71" s="422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</row>
    <row r="72" spans="1:43" ht="15" customHeight="1" x14ac:dyDescent="0.25">
      <c r="A72" s="449"/>
      <c r="B72" s="450"/>
      <c r="C72" s="39">
        <v>1</v>
      </c>
      <c r="D72" s="40" t="s">
        <v>67</v>
      </c>
      <c r="E72" s="442" t="s">
        <v>61</v>
      </c>
      <c r="F72" s="423"/>
      <c r="G72" s="421" t="s">
        <v>61</v>
      </c>
      <c r="H72" s="423"/>
      <c r="I72" s="421" t="s">
        <v>61</v>
      </c>
      <c r="J72" s="423"/>
      <c r="K72" s="421" t="s">
        <v>61</v>
      </c>
      <c r="L72" s="423"/>
      <c r="M72" s="421" t="s">
        <v>61</v>
      </c>
      <c r="N72" s="423"/>
      <c r="O72" s="421" t="s">
        <v>61</v>
      </c>
      <c r="P72" s="423"/>
      <c r="Q72" s="421" t="s">
        <v>61</v>
      </c>
      <c r="R72" s="423"/>
      <c r="S72" s="421" t="s">
        <v>61</v>
      </c>
      <c r="T72" s="423"/>
      <c r="U72" s="421" t="s">
        <v>61</v>
      </c>
      <c r="V72" s="423"/>
      <c r="W72" s="421" t="s">
        <v>61</v>
      </c>
      <c r="X72" s="423"/>
      <c r="Y72" s="421" t="s">
        <v>61</v>
      </c>
      <c r="Z72" s="423"/>
      <c r="AA72" s="421" t="s">
        <v>61</v>
      </c>
      <c r="AB72" s="422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</row>
    <row r="73" spans="1:43" ht="15" customHeight="1" x14ac:dyDescent="0.25">
      <c r="A73" s="449"/>
      <c r="B73" s="450"/>
      <c r="C73" s="39">
        <v>1</v>
      </c>
      <c r="D73" s="40" t="s">
        <v>68</v>
      </c>
      <c r="E73" s="442" t="s">
        <v>61</v>
      </c>
      <c r="F73" s="423"/>
      <c r="G73" s="421" t="s">
        <v>61</v>
      </c>
      <c r="H73" s="423"/>
      <c r="I73" s="421" t="s">
        <v>61</v>
      </c>
      <c r="J73" s="423"/>
      <c r="K73" s="421" t="s">
        <v>61</v>
      </c>
      <c r="L73" s="423"/>
      <c r="M73" s="421" t="s">
        <v>61</v>
      </c>
      <c r="N73" s="423"/>
      <c r="O73" s="421" t="s">
        <v>61</v>
      </c>
      <c r="P73" s="423"/>
      <c r="Q73" s="421" t="s">
        <v>61</v>
      </c>
      <c r="R73" s="423"/>
      <c r="S73" s="421" t="s">
        <v>61</v>
      </c>
      <c r="T73" s="423"/>
      <c r="U73" s="421" t="s">
        <v>61</v>
      </c>
      <c r="V73" s="423"/>
      <c r="W73" s="421" t="s">
        <v>61</v>
      </c>
      <c r="X73" s="423"/>
      <c r="Y73" s="421" t="s">
        <v>61</v>
      </c>
      <c r="Z73" s="423"/>
      <c r="AA73" s="421" t="s">
        <v>61</v>
      </c>
      <c r="AB73" s="422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</row>
    <row r="74" spans="1:43" ht="15" customHeight="1" thickBot="1" x14ac:dyDescent="0.3">
      <c r="A74" s="477"/>
      <c r="B74" s="478"/>
      <c r="C74" s="39">
        <v>2</v>
      </c>
      <c r="D74" s="40" t="s">
        <v>69</v>
      </c>
      <c r="E74" s="482" t="s">
        <v>165</v>
      </c>
      <c r="F74" s="483"/>
      <c r="G74" s="421" t="s">
        <v>61</v>
      </c>
      <c r="H74" s="423"/>
      <c r="I74" s="421" t="s">
        <v>61</v>
      </c>
      <c r="J74" s="423"/>
      <c r="K74" s="421" t="s">
        <v>61</v>
      </c>
      <c r="L74" s="423"/>
      <c r="M74" s="421" t="s">
        <v>61</v>
      </c>
      <c r="N74" s="423"/>
      <c r="O74" s="421" t="s">
        <v>61</v>
      </c>
      <c r="P74" s="423"/>
      <c r="Q74" s="421" t="s">
        <v>61</v>
      </c>
      <c r="R74" s="423"/>
      <c r="S74" s="421" t="s">
        <v>61</v>
      </c>
      <c r="T74" s="423"/>
      <c r="U74" s="421" t="s">
        <v>61</v>
      </c>
      <c r="V74" s="423"/>
      <c r="W74" s="421" t="s">
        <v>61</v>
      </c>
      <c r="X74" s="423"/>
      <c r="Y74" s="421" t="s">
        <v>61</v>
      </c>
      <c r="Z74" s="423"/>
      <c r="AA74" s="421" t="s">
        <v>61</v>
      </c>
      <c r="AB74" s="422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</row>
    <row r="75" spans="1:43" ht="28.5" customHeight="1" thickBot="1" x14ac:dyDescent="0.3">
      <c r="A75" s="479" t="s">
        <v>70</v>
      </c>
      <c r="B75" s="480"/>
      <c r="C75" s="37">
        <f>SUM(C63:C68)</f>
        <v>6</v>
      </c>
      <c r="D75" s="180" t="s">
        <v>170</v>
      </c>
      <c r="E75" s="421" t="s">
        <v>61</v>
      </c>
      <c r="F75" s="423"/>
      <c r="G75" s="421" t="s">
        <v>61</v>
      </c>
      <c r="H75" s="423"/>
      <c r="I75" s="421" t="s">
        <v>61</v>
      </c>
      <c r="J75" s="423"/>
      <c r="K75" s="421" t="s">
        <v>61</v>
      </c>
      <c r="L75" s="423"/>
      <c r="M75" s="421" t="s">
        <v>61</v>
      </c>
      <c r="N75" s="423"/>
      <c r="O75" s="482" t="s">
        <v>165</v>
      </c>
      <c r="P75" s="483"/>
      <c r="Q75" s="421" t="s">
        <v>61</v>
      </c>
      <c r="R75" s="423"/>
      <c r="S75" s="421" t="s">
        <v>61</v>
      </c>
      <c r="T75" s="423"/>
      <c r="U75" s="421" t="s">
        <v>61</v>
      </c>
      <c r="V75" s="423"/>
      <c r="W75" s="421" t="s">
        <v>61</v>
      </c>
      <c r="X75" s="423"/>
      <c r="Y75" s="421" t="s">
        <v>61</v>
      </c>
      <c r="Z75" s="423"/>
      <c r="AA75" s="421" t="s">
        <v>61</v>
      </c>
      <c r="AB75" s="422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</row>
    <row r="76" spans="1:43" ht="15.75" customHeight="1" x14ac:dyDescent="0.25">
      <c r="A76" s="41"/>
      <c r="B76" s="41"/>
      <c r="C76" s="31"/>
      <c r="D76" s="31"/>
      <c r="E76" s="42"/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</row>
    <row r="77" spans="1:43" ht="9" customHeight="1" thickBot="1" x14ac:dyDescent="0.3">
      <c r="A77" s="43"/>
      <c r="B77" s="43"/>
      <c r="C77" s="45"/>
      <c r="D77" s="45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4"/>
      <c r="AD77" s="44"/>
      <c r="AE77" s="44"/>
      <c r="AF77" s="44"/>
      <c r="AG77" s="44"/>
      <c r="AH77" s="44"/>
      <c r="AI77" s="44"/>
      <c r="AJ77" s="44"/>
      <c r="AK77" s="44"/>
      <c r="AL77" s="44"/>
      <c r="AM77" s="44"/>
      <c r="AN77" s="44"/>
      <c r="AO77" s="44"/>
      <c r="AP77" s="44"/>
      <c r="AQ77" s="44"/>
    </row>
    <row r="78" spans="1:43" ht="27" thickBot="1" x14ac:dyDescent="0.45">
      <c r="A78" s="468" t="s">
        <v>199</v>
      </c>
      <c r="B78" s="468"/>
      <c r="C78" s="468"/>
      <c r="D78" s="468"/>
      <c r="E78" s="468"/>
      <c r="F78" s="468"/>
      <c r="G78" s="468"/>
      <c r="H78" s="468"/>
      <c r="I78" s="468"/>
      <c r="J78" s="468"/>
      <c r="K78" s="468"/>
      <c r="L78" s="468"/>
      <c r="M78" s="468"/>
      <c r="N78" s="468"/>
      <c r="O78" s="468"/>
      <c r="P78" s="468"/>
      <c r="Q78" s="468"/>
      <c r="R78" s="468"/>
      <c r="S78" s="468"/>
      <c r="T78" s="468"/>
      <c r="U78" s="468"/>
      <c r="V78" s="468"/>
      <c r="W78" s="468"/>
      <c r="X78" s="468"/>
      <c r="Y78" s="468"/>
      <c r="Z78" s="468"/>
      <c r="AA78" s="468"/>
      <c r="AB78" s="468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</row>
    <row r="79" spans="1:43" ht="15.75" customHeight="1" thickBot="1" x14ac:dyDescent="0.3">
      <c r="A79" s="440" t="s">
        <v>192</v>
      </c>
      <c r="B79" s="440" t="s">
        <v>34</v>
      </c>
      <c r="C79" s="440" t="s">
        <v>40</v>
      </c>
      <c r="D79" s="428"/>
      <c r="E79" s="439" t="s">
        <v>41</v>
      </c>
      <c r="F79" s="428"/>
      <c r="G79" s="439" t="s">
        <v>42</v>
      </c>
      <c r="H79" s="428"/>
      <c r="I79" s="439" t="s">
        <v>43</v>
      </c>
      <c r="J79" s="428"/>
      <c r="K79" s="439" t="s">
        <v>44</v>
      </c>
      <c r="L79" s="428"/>
      <c r="M79" s="439" t="s">
        <v>45</v>
      </c>
      <c r="N79" s="428"/>
      <c r="O79" s="439" t="s">
        <v>46</v>
      </c>
      <c r="P79" s="428"/>
      <c r="Q79" s="439" t="s">
        <v>47</v>
      </c>
      <c r="R79" s="428"/>
      <c r="S79" s="439" t="s">
        <v>48</v>
      </c>
      <c r="T79" s="428"/>
      <c r="U79" s="439" t="s">
        <v>49</v>
      </c>
      <c r="V79" s="428"/>
      <c r="W79" s="439" t="s">
        <v>50</v>
      </c>
      <c r="X79" s="428"/>
      <c r="Y79" s="439" t="s">
        <v>51</v>
      </c>
      <c r="Z79" s="428"/>
      <c r="AA79" s="439" t="s">
        <v>52</v>
      </c>
      <c r="AB79" s="428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</row>
    <row r="80" spans="1:43" ht="15.75" customHeight="1" thickBot="1" x14ac:dyDescent="0.3">
      <c r="A80" s="464"/>
      <c r="B80" s="464"/>
      <c r="C80" s="440" t="s">
        <v>54</v>
      </c>
      <c r="D80" s="440" t="s">
        <v>53</v>
      </c>
      <c r="E80" s="427">
        <v>0.05</v>
      </c>
      <c r="F80" s="428"/>
      <c r="G80" s="427">
        <v>0.05</v>
      </c>
      <c r="H80" s="427"/>
      <c r="I80" s="427">
        <v>0.05</v>
      </c>
      <c r="J80" s="428"/>
      <c r="K80" s="427">
        <v>7.0000000000000007E-2</v>
      </c>
      <c r="L80" s="427"/>
      <c r="M80" s="427">
        <v>0.1</v>
      </c>
      <c r="N80" s="428"/>
      <c r="O80" s="427">
        <v>0.15</v>
      </c>
      <c r="P80" s="427"/>
      <c r="Q80" s="427">
        <v>7.0000000000000007E-2</v>
      </c>
      <c r="R80" s="428"/>
      <c r="S80" s="427">
        <v>7.0000000000000007E-2</v>
      </c>
      <c r="T80" s="427"/>
      <c r="U80" s="427">
        <v>7.0000000000000007E-2</v>
      </c>
      <c r="V80" s="428"/>
      <c r="W80" s="427">
        <v>7.0000000000000007E-2</v>
      </c>
      <c r="X80" s="427"/>
      <c r="Y80" s="427">
        <v>0.1</v>
      </c>
      <c r="Z80" s="428"/>
      <c r="AA80" s="427">
        <v>0.15</v>
      </c>
      <c r="AB80" s="427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</row>
    <row r="81" spans="1:43" ht="15.75" customHeight="1" thickBot="1" x14ac:dyDescent="0.3">
      <c r="A81" s="464"/>
      <c r="B81" s="464"/>
      <c r="C81" s="428"/>
      <c r="D81" s="428"/>
      <c r="E81" s="206" t="s">
        <v>54</v>
      </c>
      <c r="F81" s="206" t="s">
        <v>53</v>
      </c>
      <c r="G81" s="206" t="s">
        <v>54</v>
      </c>
      <c r="H81" s="206" t="s">
        <v>53</v>
      </c>
      <c r="I81" s="206" t="s">
        <v>54</v>
      </c>
      <c r="J81" s="206" t="s">
        <v>53</v>
      </c>
      <c r="K81" s="206" t="s">
        <v>54</v>
      </c>
      <c r="L81" s="206" t="s">
        <v>53</v>
      </c>
      <c r="M81" s="206" t="s">
        <v>54</v>
      </c>
      <c r="N81" s="206" t="s">
        <v>53</v>
      </c>
      <c r="O81" s="206" t="s">
        <v>54</v>
      </c>
      <c r="P81" s="206" t="s">
        <v>53</v>
      </c>
      <c r="Q81" s="206" t="s">
        <v>54</v>
      </c>
      <c r="R81" s="206" t="s">
        <v>53</v>
      </c>
      <c r="S81" s="206" t="s">
        <v>54</v>
      </c>
      <c r="T81" s="206" t="s">
        <v>53</v>
      </c>
      <c r="U81" s="206" t="s">
        <v>54</v>
      </c>
      <c r="V81" s="206" t="s">
        <v>53</v>
      </c>
      <c r="W81" s="206" t="s">
        <v>54</v>
      </c>
      <c r="X81" s="206" t="s">
        <v>53</v>
      </c>
      <c r="Y81" s="206" t="s">
        <v>54</v>
      </c>
      <c r="Z81" s="206" t="s">
        <v>53</v>
      </c>
      <c r="AA81" s="206" t="s">
        <v>54</v>
      </c>
      <c r="AB81" s="206" t="s">
        <v>53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</row>
    <row r="82" spans="1:43" ht="15.75" customHeight="1" thickBot="1" x14ac:dyDescent="0.3">
      <c r="A82" s="207" t="s">
        <v>190</v>
      </c>
      <c r="B82" s="208">
        <f>Hipótesis!C37</f>
        <v>80000</v>
      </c>
      <c r="C82" s="242">
        <f>E82+G82+I82+K82+M82+O82+Q82+S82+U82+W82+Y82+AA82</f>
        <v>7</v>
      </c>
      <c r="D82" s="241">
        <f>B82*C82</f>
        <v>560000</v>
      </c>
      <c r="E82" s="243">
        <v>1</v>
      </c>
      <c r="F82" s="241">
        <f>B82*E82</f>
        <v>80000</v>
      </c>
      <c r="G82" s="243">
        <v>0</v>
      </c>
      <c r="H82" s="241">
        <f>B82*G82</f>
        <v>0</v>
      </c>
      <c r="I82" s="243">
        <v>0</v>
      </c>
      <c r="J82" s="241">
        <f t="shared" ref="J82" si="27">F82*I82</f>
        <v>0</v>
      </c>
      <c r="K82" s="243"/>
      <c r="L82" s="241">
        <f>K82*B82</f>
        <v>0</v>
      </c>
      <c r="M82" s="243">
        <v>1</v>
      </c>
      <c r="N82" s="241">
        <f>M82*B82</f>
        <v>80000</v>
      </c>
      <c r="O82" s="243">
        <v>1</v>
      </c>
      <c r="P82" s="241">
        <f>O82*B82</f>
        <v>80000</v>
      </c>
      <c r="Q82" s="243">
        <v>1</v>
      </c>
      <c r="R82" s="241">
        <f>$B$82*Q82</f>
        <v>80000</v>
      </c>
      <c r="S82" s="243">
        <v>0</v>
      </c>
      <c r="T82" s="241">
        <f>S82*B82</f>
        <v>0</v>
      </c>
      <c r="U82" s="243">
        <v>0</v>
      </c>
      <c r="V82" s="241">
        <f t="shared" ref="V82:V84" si="28">R82*U82</f>
        <v>0</v>
      </c>
      <c r="W82" s="243">
        <v>1</v>
      </c>
      <c r="X82" s="241">
        <f t="shared" ref="X82:X84" si="29">R82*W82</f>
        <v>80000</v>
      </c>
      <c r="Y82" s="243">
        <v>1</v>
      </c>
      <c r="Z82" s="241">
        <f>B82*Y82</f>
        <v>80000</v>
      </c>
      <c r="AA82" s="243">
        <v>1</v>
      </c>
      <c r="AB82" s="241">
        <f>B82*AA82</f>
        <v>80000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</row>
    <row r="83" spans="1:43" ht="15.75" customHeight="1" thickBot="1" x14ac:dyDescent="0.3">
      <c r="A83" s="209" t="s">
        <v>191</v>
      </c>
      <c r="B83" s="210">
        <f>Hipótesis!C38</f>
        <v>90000</v>
      </c>
      <c r="C83" s="245">
        <f>E83+G83+I83+K83+M83+O83+Q83+S83+U83+W83+Y83+AA83</f>
        <v>17</v>
      </c>
      <c r="D83" s="244">
        <f>B83*C83</f>
        <v>1530000</v>
      </c>
      <c r="E83" s="245">
        <v>0</v>
      </c>
      <c r="F83" s="246">
        <f>B83*E83</f>
        <v>0</v>
      </c>
      <c r="G83" s="245">
        <v>1</v>
      </c>
      <c r="H83" s="246">
        <f>B83*G83</f>
        <v>90000</v>
      </c>
      <c r="I83" s="245">
        <v>1</v>
      </c>
      <c r="J83" s="246">
        <f>B83*I83</f>
        <v>90000</v>
      </c>
      <c r="K83" s="245">
        <v>1</v>
      </c>
      <c r="L83" s="246">
        <f>K83*$B$83</f>
        <v>90000</v>
      </c>
      <c r="M83" s="245">
        <v>2</v>
      </c>
      <c r="N83" s="246">
        <f>M83*$B$83</f>
        <v>180000</v>
      </c>
      <c r="O83" s="245">
        <v>3</v>
      </c>
      <c r="P83" s="246">
        <f t="shared" ref="P83" si="30">O83*$B$83</f>
        <v>270000</v>
      </c>
      <c r="Q83" s="245">
        <v>1</v>
      </c>
      <c r="R83" s="246">
        <f>Q83*B83</f>
        <v>90000</v>
      </c>
      <c r="S83" s="245">
        <v>1</v>
      </c>
      <c r="T83" s="246">
        <f>B83*S83</f>
        <v>90000</v>
      </c>
      <c r="U83" s="245">
        <v>2</v>
      </c>
      <c r="V83" s="246">
        <f t="shared" si="28"/>
        <v>180000</v>
      </c>
      <c r="W83" s="245">
        <v>1</v>
      </c>
      <c r="X83" s="246">
        <f t="shared" si="29"/>
        <v>90000</v>
      </c>
      <c r="Y83" s="245">
        <v>2</v>
      </c>
      <c r="Z83" s="246">
        <f>$B$83*Y83</f>
        <v>180000</v>
      </c>
      <c r="AA83" s="245">
        <v>2</v>
      </c>
      <c r="AB83" s="246">
        <f>$B$83*AA83</f>
        <v>180000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</row>
    <row r="84" spans="1:43" ht="15.75" customHeight="1" thickBot="1" x14ac:dyDescent="0.3">
      <c r="A84" s="211" t="s">
        <v>36</v>
      </c>
      <c r="B84" s="212">
        <f>Hipótesis!C39</f>
        <v>100000</v>
      </c>
      <c r="C84" s="248">
        <f>E84+G84+I84+K84+M84+O84+Q84+S84+U84+W84+Y84+AA84</f>
        <v>11</v>
      </c>
      <c r="D84" s="247">
        <f>B84*C84</f>
        <v>1100000</v>
      </c>
      <c r="E84" s="249">
        <v>0</v>
      </c>
      <c r="F84" s="250">
        <f>B84*E84</f>
        <v>0</v>
      </c>
      <c r="G84" s="249">
        <v>0</v>
      </c>
      <c r="H84" s="250">
        <f>B84*G84</f>
        <v>0</v>
      </c>
      <c r="I84" s="249">
        <v>0</v>
      </c>
      <c r="J84" s="250">
        <f>I84*$B$84</f>
        <v>0</v>
      </c>
      <c r="K84" s="249">
        <v>1</v>
      </c>
      <c r="L84" s="250">
        <f>K84*$B$84</f>
        <v>100000</v>
      </c>
      <c r="M84" s="249">
        <v>1</v>
      </c>
      <c r="N84" s="250">
        <f>B84*M84</f>
        <v>100000</v>
      </c>
      <c r="O84" s="249">
        <v>2</v>
      </c>
      <c r="P84" s="250">
        <f>B84*O84</f>
        <v>200000</v>
      </c>
      <c r="Q84" s="249">
        <v>1</v>
      </c>
      <c r="R84" s="250">
        <f>$B$84*Q84</f>
        <v>100000</v>
      </c>
      <c r="S84" s="249">
        <v>1</v>
      </c>
      <c r="T84" s="250">
        <f>$B$84*S84</f>
        <v>100000</v>
      </c>
      <c r="U84" s="249">
        <v>1</v>
      </c>
      <c r="V84" s="250">
        <f t="shared" si="28"/>
        <v>100000</v>
      </c>
      <c r="W84" s="249">
        <v>1</v>
      </c>
      <c r="X84" s="250">
        <f t="shared" si="29"/>
        <v>100000</v>
      </c>
      <c r="Y84" s="249">
        <v>1</v>
      </c>
      <c r="Z84" s="250">
        <f t="shared" ref="Z83:Z84" si="31">V84*Y84</f>
        <v>100000</v>
      </c>
      <c r="AA84" s="249">
        <v>2</v>
      </c>
      <c r="AB84" s="250">
        <f t="shared" ref="AB83:AB84" si="32">V84*AA84</f>
        <v>200000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</row>
    <row r="85" spans="1:43" ht="16.5" thickBot="1" x14ac:dyDescent="0.3">
      <c r="A85" s="463" t="s">
        <v>55</v>
      </c>
      <c r="B85" s="464"/>
      <c r="C85" s="278">
        <f t="shared" ref="C85:J85" si="33">SUM(C82:C84)</f>
        <v>35</v>
      </c>
      <c r="D85" s="279">
        <f t="shared" si="33"/>
        <v>3190000</v>
      </c>
      <c r="E85" s="277">
        <f t="shared" si="33"/>
        <v>1</v>
      </c>
      <c r="F85" s="279">
        <f t="shared" si="33"/>
        <v>80000</v>
      </c>
      <c r="G85" s="277">
        <f t="shared" si="33"/>
        <v>1</v>
      </c>
      <c r="H85" s="279">
        <f t="shared" si="33"/>
        <v>90000</v>
      </c>
      <c r="I85" s="277">
        <f t="shared" si="33"/>
        <v>1</v>
      </c>
      <c r="J85" s="279">
        <f t="shared" si="33"/>
        <v>90000</v>
      </c>
      <c r="K85" s="277">
        <f t="shared" ref="K85:Z85" si="34">SUM(K82:K84)</f>
        <v>2</v>
      </c>
      <c r="L85" s="279">
        <f t="shared" si="34"/>
        <v>190000</v>
      </c>
      <c r="M85" s="277">
        <f t="shared" si="34"/>
        <v>4</v>
      </c>
      <c r="N85" s="279">
        <f t="shared" si="34"/>
        <v>360000</v>
      </c>
      <c r="O85" s="277">
        <f t="shared" si="34"/>
        <v>6</v>
      </c>
      <c r="P85" s="279">
        <f t="shared" si="34"/>
        <v>550000</v>
      </c>
      <c r="Q85" s="277">
        <f t="shared" si="34"/>
        <v>3</v>
      </c>
      <c r="R85" s="279">
        <f t="shared" si="34"/>
        <v>270000</v>
      </c>
      <c r="S85" s="277">
        <f t="shared" si="34"/>
        <v>2</v>
      </c>
      <c r="T85" s="279">
        <f t="shared" si="34"/>
        <v>190000</v>
      </c>
      <c r="U85" s="277">
        <f t="shared" si="34"/>
        <v>3</v>
      </c>
      <c r="V85" s="279">
        <f t="shared" si="34"/>
        <v>280000</v>
      </c>
      <c r="W85" s="277">
        <f t="shared" si="34"/>
        <v>3</v>
      </c>
      <c r="X85" s="279">
        <f t="shared" si="34"/>
        <v>270000</v>
      </c>
      <c r="Y85" s="277">
        <f t="shared" si="34"/>
        <v>4</v>
      </c>
      <c r="Z85" s="279">
        <f t="shared" si="34"/>
        <v>360000</v>
      </c>
      <c r="AA85" s="277">
        <f>SUM(AA82:AA84)</f>
        <v>5</v>
      </c>
      <c r="AB85" s="279">
        <f t="shared" ref="AB85" si="35">SUM(AB82:AB84)</f>
        <v>460000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</row>
    <row r="86" spans="1:43" ht="16.5" thickBot="1" x14ac:dyDescent="0.3">
      <c r="A86" s="411" t="s">
        <v>202</v>
      </c>
      <c r="B86" s="412"/>
      <c r="C86" s="413"/>
      <c r="D86" s="254">
        <f t="shared" ref="D86:D88" si="36">SUM(F86+H86+J86+L86+N86+P86+R86+T86+V86+X86+Z86+AB86)</f>
        <v>20640000</v>
      </c>
      <c r="E86" s="255">
        <f>E82+AA54</f>
        <v>19</v>
      </c>
      <c r="F86" s="256">
        <f>E86*$B$82</f>
        <v>1520000</v>
      </c>
      <c r="G86" s="255">
        <f>G82+E86</f>
        <v>19</v>
      </c>
      <c r="H86" s="256">
        <f t="shared" ref="H86" si="37">(G86+G82)*$B$82</f>
        <v>1520000</v>
      </c>
      <c r="I86" s="255">
        <f t="shared" ref="I86:I88" si="38">I82+G86</f>
        <v>19</v>
      </c>
      <c r="J86" s="256">
        <f t="shared" ref="J86" si="39">(I86+I82)*$B$82</f>
        <v>1520000</v>
      </c>
      <c r="K86" s="255">
        <f t="shared" ref="K86:K88" si="40">K82+I86</f>
        <v>19</v>
      </c>
      <c r="L86" s="256">
        <f t="shared" ref="L86" si="41">(K86+K82)*$B$82</f>
        <v>1520000</v>
      </c>
      <c r="M86" s="255">
        <f t="shared" ref="M86:M88" si="42">M82+K86</f>
        <v>20</v>
      </c>
      <c r="N86" s="256">
        <f>M86*$B$82</f>
        <v>1600000</v>
      </c>
      <c r="O86" s="255">
        <f t="shared" ref="O86" si="43">O82+M86</f>
        <v>21</v>
      </c>
      <c r="P86" s="256">
        <f t="shared" ref="P86:AB86" si="44">(O86+O82)*$B$82</f>
        <v>1760000</v>
      </c>
      <c r="Q86" s="255">
        <f t="shared" ref="Q86" si="45">Q82+O86</f>
        <v>22</v>
      </c>
      <c r="R86" s="256">
        <f t="shared" ref="R86" si="46">Q86*$B$82</f>
        <v>1760000</v>
      </c>
      <c r="S86" s="255">
        <f t="shared" ref="S86" si="47">S82+Q86</f>
        <v>22</v>
      </c>
      <c r="T86" s="256">
        <f t="shared" si="44"/>
        <v>1760000</v>
      </c>
      <c r="U86" s="255">
        <f t="shared" ref="U86" si="48">U82+S86</f>
        <v>22</v>
      </c>
      <c r="V86" s="256">
        <f t="shared" ref="V86" si="49">U86*$B$82</f>
        <v>1760000</v>
      </c>
      <c r="W86" s="255">
        <f t="shared" ref="W86" si="50">W82+U86</f>
        <v>23</v>
      </c>
      <c r="X86" s="256">
        <f t="shared" si="44"/>
        <v>1920000</v>
      </c>
      <c r="Y86" s="255">
        <f t="shared" ref="Y86" si="51">Y82+W86</f>
        <v>24</v>
      </c>
      <c r="Z86" s="256">
        <f t="shared" ref="Z86" si="52">Y86*$B$82</f>
        <v>1920000</v>
      </c>
      <c r="AA86" s="255">
        <f t="shared" ref="AA86" si="53">AA82+Y86</f>
        <v>25</v>
      </c>
      <c r="AB86" s="256">
        <f t="shared" si="44"/>
        <v>2080000</v>
      </c>
      <c r="AC86" s="116"/>
      <c r="AD86" s="116"/>
      <c r="AE86" s="116"/>
      <c r="AF86" s="116"/>
      <c r="AG86" s="116"/>
      <c r="AH86" s="116"/>
      <c r="AI86" s="116"/>
      <c r="AJ86" s="116"/>
      <c r="AK86" s="116"/>
      <c r="AL86" s="116"/>
      <c r="AM86" s="116"/>
      <c r="AN86" s="116"/>
      <c r="AO86" s="116"/>
      <c r="AP86" s="116"/>
      <c r="AQ86" s="116"/>
    </row>
    <row r="87" spans="1:43" ht="16.5" thickBot="1" x14ac:dyDescent="0.3">
      <c r="A87" s="414" t="s">
        <v>203</v>
      </c>
      <c r="B87" s="415"/>
      <c r="C87" s="416"/>
      <c r="D87" s="258">
        <f t="shared" si="36"/>
        <v>41400000</v>
      </c>
      <c r="E87" s="259">
        <f>E83+AA55</f>
        <v>29</v>
      </c>
      <c r="F87" s="260">
        <f>E87*B83</f>
        <v>2610000</v>
      </c>
      <c r="G87" s="259">
        <f>G83+E87</f>
        <v>30</v>
      </c>
      <c r="H87" s="260">
        <f>(G87+G83)*$B$83</f>
        <v>2790000</v>
      </c>
      <c r="I87" s="259">
        <f t="shared" si="38"/>
        <v>31</v>
      </c>
      <c r="J87" s="260">
        <f t="shared" ref="J87" si="54">(I87+I83)*$B$83</f>
        <v>2880000</v>
      </c>
      <c r="K87" s="259">
        <f t="shared" si="40"/>
        <v>32</v>
      </c>
      <c r="L87" s="260">
        <f t="shared" ref="L87" si="55">(K87+K83)*$B$83</f>
        <v>2970000</v>
      </c>
      <c r="M87" s="259">
        <f t="shared" si="42"/>
        <v>34</v>
      </c>
      <c r="N87" s="260">
        <f t="shared" ref="N87" si="56">(M87+M83)*$B$83</f>
        <v>3240000</v>
      </c>
      <c r="O87" s="259">
        <f t="shared" ref="O87:O88" si="57">O83+M87</f>
        <v>37</v>
      </c>
      <c r="P87" s="260">
        <f t="shared" ref="P87" si="58">(O87+O83)*$B$83</f>
        <v>3600000</v>
      </c>
      <c r="Q87" s="259">
        <f t="shared" ref="Q87:Q88" si="59">Q83+O87</f>
        <v>38</v>
      </c>
      <c r="R87" s="260">
        <f t="shared" ref="R87" si="60">(Q87+Q83)*$B$83</f>
        <v>3510000</v>
      </c>
      <c r="S87" s="259">
        <f t="shared" ref="S87:S88" si="61">S83+Q87</f>
        <v>39</v>
      </c>
      <c r="T87" s="260">
        <f t="shared" ref="T87" si="62">(S87+S83)*$B$83</f>
        <v>3600000</v>
      </c>
      <c r="U87" s="259">
        <f t="shared" ref="U87:U88" si="63">U83+S87</f>
        <v>41</v>
      </c>
      <c r="V87" s="260">
        <f t="shared" ref="V87" si="64">(U87+U83)*$B$83</f>
        <v>3870000</v>
      </c>
      <c r="W87" s="259">
        <f t="shared" ref="W87:W88" si="65">W83+U87</f>
        <v>42</v>
      </c>
      <c r="X87" s="260">
        <f t="shared" ref="X87" si="66">(W87+W83)*$B$83</f>
        <v>3870000</v>
      </c>
      <c r="Y87" s="259">
        <f t="shared" ref="Y87:Y88" si="67">Y83+W87</f>
        <v>44</v>
      </c>
      <c r="Z87" s="260">
        <f t="shared" ref="Z87" si="68">(Y87+Y83)*$B$83</f>
        <v>4140000</v>
      </c>
      <c r="AA87" s="259">
        <f t="shared" ref="AA87:AA88" si="69">AA83+Y87</f>
        <v>46</v>
      </c>
      <c r="AB87" s="260">
        <f t="shared" ref="AB87" si="70">(AA87+AA83)*$B$83</f>
        <v>4320000</v>
      </c>
      <c r="AC87" s="116"/>
      <c r="AD87" s="116"/>
      <c r="AE87" s="116"/>
      <c r="AF87" s="116"/>
      <c r="AG87" s="116"/>
      <c r="AH87" s="116"/>
      <c r="AI87" s="116"/>
      <c r="AJ87" s="116"/>
      <c r="AK87" s="116"/>
      <c r="AL87" s="116"/>
      <c r="AM87" s="116"/>
      <c r="AN87" s="116"/>
      <c r="AO87" s="116"/>
      <c r="AP87" s="116"/>
      <c r="AQ87" s="116"/>
    </row>
    <row r="88" spans="1:43" ht="16.5" thickBot="1" x14ac:dyDescent="0.3">
      <c r="A88" s="417" t="s">
        <v>204</v>
      </c>
      <c r="B88" s="418"/>
      <c r="C88" s="419"/>
      <c r="D88" s="262">
        <f t="shared" si="36"/>
        <v>36500000</v>
      </c>
      <c r="E88" s="263">
        <f>E84+AA56</f>
        <v>26</v>
      </c>
      <c r="F88" s="264">
        <f>E88*$B$84</f>
        <v>2600000</v>
      </c>
      <c r="G88" s="263">
        <f>G84+E88</f>
        <v>26</v>
      </c>
      <c r="H88" s="264">
        <f>G88*$B$84</f>
        <v>2600000</v>
      </c>
      <c r="I88" s="263">
        <f t="shared" si="38"/>
        <v>26</v>
      </c>
      <c r="J88" s="264">
        <f t="shared" ref="J88" si="71">I88*$B$84</f>
        <v>2600000</v>
      </c>
      <c r="K88" s="263">
        <f t="shared" si="40"/>
        <v>27</v>
      </c>
      <c r="L88" s="264">
        <f t="shared" ref="L88" si="72">K88*$B$84</f>
        <v>2700000</v>
      </c>
      <c r="M88" s="263">
        <f t="shared" si="42"/>
        <v>28</v>
      </c>
      <c r="N88" s="264">
        <f t="shared" ref="N88" si="73">M88*$B$84</f>
        <v>2800000</v>
      </c>
      <c r="O88" s="263">
        <f t="shared" si="57"/>
        <v>30</v>
      </c>
      <c r="P88" s="264">
        <f t="shared" ref="P88" si="74">O88*$B$84</f>
        <v>3000000</v>
      </c>
      <c r="Q88" s="263">
        <f t="shared" si="59"/>
        <v>31</v>
      </c>
      <c r="R88" s="264">
        <f t="shared" ref="R88" si="75">Q88*$B$84</f>
        <v>3100000</v>
      </c>
      <c r="S88" s="263">
        <f t="shared" si="61"/>
        <v>32</v>
      </c>
      <c r="T88" s="264">
        <f t="shared" ref="T88" si="76">S88*$B$84</f>
        <v>3200000</v>
      </c>
      <c r="U88" s="263">
        <f t="shared" si="63"/>
        <v>33</v>
      </c>
      <c r="V88" s="264">
        <f t="shared" ref="V88" si="77">U88*$B$84</f>
        <v>3300000</v>
      </c>
      <c r="W88" s="263">
        <f t="shared" si="65"/>
        <v>34</v>
      </c>
      <c r="X88" s="264">
        <f t="shared" ref="X88" si="78">W88*$B$84</f>
        <v>3400000</v>
      </c>
      <c r="Y88" s="263">
        <f t="shared" si="67"/>
        <v>35</v>
      </c>
      <c r="Z88" s="264">
        <f t="shared" ref="Z88" si="79">Y88*$B$84</f>
        <v>3500000</v>
      </c>
      <c r="AA88" s="263">
        <f t="shared" si="69"/>
        <v>37</v>
      </c>
      <c r="AB88" s="264">
        <f t="shared" ref="AB88" si="80">AA88*$B$84</f>
        <v>3700000</v>
      </c>
      <c r="AC88" s="116"/>
      <c r="AD88" s="116"/>
      <c r="AE88" s="116"/>
      <c r="AF88" s="116"/>
      <c r="AG88" s="116"/>
      <c r="AH88" s="116"/>
      <c r="AI88" s="116"/>
      <c r="AJ88" s="116"/>
      <c r="AK88" s="116"/>
      <c r="AL88" s="116"/>
      <c r="AM88" s="116"/>
      <c r="AN88" s="116"/>
      <c r="AO88" s="116"/>
      <c r="AP88" s="116"/>
      <c r="AQ88" s="116"/>
    </row>
    <row r="89" spans="1:43" ht="15.75" customHeight="1" thickBot="1" x14ac:dyDescent="0.3">
      <c r="A89" s="465" t="s">
        <v>164</v>
      </c>
      <c r="B89" s="466"/>
      <c r="C89" s="266">
        <f>C85+C57</f>
        <v>110</v>
      </c>
      <c r="D89" s="267">
        <f>SUM(F89+H89+J89+L89+N89+P89+R89+T89+V89+X89+Z89+AB89)</f>
        <v>98540000</v>
      </c>
      <c r="E89" s="268">
        <f t="shared" ref="E89:Z89" si="81">SUM(E86:E88)</f>
        <v>74</v>
      </c>
      <c r="F89" s="269">
        <f t="shared" si="81"/>
        <v>6730000</v>
      </c>
      <c r="G89" s="268">
        <f t="shared" si="81"/>
        <v>75</v>
      </c>
      <c r="H89" s="269">
        <f t="shared" si="81"/>
        <v>6910000</v>
      </c>
      <c r="I89" s="268">
        <f t="shared" si="81"/>
        <v>76</v>
      </c>
      <c r="J89" s="269">
        <f t="shared" si="81"/>
        <v>7000000</v>
      </c>
      <c r="K89" s="268">
        <f t="shared" si="81"/>
        <v>78</v>
      </c>
      <c r="L89" s="269">
        <f t="shared" si="81"/>
        <v>7190000</v>
      </c>
      <c r="M89" s="268">
        <f t="shared" si="81"/>
        <v>82</v>
      </c>
      <c r="N89" s="269">
        <f t="shared" si="81"/>
        <v>7640000</v>
      </c>
      <c r="O89" s="268">
        <f t="shared" si="81"/>
        <v>88</v>
      </c>
      <c r="P89" s="269">
        <f t="shared" si="81"/>
        <v>8360000</v>
      </c>
      <c r="Q89" s="268">
        <f t="shared" si="81"/>
        <v>91</v>
      </c>
      <c r="R89" s="269">
        <f t="shared" si="81"/>
        <v>8370000</v>
      </c>
      <c r="S89" s="268">
        <f t="shared" si="81"/>
        <v>93</v>
      </c>
      <c r="T89" s="269">
        <f t="shared" si="81"/>
        <v>8560000</v>
      </c>
      <c r="U89" s="268">
        <f t="shared" si="81"/>
        <v>96</v>
      </c>
      <c r="V89" s="269">
        <f t="shared" si="81"/>
        <v>8930000</v>
      </c>
      <c r="W89" s="268">
        <f t="shared" si="81"/>
        <v>99</v>
      </c>
      <c r="X89" s="269">
        <f t="shared" si="81"/>
        <v>9190000</v>
      </c>
      <c r="Y89" s="268">
        <f t="shared" si="81"/>
        <v>103</v>
      </c>
      <c r="Z89" s="269">
        <f t="shared" si="81"/>
        <v>9560000</v>
      </c>
      <c r="AA89" s="268">
        <f t="shared" ref="AA89" si="82">SUM(AA86:AA88)</f>
        <v>108</v>
      </c>
      <c r="AB89" s="269">
        <f>SUM(AB86:AB88)</f>
        <v>10100000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</row>
    <row r="90" spans="1:43" ht="15.75" thickBot="1" x14ac:dyDescent="0.3">
      <c r="A90" s="1"/>
      <c r="B90" s="1"/>
      <c r="C90" s="1"/>
      <c r="D90" s="30"/>
      <c r="E90" s="30"/>
      <c r="F90" s="30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</row>
    <row r="91" spans="1:43" ht="27" thickBot="1" x14ac:dyDescent="0.45">
      <c r="A91" s="468" t="s">
        <v>200</v>
      </c>
      <c r="B91" s="468"/>
      <c r="C91" s="468"/>
      <c r="D91" s="468"/>
      <c r="E91" s="468"/>
      <c r="F91" s="468"/>
      <c r="G91" s="468"/>
      <c r="H91" s="468"/>
      <c r="I91" s="468"/>
      <c r="J91" s="468"/>
      <c r="K91" s="468"/>
      <c r="L91" s="468"/>
      <c r="M91" s="468"/>
      <c r="N91" s="468"/>
      <c r="O91" s="468"/>
      <c r="P91" s="468"/>
      <c r="Q91" s="468"/>
      <c r="R91" s="468"/>
      <c r="S91" s="468"/>
      <c r="T91" s="468"/>
      <c r="U91" s="468"/>
      <c r="V91" s="468"/>
      <c r="W91" s="468"/>
      <c r="X91" s="468"/>
      <c r="Y91" s="468"/>
      <c r="Z91" s="468"/>
      <c r="AA91" s="468"/>
      <c r="AB91" s="468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</row>
    <row r="92" spans="1:43" ht="152.25" customHeight="1" thickBot="1" x14ac:dyDescent="0.3">
      <c r="A92" s="186" t="s">
        <v>56</v>
      </c>
      <c r="B92" s="469" t="s">
        <v>222</v>
      </c>
      <c r="C92" s="469"/>
      <c r="D92" s="469"/>
      <c r="E92" s="469"/>
      <c r="F92" s="469"/>
      <c r="G92" s="469"/>
      <c r="H92" s="469"/>
      <c r="I92" s="469"/>
      <c r="J92" s="469"/>
      <c r="K92" s="469"/>
      <c r="L92" s="469"/>
      <c r="M92" s="469"/>
      <c r="N92" s="469"/>
      <c r="O92" s="469"/>
      <c r="P92" s="469"/>
      <c r="Q92" s="469"/>
      <c r="R92" s="469"/>
      <c r="S92" s="469"/>
      <c r="T92" s="469"/>
      <c r="U92" s="469"/>
      <c r="V92" s="469"/>
      <c r="W92" s="469"/>
      <c r="X92" s="469"/>
      <c r="Y92" s="469"/>
      <c r="Z92" s="469"/>
      <c r="AA92" s="469"/>
      <c r="AB92" s="469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</row>
    <row r="93" spans="1:43" ht="24" customHeight="1" thickBot="1" x14ac:dyDescent="0.4">
      <c r="A93" s="484" t="s">
        <v>57</v>
      </c>
      <c r="B93" s="464"/>
      <c r="C93" s="467" t="s">
        <v>249</v>
      </c>
      <c r="D93" s="464"/>
      <c r="E93" s="485" t="s">
        <v>250</v>
      </c>
      <c r="F93" s="464"/>
      <c r="G93" s="464"/>
      <c r="H93" s="464"/>
      <c r="I93" s="464"/>
      <c r="J93" s="464"/>
      <c r="K93" s="464"/>
      <c r="L93" s="464"/>
      <c r="M93" s="464"/>
      <c r="N93" s="464"/>
      <c r="O93" s="464"/>
      <c r="P93" s="464"/>
      <c r="Q93" s="464"/>
      <c r="R93" s="464"/>
      <c r="S93" s="464"/>
      <c r="T93" s="464"/>
      <c r="U93" s="464"/>
      <c r="V93" s="464"/>
      <c r="W93" s="464"/>
      <c r="X93" s="464"/>
      <c r="Y93" s="464"/>
      <c r="Z93" s="464"/>
      <c r="AA93" s="464"/>
      <c r="AB93" s="464"/>
    </row>
    <row r="94" spans="1:43" ht="15.75" customHeight="1" thickBot="1" x14ac:dyDescent="0.3">
      <c r="A94" s="464"/>
      <c r="B94" s="464"/>
      <c r="C94" s="188" t="s">
        <v>54</v>
      </c>
      <c r="D94" s="188" t="s">
        <v>57</v>
      </c>
      <c r="E94" s="439" t="s">
        <v>41</v>
      </c>
      <c r="F94" s="464"/>
      <c r="G94" s="439" t="s">
        <v>42</v>
      </c>
      <c r="H94" s="464"/>
      <c r="I94" s="439" t="s">
        <v>43</v>
      </c>
      <c r="J94" s="464"/>
      <c r="K94" s="439" t="s">
        <v>44</v>
      </c>
      <c r="L94" s="464"/>
      <c r="M94" s="439" t="s">
        <v>45</v>
      </c>
      <c r="N94" s="464"/>
      <c r="O94" s="439" t="s">
        <v>46</v>
      </c>
      <c r="P94" s="464"/>
      <c r="Q94" s="439" t="s">
        <v>47</v>
      </c>
      <c r="R94" s="464"/>
      <c r="S94" s="439" t="s">
        <v>48</v>
      </c>
      <c r="T94" s="464"/>
      <c r="U94" s="439" t="s">
        <v>49</v>
      </c>
      <c r="V94" s="464"/>
      <c r="W94" s="439" t="s">
        <v>50</v>
      </c>
      <c r="X94" s="464"/>
      <c r="Y94" s="439" t="s">
        <v>51</v>
      </c>
      <c r="Z94" s="464"/>
      <c r="AA94" s="439" t="s">
        <v>52</v>
      </c>
      <c r="AB94" s="464"/>
    </row>
    <row r="95" spans="1:43" ht="15.75" customHeight="1" thickBot="1" x14ac:dyDescent="0.3">
      <c r="A95" s="407" t="s">
        <v>59</v>
      </c>
      <c r="B95" s="408"/>
      <c r="C95" s="280">
        <f>'Anexo capacidad operativa'!A43</f>
        <v>1</v>
      </c>
      <c r="D95" s="281" t="str">
        <f>'Anexo capacidad operativa'!B43</f>
        <v>Gerente general</v>
      </c>
      <c r="E95" s="396" t="s">
        <v>61</v>
      </c>
      <c r="F95" s="397"/>
      <c r="G95" s="396" t="s">
        <v>61</v>
      </c>
      <c r="H95" s="397"/>
      <c r="I95" s="396" t="s">
        <v>61</v>
      </c>
      <c r="J95" s="397"/>
      <c r="K95" s="396" t="s">
        <v>61</v>
      </c>
      <c r="L95" s="397"/>
      <c r="M95" s="396" t="s">
        <v>61</v>
      </c>
      <c r="N95" s="397"/>
      <c r="O95" s="396" t="s">
        <v>61</v>
      </c>
      <c r="P95" s="397"/>
      <c r="Q95" s="396" t="s">
        <v>61</v>
      </c>
      <c r="R95" s="397"/>
      <c r="S95" s="396" t="s">
        <v>61</v>
      </c>
      <c r="T95" s="397"/>
      <c r="U95" s="396" t="s">
        <v>61</v>
      </c>
      <c r="V95" s="397"/>
      <c r="W95" s="396" t="s">
        <v>61</v>
      </c>
      <c r="X95" s="397"/>
      <c r="Y95" s="396" t="s">
        <v>61</v>
      </c>
      <c r="Z95" s="397"/>
      <c r="AA95" s="396" t="s">
        <v>61</v>
      </c>
      <c r="AB95" s="397"/>
    </row>
    <row r="96" spans="1:43" ht="15.75" customHeight="1" thickBot="1" x14ac:dyDescent="0.3">
      <c r="A96" s="409"/>
      <c r="B96" s="410"/>
      <c r="C96" s="280">
        <f>'Anexo capacidad operativa'!A44</f>
        <v>1</v>
      </c>
      <c r="D96" s="282" t="str">
        <f>'Anexo capacidad operativa'!B44</f>
        <v>Gerente de servicios</v>
      </c>
      <c r="E96" s="396" t="s">
        <v>61</v>
      </c>
      <c r="F96" s="397"/>
      <c r="G96" s="396" t="s">
        <v>61</v>
      </c>
      <c r="H96" s="397"/>
      <c r="I96" s="396" t="s">
        <v>61</v>
      </c>
      <c r="J96" s="397"/>
      <c r="K96" s="396" t="s">
        <v>61</v>
      </c>
      <c r="L96" s="397"/>
      <c r="M96" s="396" t="s">
        <v>61</v>
      </c>
      <c r="N96" s="397"/>
      <c r="O96" s="396" t="s">
        <v>61</v>
      </c>
      <c r="P96" s="397"/>
      <c r="Q96" s="396" t="s">
        <v>61</v>
      </c>
      <c r="R96" s="397"/>
      <c r="S96" s="396" t="s">
        <v>61</v>
      </c>
      <c r="T96" s="397"/>
      <c r="U96" s="396" t="s">
        <v>61</v>
      </c>
      <c r="V96" s="397"/>
      <c r="W96" s="396" t="s">
        <v>61</v>
      </c>
      <c r="X96" s="397"/>
      <c r="Y96" s="396" t="s">
        <v>61</v>
      </c>
      <c r="Z96" s="397"/>
      <c r="AA96" s="396" t="s">
        <v>61</v>
      </c>
      <c r="AB96" s="397"/>
    </row>
    <row r="97" spans="1:28" ht="15.75" customHeight="1" thickBot="1" x14ac:dyDescent="0.3">
      <c r="A97" s="409"/>
      <c r="B97" s="410"/>
      <c r="C97" s="280">
        <f>'Anexo capacidad operativa'!A45</f>
        <v>1</v>
      </c>
      <c r="D97" s="282" t="str">
        <f>'Anexo capacidad operativa'!B45</f>
        <v>Gerente de tecnologia</v>
      </c>
      <c r="E97" s="396" t="s">
        <v>61</v>
      </c>
      <c r="F97" s="397"/>
      <c r="G97" s="396" t="s">
        <v>61</v>
      </c>
      <c r="H97" s="397"/>
      <c r="I97" s="396" t="s">
        <v>61</v>
      </c>
      <c r="J97" s="397"/>
      <c r="K97" s="396" t="s">
        <v>61</v>
      </c>
      <c r="L97" s="397"/>
      <c r="M97" s="396" t="s">
        <v>61</v>
      </c>
      <c r="N97" s="397"/>
      <c r="O97" s="396" t="s">
        <v>61</v>
      </c>
      <c r="P97" s="397"/>
      <c r="Q97" s="396" t="s">
        <v>61</v>
      </c>
      <c r="R97" s="397"/>
      <c r="S97" s="396" t="s">
        <v>61</v>
      </c>
      <c r="T97" s="397"/>
      <c r="U97" s="396" t="s">
        <v>61</v>
      </c>
      <c r="V97" s="397"/>
      <c r="W97" s="396" t="s">
        <v>61</v>
      </c>
      <c r="X97" s="397"/>
      <c r="Y97" s="396" t="s">
        <v>61</v>
      </c>
      <c r="Z97" s="397"/>
      <c r="AA97" s="396" t="s">
        <v>61</v>
      </c>
      <c r="AB97" s="397"/>
    </row>
    <row r="98" spans="1:28" ht="15.75" customHeight="1" thickBot="1" x14ac:dyDescent="0.3">
      <c r="A98" s="409"/>
      <c r="B98" s="410"/>
      <c r="C98" s="280">
        <f>'Anexo capacidad operativa'!A46</f>
        <v>1</v>
      </c>
      <c r="D98" s="282" t="str">
        <f>'Anexo capacidad operativa'!B46</f>
        <v>Gerente de administracion</v>
      </c>
      <c r="E98" s="396" t="s">
        <v>61</v>
      </c>
      <c r="F98" s="397"/>
      <c r="G98" s="396" t="s">
        <v>61</v>
      </c>
      <c r="H98" s="397"/>
      <c r="I98" s="396" t="s">
        <v>61</v>
      </c>
      <c r="J98" s="397"/>
      <c r="K98" s="396" t="s">
        <v>61</v>
      </c>
      <c r="L98" s="397"/>
      <c r="M98" s="396" t="s">
        <v>61</v>
      </c>
      <c r="N98" s="397"/>
      <c r="O98" s="396" t="s">
        <v>61</v>
      </c>
      <c r="P98" s="397"/>
      <c r="Q98" s="396" t="s">
        <v>61</v>
      </c>
      <c r="R98" s="397"/>
      <c r="S98" s="396" t="s">
        <v>61</v>
      </c>
      <c r="T98" s="397"/>
      <c r="U98" s="396" t="s">
        <v>61</v>
      </c>
      <c r="V98" s="397"/>
      <c r="W98" s="396" t="s">
        <v>61</v>
      </c>
      <c r="X98" s="397"/>
      <c r="Y98" s="396" t="s">
        <v>61</v>
      </c>
      <c r="Z98" s="397"/>
      <c r="AA98" s="396" t="s">
        <v>61</v>
      </c>
      <c r="AB98" s="397"/>
    </row>
    <row r="99" spans="1:28" ht="15.75" customHeight="1" thickBot="1" x14ac:dyDescent="0.3">
      <c r="A99" s="409"/>
      <c r="B99" s="410"/>
      <c r="C99" s="280">
        <f>'Anexo capacidad operativa'!A47</f>
        <v>1</v>
      </c>
      <c r="D99" s="282" t="str">
        <f>'Anexo capacidad operativa'!B47</f>
        <v>Gerente de comuinicacion</v>
      </c>
      <c r="E99" s="396" t="s">
        <v>61</v>
      </c>
      <c r="F99" s="396"/>
      <c r="G99" s="396" t="s">
        <v>61</v>
      </c>
      <c r="H99" s="396"/>
      <c r="I99" s="396" t="s">
        <v>61</v>
      </c>
      <c r="J99" s="396"/>
      <c r="K99" s="396" t="s">
        <v>61</v>
      </c>
      <c r="L99" s="396"/>
      <c r="M99" s="396" t="s">
        <v>61</v>
      </c>
      <c r="N99" s="396"/>
      <c r="O99" s="396" t="s">
        <v>61</v>
      </c>
      <c r="P99" s="396"/>
      <c r="Q99" s="396" t="s">
        <v>61</v>
      </c>
      <c r="R99" s="396"/>
      <c r="S99" s="396" t="s">
        <v>61</v>
      </c>
      <c r="T99" s="396"/>
      <c r="U99" s="396" t="s">
        <v>61</v>
      </c>
      <c r="V99" s="396"/>
      <c r="W99" s="396" t="s">
        <v>61</v>
      </c>
      <c r="X99" s="396"/>
      <c r="Y99" s="396" t="s">
        <v>61</v>
      </c>
      <c r="Z99" s="396"/>
      <c r="AA99" s="396" t="s">
        <v>61</v>
      </c>
      <c r="AB99" s="396"/>
    </row>
    <row r="100" spans="1:28" ht="15.75" customHeight="1" thickBot="1" x14ac:dyDescent="0.3">
      <c r="A100" s="409"/>
      <c r="B100" s="410"/>
      <c r="C100" s="283">
        <f>'Anexo capacidad operativa'!A48</f>
        <v>2</v>
      </c>
      <c r="D100" s="284" t="str">
        <f>'Anexo capacidad operativa'!B48</f>
        <v>Desarrollador</v>
      </c>
      <c r="E100" s="396" t="s">
        <v>61</v>
      </c>
      <c r="F100" s="396"/>
      <c r="G100" s="396" t="s">
        <v>61</v>
      </c>
      <c r="H100" s="396"/>
      <c r="I100" s="396" t="s">
        <v>61</v>
      </c>
      <c r="J100" s="396"/>
      <c r="K100" s="396" t="s">
        <v>61</v>
      </c>
      <c r="L100" s="396"/>
      <c r="M100" s="396" t="s">
        <v>61</v>
      </c>
      <c r="N100" s="396"/>
      <c r="O100" s="420" t="s">
        <v>165</v>
      </c>
      <c r="P100" s="420"/>
      <c r="Q100" s="396" t="s">
        <v>61</v>
      </c>
      <c r="R100" s="396"/>
      <c r="S100" s="396" t="s">
        <v>61</v>
      </c>
      <c r="T100" s="396"/>
      <c r="U100" s="396" t="s">
        <v>61</v>
      </c>
      <c r="V100" s="396"/>
      <c r="W100" s="396" t="s">
        <v>61</v>
      </c>
      <c r="X100" s="396"/>
      <c r="Y100" s="396" t="s">
        <v>61</v>
      </c>
      <c r="Z100" s="396"/>
      <c r="AA100" s="396" t="s">
        <v>61</v>
      </c>
      <c r="AB100" s="396"/>
    </row>
    <row r="101" spans="1:28" ht="15.75" customHeight="1" thickBot="1" x14ac:dyDescent="0.3">
      <c r="A101" s="486" t="s">
        <v>63</v>
      </c>
      <c r="B101" s="464"/>
      <c r="C101" s="280">
        <v>1</v>
      </c>
      <c r="D101" s="282" t="s">
        <v>64</v>
      </c>
      <c r="E101" s="396" t="s">
        <v>61</v>
      </c>
      <c r="F101" s="397"/>
      <c r="G101" s="396" t="s">
        <v>61</v>
      </c>
      <c r="H101" s="397"/>
      <c r="I101" s="396" t="s">
        <v>61</v>
      </c>
      <c r="J101" s="397"/>
      <c r="K101" s="396" t="s">
        <v>61</v>
      </c>
      <c r="L101" s="397"/>
      <c r="M101" s="396" t="s">
        <v>61</v>
      </c>
      <c r="N101" s="397"/>
      <c r="O101" s="396" t="s">
        <v>61</v>
      </c>
      <c r="P101" s="397"/>
      <c r="Q101" s="396" t="s">
        <v>61</v>
      </c>
      <c r="R101" s="397"/>
      <c r="S101" s="396" t="s">
        <v>61</v>
      </c>
      <c r="T101" s="397"/>
      <c r="U101" s="396" t="s">
        <v>61</v>
      </c>
      <c r="V101" s="397"/>
      <c r="W101" s="396" t="s">
        <v>61</v>
      </c>
      <c r="X101" s="397"/>
      <c r="Y101" s="396" t="s">
        <v>61</v>
      </c>
      <c r="Z101" s="397"/>
      <c r="AA101" s="396" t="s">
        <v>61</v>
      </c>
      <c r="AB101" s="397"/>
    </row>
    <row r="102" spans="1:28" ht="15.75" customHeight="1" thickBot="1" x14ac:dyDescent="0.3">
      <c r="A102" s="464"/>
      <c r="B102" s="464"/>
      <c r="C102" s="280">
        <v>3</v>
      </c>
      <c r="D102" s="282" t="s">
        <v>65</v>
      </c>
      <c r="E102" s="420" t="s">
        <v>165</v>
      </c>
      <c r="F102" s="420"/>
      <c r="G102" s="396" t="s">
        <v>61</v>
      </c>
      <c r="H102" s="397"/>
      <c r="I102" s="396" t="s">
        <v>61</v>
      </c>
      <c r="J102" s="397"/>
      <c r="K102" s="396" t="s">
        <v>61</v>
      </c>
      <c r="L102" s="397"/>
      <c r="M102" s="396" t="s">
        <v>61</v>
      </c>
      <c r="N102" s="397"/>
      <c r="O102" s="396" t="s">
        <v>61</v>
      </c>
      <c r="P102" s="397"/>
      <c r="Q102" s="396" t="s">
        <v>61</v>
      </c>
      <c r="R102" s="397"/>
      <c r="S102" s="396" t="s">
        <v>61</v>
      </c>
      <c r="T102" s="397"/>
      <c r="U102" s="396" t="s">
        <v>61</v>
      </c>
      <c r="V102" s="397"/>
      <c r="W102" s="396" t="s">
        <v>61</v>
      </c>
      <c r="X102" s="397"/>
      <c r="Y102" s="396" t="s">
        <v>61</v>
      </c>
      <c r="Z102" s="397"/>
      <c r="AA102" s="396" t="s">
        <v>61</v>
      </c>
      <c r="AB102" s="397"/>
    </row>
    <row r="103" spans="1:28" ht="15.75" customHeight="1" thickBot="1" x14ac:dyDescent="0.3">
      <c r="A103" s="464"/>
      <c r="B103" s="464"/>
      <c r="C103" s="280">
        <v>1</v>
      </c>
      <c r="D103" s="282" t="s">
        <v>66</v>
      </c>
      <c r="E103" s="396" t="s">
        <v>61</v>
      </c>
      <c r="F103" s="397"/>
      <c r="G103" s="396" t="s">
        <v>61</v>
      </c>
      <c r="H103" s="397"/>
      <c r="I103" s="396" t="s">
        <v>61</v>
      </c>
      <c r="J103" s="397"/>
      <c r="K103" s="396" t="s">
        <v>61</v>
      </c>
      <c r="L103" s="397"/>
      <c r="M103" s="396" t="s">
        <v>61</v>
      </c>
      <c r="N103" s="397"/>
      <c r="O103" s="396" t="s">
        <v>61</v>
      </c>
      <c r="P103" s="397"/>
      <c r="Q103" s="396" t="s">
        <v>61</v>
      </c>
      <c r="R103" s="397"/>
      <c r="S103" s="396" t="s">
        <v>61</v>
      </c>
      <c r="T103" s="397"/>
      <c r="U103" s="396" t="s">
        <v>61</v>
      </c>
      <c r="V103" s="397"/>
      <c r="W103" s="396" t="s">
        <v>61</v>
      </c>
      <c r="X103" s="397"/>
      <c r="Y103" s="396" t="s">
        <v>61</v>
      </c>
      <c r="Z103" s="397"/>
      <c r="AA103" s="396" t="s">
        <v>61</v>
      </c>
      <c r="AB103" s="397"/>
    </row>
    <row r="104" spans="1:28" ht="15.75" customHeight="1" thickBot="1" x14ac:dyDescent="0.3">
      <c r="A104" s="464"/>
      <c r="B104" s="464"/>
      <c r="C104" s="280">
        <v>1</v>
      </c>
      <c r="D104" s="282" t="s">
        <v>67</v>
      </c>
      <c r="E104" s="396" t="s">
        <v>61</v>
      </c>
      <c r="F104" s="397"/>
      <c r="G104" s="396" t="s">
        <v>61</v>
      </c>
      <c r="H104" s="397"/>
      <c r="I104" s="396" t="s">
        <v>61</v>
      </c>
      <c r="J104" s="397"/>
      <c r="K104" s="396" t="s">
        <v>61</v>
      </c>
      <c r="L104" s="397"/>
      <c r="M104" s="396" t="s">
        <v>61</v>
      </c>
      <c r="N104" s="397"/>
      <c r="O104" s="396" t="s">
        <v>61</v>
      </c>
      <c r="P104" s="397"/>
      <c r="Q104" s="396" t="s">
        <v>61</v>
      </c>
      <c r="R104" s="397"/>
      <c r="S104" s="396" t="s">
        <v>61</v>
      </c>
      <c r="T104" s="397"/>
      <c r="U104" s="396" t="s">
        <v>61</v>
      </c>
      <c r="V104" s="397"/>
      <c r="W104" s="396" t="s">
        <v>61</v>
      </c>
      <c r="X104" s="397"/>
      <c r="Y104" s="396" t="s">
        <v>61</v>
      </c>
      <c r="Z104" s="397"/>
      <c r="AA104" s="396" t="s">
        <v>61</v>
      </c>
      <c r="AB104" s="397"/>
    </row>
    <row r="105" spans="1:28" ht="15.75" customHeight="1" thickBot="1" x14ac:dyDescent="0.3">
      <c r="A105" s="464"/>
      <c r="B105" s="464"/>
      <c r="C105" s="280">
        <v>1</v>
      </c>
      <c r="D105" s="282" t="s">
        <v>68</v>
      </c>
      <c r="E105" s="396" t="s">
        <v>61</v>
      </c>
      <c r="F105" s="397"/>
      <c r="G105" s="396" t="s">
        <v>61</v>
      </c>
      <c r="H105" s="397"/>
      <c r="I105" s="396" t="s">
        <v>61</v>
      </c>
      <c r="J105" s="397"/>
      <c r="K105" s="396" t="s">
        <v>61</v>
      </c>
      <c r="L105" s="397"/>
      <c r="M105" s="396" t="s">
        <v>61</v>
      </c>
      <c r="N105" s="397"/>
      <c r="O105" s="396" t="s">
        <v>61</v>
      </c>
      <c r="P105" s="397"/>
      <c r="Q105" s="396" t="s">
        <v>61</v>
      </c>
      <c r="R105" s="397"/>
      <c r="S105" s="396" t="s">
        <v>61</v>
      </c>
      <c r="T105" s="397"/>
      <c r="U105" s="396" t="s">
        <v>61</v>
      </c>
      <c r="V105" s="397"/>
      <c r="W105" s="396" t="s">
        <v>61</v>
      </c>
      <c r="X105" s="397"/>
      <c r="Y105" s="396" t="s">
        <v>61</v>
      </c>
      <c r="Z105" s="397"/>
      <c r="AA105" s="396" t="s">
        <v>61</v>
      </c>
      <c r="AB105" s="397"/>
    </row>
    <row r="106" spans="1:28" ht="15.75" customHeight="1" thickBot="1" x14ac:dyDescent="0.3">
      <c r="A106" s="464"/>
      <c r="B106" s="464"/>
      <c r="C106" s="280">
        <v>3</v>
      </c>
      <c r="D106" s="282" t="s">
        <v>69</v>
      </c>
      <c r="E106" s="420" t="s">
        <v>165</v>
      </c>
      <c r="F106" s="420"/>
      <c r="G106" s="396" t="s">
        <v>61</v>
      </c>
      <c r="H106" s="397"/>
      <c r="I106" s="396" t="s">
        <v>61</v>
      </c>
      <c r="J106" s="397"/>
      <c r="K106" s="396" t="s">
        <v>61</v>
      </c>
      <c r="L106" s="397"/>
      <c r="M106" s="396" t="s">
        <v>61</v>
      </c>
      <c r="N106" s="397"/>
      <c r="O106" s="396" t="s">
        <v>61</v>
      </c>
      <c r="P106" s="397"/>
      <c r="Q106" s="396" t="s">
        <v>61</v>
      </c>
      <c r="R106" s="397"/>
      <c r="S106" s="396" t="s">
        <v>61</v>
      </c>
      <c r="T106" s="397"/>
      <c r="U106" s="396" t="s">
        <v>61</v>
      </c>
      <c r="V106" s="397"/>
      <c r="W106" s="396" t="s">
        <v>61</v>
      </c>
      <c r="X106" s="397"/>
      <c r="Y106" s="396" t="s">
        <v>61</v>
      </c>
      <c r="Z106" s="397"/>
      <c r="AA106" s="396" t="s">
        <v>61</v>
      </c>
      <c r="AB106" s="397"/>
    </row>
    <row r="107" spans="1:28" ht="25.5" customHeight="1" thickBot="1" x14ac:dyDescent="0.25">
      <c r="A107" s="486" t="s">
        <v>70</v>
      </c>
      <c r="B107" s="486"/>
      <c r="C107" s="280">
        <f>SUM(C95:C100)</f>
        <v>7</v>
      </c>
      <c r="D107" s="285" t="s">
        <v>170</v>
      </c>
      <c r="E107" s="396" t="s">
        <v>61</v>
      </c>
      <c r="F107" s="397"/>
      <c r="G107" s="396" t="s">
        <v>61</v>
      </c>
      <c r="H107" s="397"/>
      <c r="I107" s="396" t="s">
        <v>61</v>
      </c>
      <c r="J107" s="397"/>
      <c r="K107" s="396" t="s">
        <v>61</v>
      </c>
      <c r="L107" s="397"/>
      <c r="M107" s="396" t="s">
        <v>61</v>
      </c>
      <c r="N107" s="397"/>
      <c r="O107" s="420" t="s">
        <v>165</v>
      </c>
      <c r="P107" s="420"/>
      <c r="Q107" s="396" t="s">
        <v>61</v>
      </c>
      <c r="R107" s="397"/>
      <c r="S107" s="396" t="s">
        <v>61</v>
      </c>
      <c r="T107" s="397"/>
      <c r="U107" s="396" t="s">
        <v>61</v>
      </c>
      <c r="V107" s="397"/>
      <c r="W107" s="396" t="s">
        <v>61</v>
      </c>
      <c r="X107" s="397"/>
      <c r="Y107" s="396" t="s">
        <v>61</v>
      </c>
      <c r="Z107" s="397"/>
      <c r="AA107" s="396" t="s">
        <v>61</v>
      </c>
      <c r="AB107" s="397"/>
    </row>
    <row r="108" spans="1:28" ht="1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</row>
    <row r="109" spans="1:28" ht="1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</row>
    <row r="110" spans="1:28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</row>
    <row r="111" spans="1:28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</row>
    <row r="112" spans="1:28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</row>
    <row r="113" spans="1:48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</row>
    <row r="114" spans="1:48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</row>
    <row r="115" spans="1:48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</row>
    <row r="116" spans="1:48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</row>
    <row r="117" spans="1:48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</row>
    <row r="118" spans="1:48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</row>
    <row r="119" spans="1:48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</row>
    <row r="120" spans="1:48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</row>
    <row r="121" spans="1:48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</row>
    <row r="122" spans="1:48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</row>
    <row r="123" spans="1:48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</row>
    <row r="124" spans="1:48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</row>
    <row r="125" spans="1:48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</row>
    <row r="126" spans="1:48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</row>
    <row r="127" spans="1:48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</row>
    <row r="128" spans="1:48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</row>
    <row r="129" spans="1:4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</row>
    <row r="130" spans="1:4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</row>
    <row r="131" spans="1:4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</row>
    <row r="132" spans="1:4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</row>
    <row r="133" spans="1:4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</row>
    <row r="134" spans="1:4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</row>
    <row r="135" spans="1:4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</row>
    <row r="136" spans="1:4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</row>
    <row r="137" spans="1:4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</row>
    <row r="138" spans="1:4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</row>
    <row r="139" spans="1:4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</row>
    <row r="140" spans="1:4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</row>
    <row r="141" spans="1:4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</row>
    <row r="142" spans="1:4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</row>
    <row r="143" spans="1:4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</row>
    <row r="144" spans="1:4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</row>
    <row r="145" spans="1:48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</row>
    <row r="146" spans="1:48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</row>
    <row r="147" spans="1:48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</row>
    <row r="148" spans="1:48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</row>
    <row r="149" spans="1:48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</row>
    <row r="150" spans="1:48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</row>
    <row r="151" spans="1:48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</row>
    <row r="152" spans="1:48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</row>
    <row r="153" spans="1:48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</row>
    <row r="154" spans="1:48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</row>
    <row r="155" spans="1:48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</row>
    <row r="156" spans="1:48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</row>
    <row r="157" spans="1:48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</row>
    <row r="158" spans="1:48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</row>
    <row r="159" spans="1:48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</row>
    <row r="160" spans="1:48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</row>
    <row r="161" spans="1:48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</row>
    <row r="162" spans="1:48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</row>
    <row r="163" spans="1:48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</row>
    <row r="164" spans="1:48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</row>
    <row r="165" spans="1:48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</row>
    <row r="166" spans="1:48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</row>
    <row r="167" spans="1:48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</row>
    <row r="168" spans="1:48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</row>
    <row r="169" spans="1:48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</row>
    <row r="170" spans="1:48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</row>
    <row r="171" spans="1:48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</row>
    <row r="172" spans="1:48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</row>
    <row r="173" spans="1:48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</row>
    <row r="174" spans="1:48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</row>
    <row r="175" spans="1:48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</row>
    <row r="176" spans="1:48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</row>
    <row r="177" spans="1:48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</row>
    <row r="178" spans="1:48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</row>
    <row r="179" spans="1:48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</row>
    <row r="180" spans="1:48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</row>
    <row r="181" spans="1:48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</row>
    <row r="182" spans="1:48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</row>
    <row r="183" spans="1:48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</row>
    <row r="184" spans="1:48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</row>
    <row r="185" spans="1:48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</row>
    <row r="186" spans="1:48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</row>
    <row r="187" spans="1:48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</row>
    <row r="188" spans="1:48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</row>
    <row r="189" spans="1:48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</row>
    <row r="190" spans="1:48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</row>
    <row r="191" spans="1:48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</row>
    <row r="192" spans="1:48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</row>
    <row r="193" spans="1:48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</row>
    <row r="194" spans="1:48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</row>
    <row r="195" spans="1:48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</row>
    <row r="196" spans="1:48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</row>
    <row r="197" spans="1:48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</row>
    <row r="198" spans="1:48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</row>
    <row r="199" spans="1:48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</row>
    <row r="200" spans="1:48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</row>
    <row r="201" spans="1:48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</row>
    <row r="202" spans="1:48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</row>
    <row r="203" spans="1:48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</row>
    <row r="204" spans="1:48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</row>
    <row r="205" spans="1:48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</row>
    <row r="206" spans="1:48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</row>
    <row r="207" spans="1:48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</row>
    <row r="208" spans="1:48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1:48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1:48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1:48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1:48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1:48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19" spans="1:48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</row>
    <row r="220" spans="1:48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</row>
    <row r="221" spans="1:48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</row>
    <row r="222" spans="1:48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</row>
    <row r="223" spans="1:48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</row>
    <row r="224" spans="1:48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</row>
    <row r="225" spans="1:48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</row>
    <row r="226" spans="1:48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</row>
    <row r="227" spans="1:48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</row>
    <row r="228" spans="1:48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</row>
    <row r="229" spans="1:48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</row>
    <row r="230" spans="1:48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</row>
    <row r="231" spans="1:48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</row>
    <row r="232" spans="1:48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</row>
    <row r="233" spans="1:48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</row>
    <row r="234" spans="1:48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</row>
    <row r="235" spans="1:48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</row>
    <row r="236" spans="1:48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</row>
    <row r="237" spans="1:48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</row>
    <row r="238" spans="1:48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</row>
    <row r="239" spans="1:48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</row>
    <row r="240" spans="1:48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</row>
    <row r="241" spans="1:48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</row>
    <row r="242" spans="1:48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</row>
    <row r="243" spans="1:48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</row>
    <row r="244" spans="1:48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</row>
    <row r="245" spans="1:48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</row>
    <row r="246" spans="1:48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</row>
    <row r="247" spans="1:48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</row>
    <row r="248" spans="1:48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</row>
    <row r="249" spans="1:48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</row>
    <row r="250" spans="1:48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</row>
    <row r="251" spans="1:48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</row>
    <row r="252" spans="1:48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</row>
    <row r="253" spans="1:48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</row>
    <row r="254" spans="1:48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</row>
    <row r="255" spans="1:48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</row>
    <row r="256" spans="1:48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</row>
    <row r="257" spans="1:48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</row>
    <row r="258" spans="1:48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</row>
    <row r="259" spans="1:48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</row>
    <row r="260" spans="1:48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</row>
    <row r="261" spans="1:48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</row>
    <row r="262" spans="1:48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</row>
    <row r="263" spans="1:48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</row>
    <row r="264" spans="1:48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</row>
    <row r="265" spans="1:48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</row>
    <row r="266" spans="1:48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</row>
    <row r="267" spans="1:48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</row>
    <row r="268" spans="1:48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</row>
    <row r="269" spans="1:48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</row>
    <row r="270" spans="1:48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</row>
    <row r="271" spans="1:48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</row>
    <row r="272" spans="1:48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</row>
    <row r="273" spans="1:48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</row>
    <row r="274" spans="1:48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</row>
    <row r="275" spans="1:48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</row>
    <row r="276" spans="1:48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</row>
    <row r="277" spans="1:48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</row>
    <row r="278" spans="1:48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</row>
    <row r="279" spans="1:48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</row>
    <row r="280" spans="1:48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</row>
    <row r="281" spans="1:48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</row>
    <row r="282" spans="1:48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</row>
    <row r="283" spans="1:48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</row>
    <row r="284" spans="1:48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</row>
    <row r="285" spans="1:48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</row>
    <row r="286" spans="1:48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</row>
    <row r="287" spans="1:48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</row>
    <row r="288" spans="1:48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</row>
    <row r="289" spans="1:48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</row>
    <row r="290" spans="1:48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</row>
    <row r="291" spans="1:48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</row>
    <row r="292" spans="1:48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</row>
    <row r="293" spans="1:48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</row>
    <row r="294" spans="1:48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</row>
    <row r="295" spans="1:48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</row>
    <row r="296" spans="1:48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</row>
    <row r="297" spans="1:48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</row>
    <row r="298" spans="1:48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</row>
    <row r="299" spans="1:48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</row>
    <row r="300" spans="1:48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</row>
    <row r="301" spans="1:48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</row>
    <row r="302" spans="1:48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</row>
    <row r="303" spans="1:48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</row>
    <row r="304" spans="1:48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</row>
    <row r="305" spans="1:48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</row>
    <row r="306" spans="1:48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</row>
    <row r="307" spans="1:48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</row>
    <row r="308" spans="1:48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</row>
    <row r="309" spans="1:48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</row>
    <row r="310" spans="1:48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</row>
    <row r="311" spans="1:48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</row>
    <row r="312" spans="1:48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</row>
    <row r="313" spans="1:48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</row>
    <row r="314" spans="1:48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</row>
    <row r="315" spans="1:48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</row>
    <row r="316" spans="1:48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</row>
    <row r="317" spans="1:48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</row>
    <row r="318" spans="1:48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</row>
    <row r="319" spans="1:48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</row>
    <row r="320" spans="1:48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</row>
    <row r="321" spans="1:48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</row>
    <row r="322" spans="1:48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</row>
    <row r="323" spans="1:48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</row>
    <row r="324" spans="1:48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</row>
    <row r="325" spans="1:48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</row>
    <row r="326" spans="1:48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</row>
    <row r="327" spans="1:48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</row>
    <row r="328" spans="1:48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</row>
    <row r="329" spans="1:48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</row>
    <row r="330" spans="1:48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</row>
    <row r="331" spans="1:48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</row>
    <row r="332" spans="1:48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</row>
    <row r="333" spans="1:48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</row>
    <row r="334" spans="1:48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</row>
    <row r="335" spans="1:48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</row>
    <row r="336" spans="1:48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</row>
    <row r="337" spans="1:48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</row>
    <row r="338" spans="1:48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</row>
    <row r="339" spans="1:48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</row>
    <row r="340" spans="1:48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</row>
    <row r="341" spans="1:48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</row>
    <row r="342" spans="1:48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</row>
    <row r="343" spans="1:48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</row>
    <row r="344" spans="1:48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</row>
    <row r="345" spans="1:48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</row>
    <row r="346" spans="1:48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</row>
    <row r="347" spans="1:48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</row>
    <row r="348" spans="1:48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</row>
    <row r="349" spans="1:48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</row>
    <row r="350" spans="1:48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</row>
    <row r="351" spans="1:48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</row>
    <row r="352" spans="1:48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</row>
    <row r="353" spans="1:48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</row>
    <row r="354" spans="1:48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</row>
    <row r="355" spans="1:48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</row>
    <row r="356" spans="1:48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</row>
    <row r="357" spans="1:48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</row>
    <row r="358" spans="1:48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</row>
    <row r="359" spans="1:48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</row>
    <row r="360" spans="1:48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</row>
    <row r="361" spans="1:48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</row>
    <row r="362" spans="1:48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</row>
    <row r="363" spans="1:48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</row>
    <row r="364" spans="1:48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</row>
    <row r="365" spans="1:48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</row>
    <row r="366" spans="1:48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</row>
    <row r="367" spans="1:48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</row>
    <row r="368" spans="1:48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</row>
    <row r="369" spans="1:48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</row>
    <row r="370" spans="1:48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</row>
    <row r="371" spans="1:48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</row>
    <row r="372" spans="1:48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</row>
    <row r="373" spans="1:48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</row>
    <row r="374" spans="1:48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</row>
    <row r="375" spans="1:48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</row>
    <row r="376" spans="1:48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</row>
    <row r="377" spans="1:48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</row>
    <row r="378" spans="1:48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</row>
    <row r="379" spans="1:48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</row>
    <row r="380" spans="1:48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</row>
    <row r="381" spans="1:48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</row>
    <row r="382" spans="1:48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</row>
    <row r="383" spans="1:48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</row>
    <row r="384" spans="1:48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</row>
    <row r="385" spans="1:48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</row>
    <row r="386" spans="1:48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</row>
    <row r="387" spans="1:48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</row>
    <row r="388" spans="1:48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</row>
    <row r="389" spans="1:48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</row>
    <row r="390" spans="1:48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</row>
    <row r="391" spans="1:48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</row>
    <row r="392" spans="1:48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</row>
    <row r="393" spans="1:48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</row>
    <row r="394" spans="1:48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</row>
    <row r="395" spans="1:48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</row>
    <row r="396" spans="1:48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</row>
    <row r="397" spans="1:48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</row>
    <row r="398" spans="1:48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</row>
    <row r="399" spans="1:48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</row>
    <row r="400" spans="1:48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</row>
    <row r="401" spans="1:48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</row>
    <row r="402" spans="1:48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</row>
    <row r="403" spans="1:48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</row>
    <row r="404" spans="1:48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</row>
    <row r="405" spans="1:48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</row>
    <row r="406" spans="1:48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</row>
    <row r="407" spans="1:48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</row>
    <row r="408" spans="1:48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</row>
    <row r="409" spans="1:48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</row>
    <row r="410" spans="1:48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</row>
    <row r="411" spans="1:48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</row>
    <row r="412" spans="1:48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</row>
    <row r="413" spans="1:48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</row>
    <row r="414" spans="1:48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</row>
    <row r="415" spans="1:48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</row>
    <row r="416" spans="1:48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</row>
    <row r="417" spans="1:48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</row>
    <row r="418" spans="1:48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</row>
    <row r="419" spans="1:48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</row>
    <row r="420" spans="1:48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</row>
    <row r="421" spans="1:48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</row>
    <row r="422" spans="1:48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</row>
    <row r="423" spans="1:48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</row>
    <row r="424" spans="1:48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</row>
    <row r="425" spans="1:48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</row>
    <row r="426" spans="1:48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</row>
    <row r="427" spans="1:48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</row>
    <row r="428" spans="1:48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</row>
    <row r="429" spans="1:48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</row>
    <row r="430" spans="1:48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</row>
    <row r="431" spans="1:48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</row>
    <row r="432" spans="1:48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</row>
    <row r="433" spans="1:48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</row>
    <row r="434" spans="1:48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</row>
    <row r="435" spans="1:48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</row>
    <row r="436" spans="1:48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</row>
    <row r="437" spans="1:48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</row>
    <row r="438" spans="1:48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</row>
    <row r="439" spans="1:48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</row>
    <row r="440" spans="1:48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</row>
    <row r="441" spans="1:48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</row>
    <row r="442" spans="1:48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</row>
    <row r="443" spans="1:48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</row>
    <row r="444" spans="1:48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</row>
    <row r="445" spans="1:48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</row>
    <row r="446" spans="1:48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</row>
    <row r="447" spans="1:48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</row>
    <row r="448" spans="1:48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</row>
    <row r="449" spans="1:48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</row>
    <row r="450" spans="1:48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</row>
    <row r="451" spans="1:48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</row>
    <row r="452" spans="1:48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</row>
    <row r="453" spans="1:48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</row>
    <row r="454" spans="1:48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</row>
    <row r="455" spans="1:48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</row>
    <row r="456" spans="1:48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</row>
    <row r="457" spans="1:48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</row>
    <row r="458" spans="1:48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</row>
    <row r="459" spans="1:48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</row>
    <row r="460" spans="1:48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</row>
    <row r="461" spans="1:48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</row>
    <row r="462" spans="1:48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</row>
    <row r="463" spans="1:48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</row>
    <row r="464" spans="1:48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</row>
    <row r="465" spans="1:48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</row>
    <row r="466" spans="1:48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</row>
    <row r="467" spans="1:48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</row>
    <row r="468" spans="1:48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</row>
    <row r="469" spans="1:48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</row>
    <row r="470" spans="1:48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</row>
    <row r="471" spans="1:48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</row>
    <row r="472" spans="1:48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</row>
    <row r="473" spans="1:48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</row>
    <row r="474" spans="1:48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</row>
    <row r="475" spans="1:48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</row>
    <row r="476" spans="1:48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</row>
    <row r="477" spans="1:48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</row>
    <row r="478" spans="1:48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</row>
    <row r="479" spans="1:48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</row>
    <row r="480" spans="1:48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</row>
    <row r="481" spans="1:48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</row>
    <row r="482" spans="1:48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</row>
    <row r="483" spans="1:48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</row>
    <row r="484" spans="1:48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</row>
    <row r="485" spans="1:48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</row>
    <row r="486" spans="1:48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</row>
    <row r="487" spans="1:48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</row>
    <row r="488" spans="1:48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</row>
    <row r="489" spans="1:48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</row>
    <row r="490" spans="1:48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</row>
    <row r="491" spans="1:48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</row>
    <row r="492" spans="1:48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</row>
    <row r="493" spans="1:48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</row>
    <row r="494" spans="1:48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</row>
    <row r="495" spans="1:48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</row>
    <row r="496" spans="1:48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</row>
    <row r="497" spans="1:48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</row>
    <row r="498" spans="1:48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</row>
    <row r="499" spans="1:48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</row>
    <row r="500" spans="1:48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</row>
    <row r="501" spans="1:48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</row>
    <row r="502" spans="1:48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</row>
    <row r="503" spans="1:48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</row>
    <row r="504" spans="1:48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</row>
    <row r="505" spans="1:48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</row>
    <row r="506" spans="1:48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</row>
    <row r="507" spans="1:48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</row>
    <row r="508" spans="1:48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</row>
    <row r="509" spans="1:48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</row>
    <row r="510" spans="1:48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</row>
    <row r="511" spans="1:48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</row>
    <row r="512" spans="1:48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</row>
    <row r="513" spans="1:48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</row>
    <row r="514" spans="1:48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</row>
    <row r="515" spans="1:48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</row>
    <row r="516" spans="1:48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</row>
    <row r="517" spans="1:48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</row>
    <row r="518" spans="1:48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</row>
    <row r="519" spans="1:48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</row>
    <row r="520" spans="1:48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</row>
    <row r="521" spans="1:48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</row>
    <row r="522" spans="1:48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</row>
    <row r="523" spans="1:48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</row>
    <row r="524" spans="1:48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</row>
    <row r="525" spans="1:48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</row>
    <row r="526" spans="1:48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</row>
    <row r="527" spans="1:48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</row>
    <row r="528" spans="1:48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</row>
    <row r="529" spans="1:48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</row>
    <row r="530" spans="1:48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</row>
    <row r="531" spans="1:48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</row>
    <row r="532" spans="1:48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</row>
    <row r="533" spans="1:48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</row>
    <row r="534" spans="1:48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</row>
    <row r="535" spans="1:48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</row>
    <row r="536" spans="1:48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</row>
    <row r="537" spans="1:48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</row>
    <row r="538" spans="1:48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</row>
    <row r="539" spans="1:48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</row>
    <row r="540" spans="1:48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</row>
    <row r="541" spans="1:48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</row>
    <row r="542" spans="1:48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</row>
    <row r="543" spans="1:48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</row>
    <row r="544" spans="1:48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</row>
    <row r="545" spans="1:48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</row>
    <row r="546" spans="1:48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</row>
    <row r="547" spans="1:48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</row>
    <row r="548" spans="1:48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</row>
    <row r="549" spans="1:48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</row>
    <row r="550" spans="1:48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</row>
    <row r="551" spans="1:48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</row>
    <row r="552" spans="1:48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</row>
    <row r="553" spans="1:48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</row>
    <row r="554" spans="1:48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</row>
    <row r="555" spans="1:48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</row>
    <row r="556" spans="1:48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</row>
    <row r="557" spans="1:48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</row>
    <row r="558" spans="1:48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</row>
    <row r="559" spans="1:48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</row>
    <row r="560" spans="1:48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</row>
    <row r="561" spans="1:48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</row>
    <row r="562" spans="1:48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</row>
    <row r="563" spans="1:48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</row>
    <row r="564" spans="1:48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</row>
    <row r="565" spans="1:48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</row>
    <row r="566" spans="1:48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</row>
    <row r="567" spans="1:48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</row>
    <row r="568" spans="1:48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</row>
    <row r="569" spans="1:48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</row>
    <row r="570" spans="1:48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</row>
    <row r="571" spans="1:48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</row>
    <row r="572" spans="1:48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</row>
    <row r="573" spans="1:48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</row>
    <row r="574" spans="1:48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</row>
    <row r="575" spans="1:48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</row>
    <row r="576" spans="1:48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</row>
    <row r="577" spans="1:48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</row>
    <row r="578" spans="1:48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</row>
    <row r="579" spans="1:48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</row>
    <row r="580" spans="1:48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</row>
    <row r="581" spans="1:48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</row>
    <row r="582" spans="1:48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</row>
    <row r="583" spans="1:48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</row>
    <row r="584" spans="1:48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</row>
    <row r="585" spans="1:48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</row>
    <row r="586" spans="1:48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</row>
    <row r="587" spans="1:48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</row>
    <row r="588" spans="1:48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</row>
    <row r="589" spans="1:48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</row>
    <row r="590" spans="1:48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</row>
    <row r="591" spans="1:48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</row>
    <row r="592" spans="1:48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</row>
    <row r="593" spans="1:48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</row>
    <row r="594" spans="1:48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</row>
    <row r="595" spans="1:48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</row>
    <row r="596" spans="1:48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</row>
    <row r="597" spans="1:48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</row>
    <row r="598" spans="1:48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</row>
    <row r="599" spans="1:48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</row>
    <row r="600" spans="1:48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</row>
    <row r="601" spans="1:48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</row>
    <row r="602" spans="1:48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</row>
    <row r="603" spans="1:48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</row>
    <row r="604" spans="1:48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</row>
    <row r="605" spans="1:48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</row>
    <row r="606" spans="1:48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</row>
    <row r="607" spans="1:48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</row>
    <row r="608" spans="1:48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</row>
    <row r="609" spans="1:48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</row>
    <row r="610" spans="1:48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</row>
    <row r="611" spans="1:48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</row>
    <row r="612" spans="1:48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</row>
    <row r="613" spans="1:48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</row>
    <row r="614" spans="1:48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</row>
    <row r="615" spans="1:48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</row>
    <row r="616" spans="1:48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</row>
    <row r="617" spans="1:48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</row>
    <row r="618" spans="1:48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</row>
    <row r="619" spans="1:48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</row>
    <row r="620" spans="1:48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</row>
    <row r="621" spans="1:48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</row>
    <row r="622" spans="1:48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</row>
    <row r="623" spans="1:48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</row>
    <row r="624" spans="1:48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</row>
    <row r="625" spans="1:48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</row>
    <row r="626" spans="1:48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</row>
    <row r="627" spans="1:48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</row>
    <row r="628" spans="1:48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</row>
    <row r="629" spans="1:48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</row>
    <row r="630" spans="1:48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</row>
    <row r="631" spans="1:48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</row>
    <row r="632" spans="1:48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</row>
    <row r="633" spans="1:48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</row>
    <row r="634" spans="1:48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</row>
    <row r="635" spans="1:48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</row>
    <row r="636" spans="1:48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</row>
    <row r="637" spans="1:48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</row>
    <row r="638" spans="1:48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</row>
    <row r="639" spans="1:48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</row>
    <row r="640" spans="1:48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</row>
    <row r="641" spans="1:48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</row>
    <row r="642" spans="1:48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</row>
    <row r="643" spans="1:48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</row>
    <row r="644" spans="1:48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</row>
    <row r="645" spans="1:48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</row>
    <row r="646" spans="1:48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</row>
    <row r="647" spans="1:48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</row>
    <row r="648" spans="1:48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</row>
    <row r="649" spans="1:48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</row>
    <row r="650" spans="1:48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</row>
    <row r="651" spans="1:48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</row>
    <row r="652" spans="1:48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</row>
    <row r="653" spans="1:48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</row>
    <row r="654" spans="1:48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</row>
    <row r="655" spans="1:48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</row>
    <row r="656" spans="1:48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</row>
    <row r="657" spans="1:48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</row>
    <row r="658" spans="1:48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</row>
    <row r="659" spans="1:48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</row>
    <row r="660" spans="1:48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</row>
    <row r="661" spans="1:48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</row>
    <row r="662" spans="1:48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</row>
    <row r="663" spans="1:48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</row>
    <row r="664" spans="1:48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</row>
    <row r="665" spans="1:48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</row>
    <row r="666" spans="1:48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</row>
    <row r="667" spans="1:48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</row>
    <row r="668" spans="1:48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</row>
    <row r="669" spans="1:48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</row>
    <row r="670" spans="1:48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</row>
    <row r="671" spans="1:48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</row>
    <row r="672" spans="1:48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</row>
    <row r="673" spans="1:48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</row>
    <row r="674" spans="1:48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</row>
    <row r="675" spans="1:48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</row>
    <row r="676" spans="1:48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</row>
    <row r="677" spans="1:48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</row>
    <row r="678" spans="1:48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</row>
    <row r="679" spans="1:48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</row>
    <row r="680" spans="1:48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</row>
    <row r="681" spans="1:48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</row>
    <row r="682" spans="1:48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</row>
    <row r="683" spans="1:48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</row>
    <row r="684" spans="1:48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</row>
    <row r="685" spans="1:48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</row>
    <row r="686" spans="1:48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</row>
    <row r="687" spans="1:48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</row>
    <row r="688" spans="1:48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</row>
    <row r="689" spans="1:48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</row>
    <row r="690" spans="1:48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</row>
    <row r="691" spans="1:48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</row>
    <row r="692" spans="1:48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</row>
    <row r="693" spans="1:48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</row>
    <row r="694" spans="1:48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</row>
    <row r="695" spans="1:48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</row>
    <row r="696" spans="1:48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</row>
    <row r="697" spans="1:48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</row>
    <row r="698" spans="1:48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</row>
    <row r="699" spans="1:48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</row>
    <row r="700" spans="1:48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</row>
    <row r="701" spans="1:48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</row>
    <row r="702" spans="1:48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</row>
    <row r="703" spans="1:48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</row>
    <row r="704" spans="1:48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</row>
    <row r="705" spans="1:48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</row>
    <row r="706" spans="1:48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</row>
    <row r="707" spans="1:48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</row>
    <row r="708" spans="1:48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</row>
    <row r="709" spans="1:48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</row>
    <row r="710" spans="1:48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</row>
    <row r="711" spans="1:48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</row>
    <row r="712" spans="1:48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</row>
    <row r="713" spans="1:48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</row>
    <row r="714" spans="1:48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</row>
    <row r="715" spans="1:48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</row>
    <row r="716" spans="1:48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</row>
    <row r="717" spans="1:48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</row>
    <row r="718" spans="1:48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</row>
    <row r="719" spans="1:48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</row>
    <row r="720" spans="1:48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</row>
    <row r="721" spans="1:48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</row>
    <row r="722" spans="1:48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</row>
    <row r="723" spans="1:48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</row>
    <row r="724" spans="1:48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</row>
    <row r="725" spans="1:48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</row>
    <row r="726" spans="1:48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</row>
    <row r="727" spans="1:48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</row>
    <row r="728" spans="1:48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</row>
    <row r="729" spans="1:48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</row>
    <row r="730" spans="1:48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</row>
    <row r="731" spans="1:48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</row>
    <row r="732" spans="1:48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</row>
    <row r="733" spans="1:48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</row>
    <row r="734" spans="1:48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</row>
    <row r="735" spans="1:48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</row>
    <row r="736" spans="1:48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</row>
    <row r="737" spans="1:48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</row>
    <row r="738" spans="1:48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</row>
    <row r="739" spans="1:48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</row>
    <row r="740" spans="1:48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</row>
    <row r="741" spans="1:48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</row>
    <row r="742" spans="1:48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</row>
    <row r="743" spans="1:48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</row>
    <row r="744" spans="1:48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</row>
    <row r="745" spans="1:48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</row>
    <row r="746" spans="1:48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</row>
    <row r="747" spans="1:48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</row>
    <row r="748" spans="1:48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</row>
    <row r="749" spans="1:48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</row>
    <row r="750" spans="1:48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</row>
    <row r="751" spans="1:48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</row>
    <row r="752" spans="1:48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</row>
    <row r="753" spans="1:48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</row>
    <row r="754" spans="1:48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</row>
    <row r="755" spans="1:48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</row>
    <row r="756" spans="1:48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</row>
    <row r="757" spans="1:48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</row>
    <row r="758" spans="1:48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</row>
    <row r="759" spans="1:48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</row>
    <row r="760" spans="1:48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</row>
    <row r="761" spans="1:48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</row>
    <row r="762" spans="1:48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</row>
    <row r="763" spans="1:48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</row>
    <row r="764" spans="1:48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</row>
    <row r="765" spans="1:48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</row>
    <row r="766" spans="1:48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</row>
    <row r="767" spans="1:48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</row>
    <row r="768" spans="1:48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</row>
    <row r="769" spans="1:48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</row>
    <row r="770" spans="1:48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</row>
    <row r="771" spans="1:48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</row>
    <row r="772" spans="1:48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</row>
    <row r="773" spans="1:48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</row>
    <row r="774" spans="1:48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</row>
    <row r="775" spans="1:48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</row>
    <row r="776" spans="1:48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</row>
    <row r="777" spans="1:48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</row>
    <row r="778" spans="1:48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</row>
    <row r="779" spans="1:48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</row>
    <row r="780" spans="1:48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</row>
    <row r="781" spans="1:48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</row>
    <row r="782" spans="1:48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</row>
    <row r="783" spans="1:48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</row>
    <row r="784" spans="1:48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</row>
    <row r="785" spans="1:48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</row>
    <row r="786" spans="1:48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</row>
    <row r="787" spans="1:48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</row>
    <row r="788" spans="1:48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</row>
    <row r="789" spans="1:48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</row>
    <row r="790" spans="1:48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</row>
    <row r="791" spans="1:48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</row>
    <row r="792" spans="1:48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</row>
    <row r="793" spans="1:48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</row>
    <row r="794" spans="1:48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</row>
    <row r="795" spans="1:48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</row>
    <row r="796" spans="1:48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</row>
    <row r="797" spans="1:48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</row>
    <row r="798" spans="1:48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</row>
    <row r="799" spans="1:48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</row>
    <row r="800" spans="1:48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</row>
    <row r="801" spans="1:48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</row>
    <row r="802" spans="1:48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</row>
    <row r="803" spans="1:48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</row>
    <row r="804" spans="1:48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</row>
    <row r="805" spans="1:48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</row>
    <row r="806" spans="1:48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</row>
    <row r="807" spans="1:48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</row>
    <row r="808" spans="1:48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</row>
    <row r="809" spans="1:48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</row>
    <row r="810" spans="1:48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</row>
    <row r="811" spans="1:48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</row>
    <row r="812" spans="1:48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</row>
    <row r="813" spans="1:48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</row>
    <row r="814" spans="1:48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</row>
    <row r="815" spans="1:48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</row>
    <row r="816" spans="1:48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</row>
    <row r="817" spans="1:48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</row>
    <row r="818" spans="1:48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</row>
    <row r="819" spans="1:48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</row>
    <row r="820" spans="1:48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</row>
    <row r="821" spans="1:48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</row>
    <row r="822" spans="1:48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</row>
    <row r="823" spans="1:48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</row>
    <row r="824" spans="1:48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</row>
    <row r="825" spans="1:48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</row>
    <row r="826" spans="1:48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</row>
    <row r="827" spans="1:48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</row>
    <row r="828" spans="1:48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</row>
    <row r="829" spans="1:48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</row>
    <row r="830" spans="1:48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</row>
    <row r="831" spans="1:48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</row>
    <row r="832" spans="1:48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</row>
    <row r="833" spans="1:48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</row>
    <row r="834" spans="1:48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</row>
    <row r="835" spans="1:48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</row>
    <row r="836" spans="1:48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</row>
    <row r="837" spans="1:48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</row>
    <row r="838" spans="1:48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</row>
    <row r="839" spans="1:48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</row>
    <row r="840" spans="1:48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</row>
    <row r="841" spans="1:48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</row>
    <row r="842" spans="1:48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</row>
    <row r="843" spans="1:48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</row>
    <row r="844" spans="1:48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</row>
    <row r="845" spans="1:48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</row>
    <row r="846" spans="1:48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</row>
    <row r="847" spans="1:48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</row>
    <row r="848" spans="1:48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</row>
    <row r="849" spans="1:48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</row>
    <row r="850" spans="1:48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</row>
    <row r="851" spans="1:48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</row>
    <row r="852" spans="1:48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</row>
    <row r="853" spans="1:48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</row>
    <row r="854" spans="1:48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</row>
    <row r="855" spans="1:48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</row>
    <row r="856" spans="1:48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</row>
    <row r="857" spans="1:48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</row>
    <row r="858" spans="1:48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</row>
    <row r="859" spans="1:48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</row>
    <row r="860" spans="1:48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</row>
    <row r="861" spans="1:48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</row>
    <row r="862" spans="1:48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</row>
    <row r="863" spans="1:48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</row>
    <row r="864" spans="1:48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</row>
    <row r="865" spans="1:48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</row>
    <row r="866" spans="1:48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</row>
    <row r="867" spans="1:48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</row>
    <row r="868" spans="1:48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</row>
    <row r="869" spans="1:48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</row>
    <row r="870" spans="1:48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</row>
    <row r="871" spans="1:48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</row>
    <row r="872" spans="1:48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</row>
    <row r="873" spans="1:48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</row>
    <row r="874" spans="1:48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</row>
    <row r="875" spans="1:48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</row>
    <row r="876" spans="1:48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</row>
    <row r="877" spans="1:48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</row>
    <row r="878" spans="1:48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</row>
    <row r="879" spans="1:48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</row>
    <row r="880" spans="1:48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</row>
    <row r="881" spans="1:48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</row>
    <row r="882" spans="1:48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</row>
    <row r="883" spans="1:48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</row>
    <row r="884" spans="1:48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</row>
    <row r="885" spans="1:48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</row>
    <row r="886" spans="1:48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</row>
    <row r="887" spans="1:48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</row>
    <row r="888" spans="1:48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</row>
    <row r="889" spans="1:48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</row>
    <row r="890" spans="1:48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</row>
    <row r="891" spans="1:48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</row>
    <row r="892" spans="1:48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</row>
    <row r="893" spans="1:48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</row>
    <row r="894" spans="1:48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</row>
    <row r="895" spans="1:48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</row>
    <row r="896" spans="1:48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</row>
    <row r="897" spans="1:48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</row>
    <row r="898" spans="1:48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</row>
    <row r="899" spans="1:48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</row>
    <row r="900" spans="1:48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</row>
    <row r="901" spans="1:48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</row>
    <row r="902" spans="1:48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</row>
    <row r="903" spans="1:48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</row>
    <row r="904" spans="1:48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</row>
    <row r="905" spans="1:48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</row>
    <row r="906" spans="1:48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</row>
    <row r="907" spans="1:48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</row>
    <row r="908" spans="1:48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</row>
    <row r="909" spans="1:48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</row>
    <row r="910" spans="1:48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</row>
    <row r="911" spans="1:48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</row>
    <row r="912" spans="1:48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</row>
    <row r="913" spans="1:48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</row>
    <row r="914" spans="1:48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</row>
    <row r="915" spans="1:48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</row>
    <row r="916" spans="1:48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</row>
    <row r="917" spans="1:48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</row>
    <row r="918" spans="1:48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</row>
    <row r="919" spans="1:48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</row>
    <row r="920" spans="1:48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</row>
    <row r="921" spans="1:48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</row>
    <row r="922" spans="1:48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</row>
    <row r="923" spans="1:48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</row>
    <row r="924" spans="1:48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</row>
    <row r="925" spans="1:48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</row>
    <row r="926" spans="1:48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</row>
    <row r="927" spans="1:48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</row>
    <row r="928" spans="1:48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</row>
    <row r="929" spans="1:48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</row>
    <row r="930" spans="1:48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</row>
    <row r="931" spans="1:48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</row>
    <row r="932" spans="1:48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</row>
    <row r="933" spans="1:48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</row>
    <row r="934" spans="1:48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</row>
    <row r="935" spans="1:48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</row>
    <row r="936" spans="1:48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</row>
    <row r="937" spans="1:48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</row>
    <row r="938" spans="1:48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</row>
    <row r="939" spans="1:48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</row>
    <row r="940" spans="1:48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</row>
    <row r="941" spans="1:48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</row>
    <row r="942" spans="1:48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</row>
    <row r="943" spans="1:48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</row>
    <row r="944" spans="1:48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</row>
    <row r="945" spans="1:48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</row>
    <row r="946" spans="1:48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</row>
    <row r="947" spans="1:48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</row>
    <row r="948" spans="1:48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</row>
    <row r="949" spans="1:48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</row>
    <row r="950" spans="1:48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</row>
    <row r="951" spans="1:48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</row>
    <row r="952" spans="1:48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</row>
    <row r="953" spans="1:48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</row>
    <row r="954" spans="1:48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</row>
    <row r="955" spans="1:48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</row>
    <row r="956" spans="1:48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</row>
    <row r="957" spans="1:48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</row>
    <row r="958" spans="1:48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</row>
    <row r="959" spans="1:48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</row>
    <row r="960" spans="1:48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</row>
    <row r="961" spans="1:48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</row>
    <row r="962" spans="1:48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</row>
    <row r="963" spans="1:48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</row>
    <row r="964" spans="1:48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</row>
    <row r="965" spans="1:48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</row>
    <row r="966" spans="1:48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</row>
    <row r="967" spans="1:48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</row>
    <row r="968" spans="1:48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</row>
    <row r="969" spans="1:48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</row>
    <row r="970" spans="1:48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</row>
    <row r="971" spans="1:48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</row>
    <row r="972" spans="1:48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</row>
  </sheetData>
  <mergeCells count="625">
    <mergeCell ref="A93:B94"/>
    <mergeCell ref="E93:AB93"/>
    <mergeCell ref="A101:B106"/>
    <mergeCell ref="A107:B107"/>
    <mergeCell ref="F5:K5"/>
    <mergeCell ref="F6:K12"/>
    <mergeCell ref="A78:AB78"/>
    <mergeCell ref="B60:AB60"/>
    <mergeCell ref="A59:AB59"/>
    <mergeCell ref="U75:V75"/>
    <mergeCell ref="W75:X75"/>
    <mergeCell ref="Y75:Z75"/>
    <mergeCell ref="AA75:AB75"/>
    <mergeCell ref="E74:F74"/>
    <mergeCell ref="G74:H74"/>
    <mergeCell ref="I74:J74"/>
    <mergeCell ref="K74:L74"/>
    <mergeCell ref="M74:N74"/>
    <mergeCell ref="O74:P74"/>
    <mergeCell ref="Q74:R74"/>
    <mergeCell ref="S74:T74"/>
    <mergeCell ref="A75:B75"/>
    <mergeCell ref="E75:F75"/>
    <mergeCell ref="G75:H75"/>
    <mergeCell ref="I75:J75"/>
    <mergeCell ref="K75:L75"/>
    <mergeCell ref="M75:N75"/>
    <mergeCell ref="O75:P75"/>
    <mergeCell ref="Q75:R75"/>
    <mergeCell ref="S75:T75"/>
    <mergeCell ref="E68:F68"/>
    <mergeCell ref="G68:H68"/>
    <mergeCell ref="I68:J68"/>
    <mergeCell ref="K68:L68"/>
    <mergeCell ref="M68:N68"/>
    <mergeCell ref="O68:P68"/>
    <mergeCell ref="Q68:R68"/>
    <mergeCell ref="S68:T68"/>
    <mergeCell ref="U68:V68"/>
    <mergeCell ref="W68:X68"/>
    <mergeCell ref="Y68:Z68"/>
    <mergeCell ref="AA68:AB68"/>
    <mergeCell ref="E73:F73"/>
    <mergeCell ref="G73:H73"/>
    <mergeCell ref="I73:J73"/>
    <mergeCell ref="K73:L73"/>
    <mergeCell ref="M73:N73"/>
    <mergeCell ref="O73:P73"/>
    <mergeCell ref="Q73:R73"/>
    <mergeCell ref="S73:T73"/>
    <mergeCell ref="U73:V73"/>
    <mergeCell ref="W73:X73"/>
    <mergeCell ref="Y73:Z73"/>
    <mergeCell ref="AA73:AB73"/>
    <mergeCell ref="E72:F72"/>
    <mergeCell ref="G72:H72"/>
    <mergeCell ref="I72:J72"/>
    <mergeCell ref="K72:L72"/>
    <mergeCell ref="M72:N72"/>
    <mergeCell ref="O72:P72"/>
    <mergeCell ref="Q72:R72"/>
    <mergeCell ref="U69:V69"/>
    <mergeCell ref="W69:X69"/>
    <mergeCell ref="U74:V74"/>
    <mergeCell ref="W74:X74"/>
    <mergeCell ref="Y74:Z74"/>
    <mergeCell ref="AA74:AB74"/>
    <mergeCell ref="S71:T71"/>
    <mergeCell ref="U71:V71"/>
    <mergeCell ref="W71:X71"/>
    <mergeCell ref="Y71:Z71"/>
    <mergeCell ref="AA71:AB71"/>
    <mergeCell ref="S72:T72"/>
    <mergeCell ref="U72:V72"/>
    <mergeCell ref="W72:X72"/>
    <mergeCell ref="Y72:Z72"/>
    <mergeCell ref="AA72:AB72"/>
    <mergeCell ref="Y69:Z69"/>
    <mergeCell ref="AA69:AB69"/>
    <mergeCell ref="U70:V70"/>
    <mergeCell ref="W70:X70"/>
    <mergeCell ref="Y70:Z70"/>
    <mergeCell ref="AA70:AB70"/>
    <mergeCell ref="A69:B74"/>
    <mergeCell ref="E69:F69"/>
    <mergeCell ref="G69:H69"/>
    <mergeCell ref="I69:J69"/>
    <mergeCell ref="K69:L69"/>
    <mergeCell ref="M69:N69"/>
    <mergeCell ref="O69:P69"/>
    <mergeCell ref="Q69:R69"/>
    <mergeCell ref="S69:T69"/>
    <mergeCell ref="E71:F71"/>
    <mergeCell ref="G71:H71"/>
    <mergeCell ref="I71:J71"/>
    <mergeCell ref="K71:L71"/>
    <mergeCell ref="M71:N71"/>
    <mergeCell ref="O71:P71"/>
    <mergeCell ref="Q71:R71"/>
    <mergeCell ref="E70:F70"/>
    <mergeCell ref="G70:H70"/>
    <mergeCell ref="I70:J70"/>
    <mergeCell ref="K70:L70"/>
    <mergeCell ref="M70:N70"/>
    <mergeCell ref="O70:P70"/>
    <mergeCell ref="Q70:R70"/>
    <mergeCell ref="S70:T70"/>
    <mergeCell ref="U64:V64"/>
    <mergeCell ref="U67:V67"/>
    <mergeCell ref="E67:F67"/>
    <mergeCell ref="G67:H67"/>
    <mergeCell ref="I67:J67"/>
    <mergeCell ref="K67:L67"/>
    <mergeCell ref="M67:N67"/>
    <mergeCell ref="O67:P67"/>
    <mergeCell ref="Q67:R67"/>
    <mergeCell ref="S67:T67"/>
    <mergeCell ref="W67:X67"/>
    <mergeCell ref="Y67:Z67"/>
    <mergeCell ref="AA67:AB67"/>
    <mergeCell ref="W64:X64"/>
    <mergeCell ref="Y64:Z64"/>
    <mergeCell ref="AA64:AB64"/>
    <mergeCell ref="W65:X65"/>
    <mergeCell ref="Y65:Z65"/>
    <mergeCell ref="AA65:AB65"/>
    <mergeCell ref="W66:X66"/>
    <mergeCell ref="Y66:Z66"/>
    <mergeCell ref="AA66:AB66"/>
    <mergeCell ref="E66:F66"/>
    <mergeCell ref="G66:H66"/>
    <mergeCell ref="I66:J66"/>
    <mergeCell ref="K66:L66"/>
    <mergeCell ref="M66:N66"/>
    <mergeCell ref="O66:P66"/>
    <mergeCell ref="Q66:R66"/>
    <mergeCell ref="S66:T66"/>
    <mergeCell ref="U66:V66"/>
    <mergeCell ref="O63:P63"/>
    <mergeCell ref="Q63:R63"/>
    <mergeCell ref="S63:T63"/>
    <mergeCell ref="U63:V63"/>
    <mergeCell ref="W63:X63"/>
    <mergeCell ref="Y63:Z63"/>
    <mergeCell ref="AA63:AB63"/>
    <mergeCell ref="E65:F65"/>
    <mergeCell ref="G65:H65"/>
    <mergeCell ref="I65:J65"/>
    <mergeCell ref="K65:L65"/>
    <mergeCell ref="M65:N65"/>
    <mergeCell ref="O65:P65"/>
    <mergeCell ref="E64:F64"/>
    <mergeCell ref="G64:H64"/>
    <mergeCell ref="I64:J64"/>
    <mergeCell ref="K64:L64"/>
    <mergeCell ref="M64:N64"/>
    <mergeCell ref="O64:P64"/>
    <mergeCell ref="Q65:R65"/>
    <mergeCell ref="S65:T65"/>
    <mergeCell ref="U65:V65"/>
    <mergeCell ref="Q64:R64"/>
    <mergeCell ref="S64:T64"/>
    <mergeCell ref="Q62:R62"/>
    <mergeCell ref="S62:T62"/>
    <mergeCell ref="U62:V62"/>
    <mergeCell ref="W62:X62"/>
    <mergeCell ref="Y62:Z62"/>
    <mergeCell ref="AA62:AB62"/>
    <mergeCell ref="W47:X47"/>
    <mergeCell ref="Y47:Z47"/>
    <mergeCell ref="AA47:AB47"/>
    <mergeCell ref="AA48:AB48"/>
    <mergeCell ref="Y40:Z40"/>
    <mergeCell ref="AA40:AB40"/>
    <mergeCell ref="E40:F40"/>
    <mergeCell ref="G40:H40"/>
    <mergeCell ref="I40:J40"/>
    <mergeCell ref="K40:L40"/>
    <mergeCell ref="M40:N40"/>
    <mergeCell ref="O40:P40"/>
    <mergeCell ref="Q40:R40"/>
    <mergeCell ref="U40:V40"/>
    <mergeCell ref="W40:X40"/>
    <mergeCell ref="U39:V39"/>
    <mergeCell ref="W39:X39"/>
    <mergeCell ref="Y39:Z39"/>
    <mergeCell ref="E39:F39"/>
    <mergeCell ref="G39:H39"/>
    <mergeCell ref="AA39:AB39"/>
    <mergeCell ref="W38:X38"/>
    <mergeCell ref="Y38:Z38"/>
    <mergeCell ref="U37:V37"/>
    <mergeCell ref="W37:X37"/>
    <mergeCell ref="U41:V41"/>
    <mergeCell ref="W41:X41"/>
    <mergeCell ref="Y41:Z41"/>
    <mergeCell ref="AA41:AB41"/>
    <mergeCell ref="E41:F41"/>
    <mergeCell ref="G41:H41"/>
    <mergeCell ref="I41:J41"/>
    <mergeCell ref="K41:L41"/>
    <mergeCell ref="M41:N41"/>
    <mergeCell ref="O41:P41"/>
    <mergeCell ref="Q41:R41"/>
    <mergeCell ref="U42:V42"/>
    <mergeCell ref="W42:X42"/>
    <mergeCell ref="Y42:Z42"/>
    <mergeCell ref="AA42:AB42"/>
    <mergeCell ref="E42:F42"/>
    <mergeCell ref="G42:H42"/>
    <mergeCell ref="I42:J42"/>
    <mergeCell ref="K42:L42"/>
    <mergeCell ref="M42:N42"/>
    <mergeCell ref="O42:P42"/>
    <mergeCell ref="Q42:R42"/>
    <mergeCell ref="U43:V43"/>
    <mergeCell ref="W43:X43"/>
    <mergeCell ref="Y43:Z43"/>
    <mergeCell ref="AA43:AB43"/>
    <mergeCell ref="G43:H43"/>
    <mergeCell ref="I43:J43"/>
    <mergeCell ref="W48:X48"/>
    <mergeCell ref="Y48:Z48"/>
    <mergeCell ref="K43:L43"/>
    <mergeCell ref="M43:N43"/>
    <mergeCell ref="O43:P43"/>
    <mergeCell ref="Q43:R43"/>
    <mergeCell ref="S43:T43"/>
    <mergeCell ref="G47:H47"/>
    <mergeCell ref="I47:J47"/>
    <mergeCell ref="K47:L47"/>
    <mergeCell ref="U47:V47"/>
    <mergeCell ref="O48:P48"/>
    <mergeCell ref="Q48:R48"/>
    <mergeCell ref="S48:T48"/>
    <mergeCell ref="U48:V48"/>
    <mergeCell ref="A46:AB46"/>
    <mergeCell ref="A37:B42"/>
    <mergeCell ref="E37:F37"/>
    <mergeCell ref="G37:H37"/>
    <mergeCell ref="G38:H38"/>
    <mergeCell ref="A43:B43"/>
    <mergeCell ref="M47:N47"/>
    <mergeCell ref="O47:P47"/>
    <mergeCell ref="Q47:R47"/>
    <mergeCell ref="S47:T47"/>
    <mergeCell ref="S40:T40"/>
    <mergeCell ref="K38:L38"/>
    <mergeCell ref="M38:N38"/>
    <mergeCell ref="O38:P38"/>
    <mergeCell ref="Q38:R38"/>
    <mergeCell ref="I39:J39"/>
    <mergeCell ref="K39:L39"/>
    <mergeCell ref="S37:T37"/>
    <mergeCell ref="E43:F43"/>
    <mergeCell ref="S42:T42"/>
    <mergeCell ref="S41:T41"/>
    <mergeCell ref="E38:F38"/>
    <mergeCell ref="S38:T38"/>
    <mergeCell ref="Q39:R39"/>
    <mergeCell ref="S39:T39"/>
    <mergeCell ref="A63:B68"/>
    <mergeCell ref="E63:F63"/>
    <mergeCell ref="G63:H63"/>
    <mergeCell ref="I63:J63"/>
    <mergeCell ref="K63:L63"/>
    <mergeCell ref="M63:N63"/>
    <mergeCell ref="I48:J48"/>
    <mergeCell ref="K48:L48"/>
    <mergeCell ref="M48:N48"/>
    <mergeCell ref="C48:C49"/>
    <mergeCell ref="D48:D49"/>
    <mergeCell ref="A53:B53"/>
    <mergeCell ref="A57:B57"/>
    <mergeCell ref="E48:F48"/>
    <mergeCell ref="G48:H48"/>
    <mergeCell ref="A47:A49"/>
    <mergeCell ref="B47:B49"/>
    <mergeCell ref="C47:D47"/>
    <mergeCell ref="E47:F47"/>
    <mergeCell ref="A61:B62"/>
    <mergeCell ref="C61:D61"/>
    <mergeCell ref="E61:AB61"/>
    <mergeCell ref="E62:F62"/>
    <mergeCell ref="G62:H62"/>
    <mergeCell ref="AA80:AB80"/>
    <mergeCell ref="I80:J80"/>
    <mergeCell ref="K80:L80"/>
    <mergeCell ref="M80:N80"/>
    <mergeCell ref="O80:P80"/>
    <mergeCell ref="Q80:R80"/>
    <mergeCell ref="S80:T80"/>
    <mergeCell ref="U80:V80"/>
    <mergeCell ref="M79:N79"/>
    <mergeCell ref="O79:P79"/>
    <mergeCell ref="Q79:R79"/>
    <mergeCell ref="S79:T79"/>
    <mergeCell ref="U79:V79"/>
    <mergeCell ref="W79:X79"/>
    <mergeCell ref="Y79:Z79"/>
    <mergeCell ref="AA79:AB79"/>
    <mergeCell ref="I79:J79"/>
    <mergeCell ref="K79:L79"/>
    <mergeCell ref="W80:X80"/>
    <mergeCell ref="Y80:Z80"/>
    <mergeCell ref="E94:F94"/>
    <mergeCell ref="G94:H94"/>
    <mergeCell ref="I94:J94"/>
    <mergeCell ref="K94:L94"/>
    <mergeCell ref="M94:N94"/>
    <mergeCell ref="O94:P94"/>
    <mergeCell ref="Q94:R94"/>
    <mergeCell ref="K97:L97"/>
    <mergeCell ref="M97:N97"/>
    <mergeCell ref="O97:P97"/>
    <mergeCell ref="Q97:R97"/>
    <mergeCell ref="E95:F95"/>
    <mergeCell ref="G95:H95"/>
    <mergeCell ref="M99:N99"/>
    <mergeCell ref="O99:P99"/>
    <mergeCell ref="Q99:R99"/>
    <mergeCell ref="S99:T99"/>
    <mergeCell ref="U99:V99"/>
    <mergeCell ref="I97:J97"/>
    <mergeCell ref="E96:F96"/>
    <mergeCell ref="G96:H96"/>
    <mergeCell ref="I96:J96"/>
    <mergeCell ref="K96:L96"/>
    <mergeCell ref="M96:N96"/>
    <mergeCell ref="O96:P96"/>
    <mergeCell ref="Q96:R96"/>
    <mergeCell ref="S94:T94"/>
    <mergeCell ref="U94:V94"/>
    <mergeCell ref="W94:X94"/>
    <mergeCell ref="Y94:Z94"/>
    <mergeCell ref="AA94:AB94"/>
    <mergeCell ref="AA95:AB95"/>
    <mergeCell ref="I95:J95"/>
    <mergeCell ref="K95:L95"/>
    <mergeCell ref="M95:N95"/>
    <mergeCell ref="O95:P95"/>
    <mergeCell ref="Q95:R95"/>
    <mergeCell ref="W95:X95"/>
    <mergeCell ref="Y95:Z95"/>
    <mergeCell ref="W96:X96"/>
    <mergeCell ref="Y96:Z96"/>
    <mergeCell ref="AA96:AB96"/>
    <mergeCell ref="AA97:AB97"/>
    <mergeCell ref="E97:F97"/>
    <mergeCell ref="G97:H97"/>
    <mergeCell ref="W97:X97"/>
    <mergeCell ref="Y97:Z97"/>
    <mergeCell ref="S98:T98"/>
    <mergeCell ref="U98:V98"/>
    <mergeCell ref="E98:F98"/>
    <mergeCell ref="G98:H98"/>
    <mergeCell ref="S96:T96"/>
    <mergeCell ref="U96:V96"/>
    <mergeCell ref="S97:T97"/>
    <mergeCell ref="U97:V97"/>
    <mergeCell ref="AA100:AB100"/>
    <mergeCell ref="E100:F100"/>
    <mergeCell ref="G100:H100"/>
    <mergeCell ref="I100:J100"/>
    <mergeCell ref="K100:L100"/>
    <mergeCell ref="M100:N100"/>
    <mergeCell ref="O100:P100"/>
    <mergeCell ref="Q100:R100"/>
    <mergeCell ref="S100:T100"/>
    <mergeCell ref="U100:V100"/>
    <mergeCell ref="W100:X100"/>
    <mergeCell ref="W103:X103"/>
    <mergeCell ref="Y103:Z103"/>
    <mergeCell ref="M103:N103"/>
    <mergeCell ref="O103:P103"/>
    <mergeCell ref="Q103:R103"/>
    <mergeCell ref="S103:T103"/>
    <mergeCell ref="U103:V103"/>
    <mergeCell ref="W105:X105"/>
    <mergeCell ref="Y105:Z105"/>
    <mergeCell ref="S104:T104"/>
    <mergeCell ref="E101:F101"/>
    <mergeCell ref="G101:H101"/>
    <mergeCell ref="E102:F102"/>
    <mergeCell ref="G102:H102"/>
    <mergeCell ref="M104:N104"/>
    <mergeCell ref="O104:P104"/>
    <mergeCell ref="E99:F99"/>
    <mergeCell ref="G99:H99"/>
    <mergeCell ref="E103:F103"/>
    <mergeCell ref="G103:H103"/>
    <mergeCell ref="E104:F104"/>
    <mergeCell ref="G104:H104"/>
    <mergeCell ref="I101:J101"/>
    <mergeCell ref="K101:L101"/>
    <mergeCell ref="I102:J102"/>
    <mergeCell ref="K102:L102"/>
    <mergeCell ref="I103:J103"/>
    <mergeCell ref="K103:L103"/>
    <mergeCell ref="E105:F105"/>
    <mergeCell ref="G105:H105"/>
    <mergeCell ref="K98:L98"/>
    <mergeCell ref="A85:B85"/>
    <mergeCell ref="A89:B89"/>
    <mergeCell ref="A79:A81"/>
    <mergeCell ref="B79:B81"/>
    <mergeCell ref="C79:D79"/>
    <mergeCell ref="E79:F79"/>
    <mergeCell ref="G79:H79"/>
    <mergeCell ref="C80:C81"/>
    <mergeCell ref="C93:D93"/>
    <mergeCell ref="D80:D81"/>
    <mergeCell ref="E80:F80"/>
    <mergeCell ref="A91:AB91"/>
    <mergeCell ref="B92:AB92"/>
    <mergeCell ref="W98:X98"/>
    <mergeCell ref="Y98:Z98"/>
    <mergeCell ref="AA98:AB98"/>
    <mergeCell ref="I98:J98"/>
    <mergeCell ref="Y99:Z99"/>
    <mergeCell ref="AA99:AB99"/>
    <mergeCell ref="I99:J99"/>
    <mergeCell ref="K99:L99"/>
    <mergeCell ref="G106:H106"/>
    <mergeCell ref="G107:H107"/>
    <mergeCell ref="B16:B18"/>
    <mergeCell ref="C17:C18"/>
    <mergeCell ref="A22:B22"/>
    <mergeCell ref="A26:B26"/>
    <mergeCell ref="A28:AB28"/>
    <mergeCell ref="B29:AB29"/>
    <mergeCell ref="E31:F31"/>
    <mergeCell ref="E32:F32"/>
    <mergeCell ref="W32:X32"/>
    <mergeCell ref="Y32:Z32"/>
    <mergeCell ref="AA32:AB32"/>
    <mergeCell ref="AA33:AB33"/>
    <mergeCell ref="G32:H32"/>
    <mergeCell ref="I32:J32"/>
    <mergeCell ref="M32:N32"/>
    <mergeCell ref="O32:P32"/>
    <mergeCell ref="Q32:R32"/>
    <mergeCell ref="S32:T32"/>
    <mergeCell ref="U32:V32"/>
    <mergeCell ref="O33:P33"/>
    <mergeCell ref="Q33:R33"/>
    <mergeCell ref="S33:T33"/>
    <mergeCell ref="C30:D30"/>
    <mergeCell ref="I31:J31"/>
    <mergeCell ref="K31:L31"/>
    <mergeCell ref="A32:B36"/>
    <mergeCell ref="K32:L32"/>
    <mergeCell ref="K33:L33"/>
    <mergeCell ref="M33:N33"/>
    <mergeCell ref="I34:J34"/>
    <mergeCell ref="K34:L34"/>
    <mergeCell ref="M34:N34"/>
    <mergeCell ref="E30:AB30"/>
    <mergeCell ref="Q31:R31"/>
    <mergeCell ref="S31:T31"/>
    <mergeCell ref="U31:V31"/>
    <mergeCell ref="W31:X31"/>
    <mergeCell ref="Y31:Z31"/>
    <mergeCell ref="AA31:AB31"/>
    <mergeCell ref="E34:F34"/>
    <mergeCell ref="G34:H34"/>
    <mergeCell ref="Y36:Z36"/>
    <mergeCell ref="W34:X34"/>
    <mergeCell ref="Y34:Z34"/>
    <mergeCell ref="W33:X33"/>
    <mergeCell ref="E35:F35"/>
    <mergeCell ref="G80:H80"/>
    <mergeCell ref="G31:H31"/>
    <mergeCell ref="E33:F33"/>
    <mergeCell ref="G33:H33"/>
    <mergeCell ref="I37:J37"/>
    <mergeCell ref="K37:L37"/>
    <mergeCell ref="M37:N37"/>
    <mergeCell ref="O37:P37"/>
    <mergeCell ref="Q37:R37"/>
    <mergeCell ref="M39:N39"/>
    <mergeCell ref="O39:P39"/>
    <mergeCell ref="M31:N31"/>
    <mergeCell ref="O31:P31"/>
    <mergeCell ref="G35:H35"/>
    <mergeCell ref="I35:J35"/>
    <mergeCell ref="K35:L35"/>
    <mergeCell ref="E36:F36"/>
    <mergeCell ref="G36:H36"/>
    <mergeCell ref="I36:J36"/>
    <mergeCell ref="K36:L36"/>
    <mergeCell ref="I62:J62"/>
    <mergeCell ref="K62:L62"/>
    <mergeCell ref="M62:N62"/>
    <mergeCell ref="O62:P62"/>
    <mergeCell ref="I33:J33"/>
    <mergeCell ref="I38:J38"/>
    <mergeCell ref="Y37:Z37"/>
    <mergeCell ref="C1:F1"/>
    <mergeCell ref="B5:D5"/>
    <mergeCell ref="A15:AB15"/>
    <mergeCell ref="A16:A18"/>
    <mergeCell ref="AA16:AB16"/>
    <mergeCell ref="AA17:AB17"/>
    <mergeCell ref="C16:D16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D17:D18"/>
    <mergeCell ref="E17:F17"/>
    <mergeCell ref="A30:B31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Y17:Z17"/>
    <mergeCell ref="U34:V34"/>
    <mergeCell ref="O35:P35"/>
    <mergeCell ref="Q35:R35"/>
    <mergeCell ref="S35:T35"/>
    <mergeCell ref="U35:V35"/>
    <mergeCell ref="W35:X35"/>
    <mergeCell ref="Y35:Z35"/>
    <mergeCell ref="U33:V33"/>
    <mergeCell ref="O34:P34"/>
    <mergeCell ref="Q34:R34"/>
    <mergeCell ref="S34:T34"/>
    <mergeCell ref="Y33:Z33"/>
    <mergeCell ref="AA35:AB35"/>
    <mergeCell ref="M35:N35"/>
    <mergeCell ref="M36:N36"/>
    <mergeCell ref="O36:P36"/>
    <mergeCell ref="Q36:R36"/>
    <mergeCell ref="S36:T36"/>
    <mergeCell ref="U36:V36"/>
    <mergeCell ref="W36:X36"/>
    <mergeCell ref="AA38:AB38"/>
    <mergeCell ref="AA36:AB36"/>
    <mergeCell ref="AA37:AB37"/>
    <mergeCell ref="U38:V38"/>
    <mergeCell ref="AA34:AB34"/>
    <mergeCell ref="Y100:Z100"/>
    <mergeCell ref="S95:T95"/>
    <mergeCell ref="U95:V95"/>
    <mergeCell ref="M98:N98"/>
    <mergeCell ref="O98:P98"/>
    <mergeCell ref="Q98:R98"/>
    <mergeCell ref="W99:X99"/>
    <mergeCell ref="U104:V104"/>
    <mergeCell ref="AA101:AB101"/>
    <mergeCell ref="M101:N101"/>
    <mergeCell ref="O101:P101"/>
    <mergeCell ref="Q101:R101"/>
    <mergeCell ref="S101:T101"/>
    <mergeCell ref="U101:V101"/>
    <mergeCell ref="W102:X102"/>
    <mergeCell ref="Y102:Z102"/>
    <mergeCell ref="AA102:AB102"/>
    <mergeCell ref="M102:N102"/>
    <mergeCell ref="O102:P102"/>
    <mergeCell ref="Q102:R102"/>
    <mergeCell ref="S102:T102"/>
    <mergeCell ref="U102:V102"/>
    <mergeCell ref="AA103:AB103"/>
    <mergeCell ref="W101:X101"/>
    <mergeCell ref="Y101:Z101"/>
    <mergeCell ref="AA104:AB104"/>
    <mergeCell ref="I104:J104"/>
    <mergeCell ref="K104:L104"/>
    <mergeCell ref="AA107:AB107"/>
    <mergeCell ref="E106:F106"/>
    <mergeCell ref="E107:F107"/>
    <mergeCell ref="I107:J107"/>
    <mergeCell ref="K107:L107"/>
    <mergeCell ref="M107:N107"/>
    <mergeCell ref="O107:P107"/>
    <mergeCell ref="Q107:R107"/>
    <mergeCell ref="AA105:AB105"/>
    <mergeCell ref="I105:J105"/>
    <mergeCell ref="K105:L105"/>
    <mergeCell ref="M105:N105"/>
    <mergeCell ref="O105:P105"/>
    <mergeCell ref="Q105:R105"/>
    <mergeCell ref="S105:T105"/>
    <mergeCell ref="U105:V105"/>
    <mergeCell ref="W106:X106"/>
    <mergeCell ref="Y106:Z106"/>
    <mergeCell ref="AA106:AB106"/>
    <mergeCell ref="I106:J106"/>
    <mergeCell ref="K106:L106"/>
    <mergeCell ref="A23:C23"/>
    <mergeCell ref="A24:C24"/>
    <mergeCell ref="A25:C25"/>
    <mergeCell ref="S107:T107"/>
    <mergeCell ref="U107:V107"/>
    <mergeCell ref="W107:X107"/>
    <mergeCell ref="Y107:Z107"/>
    <mergeCell ref="A95:B100"/>
    <mergeCell ref="A86:C86"/>
    <mergeCell ref="A87:C87"/>
    <mergeCell ref="A88:C88"/>
    <mergeCell ref="A54:C54"/>
    <mergeCell ref="A55:C55"/>
    <mergeCell ref="A56:C56"/>
    <mergeCell ref="W104:X104"/>
    <mergeCell ref="Y104:Z104"/>
    <mergeCell ref="M106:N106"/>
    <mergeCell ref="O106:P106"/>
    <mergeCell ref="Q106:R106"/>
    <mergeCell ref="S106:T106"/>
    <mergeCell ref="U106:V106"/>
    <mergeCell ref="Q104:R104"/>
  </mergeCells>
  <pageMargins left="0.7" right="0.7" top="0.75" bottom="0.75" header="0" footer="0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894"/>
  <sheetViews>
    <sheetView zoomScale="115" zoomScaleNormal="115" workbookViewId="0">
      <pane ySplit="1" topLeftCell="A2" activePane="bottomLeft" state="frozen"/>
      <selection pane="bottomLeft" activeCell="H23" sqref="H23"/>
    </sheetView>
  </sheetViews>
  <sheetFormatPr baseColWidth="10" defaultColWidth="12.625" defaultRowHeight="15" customHeight="1" x14ac:dyDescent="0.2"/>
  <cols>
    <col min="1" max="1" width="30.125" customWidth="1"/>
    <col min="2" max="2" width="31.25" customWidth="1"/>
    <col min="3" max="26" width="15.625" customWidth="1"/>
    <col min="27" max="27" width="17.25" customWidth="1"/>
  </cols>
  <sheetData>
    <row r="1" spans="1:26" ht="83.25" customHeight="1" x14ac:dyDescent="0.25">
      <c r="A1" s="158"/>
      <c r="B1" s="181"/>
      <c r="C1" s="182"/>
      <c r="D1" s="158"/>
      <c r="E1" s="182" t="s">
        <v>74</v>
      </c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thickBot="1" x14ac:dyDescent="0.3">
      <c r="A2" s="1"/>
      <c r="B2" s="20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516" t="s">
        <v>75</v>
      </c>
      <c r="B3" s="370"/>
      <c r="C3" s="370"/>
      <c r="D3" s="370"/>
      <c r="E3" s="37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39.75" customHeight="1" thickBot="1" x14ac:dyDescent="0.3">
      <c r="A4" s="517" t="s">
        <v>197</v>
      </c>
      <c r="B4" s="459"/>
      <c r="C4" s="459"/>
      <c r="D4" s="459"/>
      <c r="E4" s="460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20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" thickBot="1" x14ac:dyDescent="0.45">
      <c r="A6" s="516" t="s">
        <v>76</v>
      </c>
      <c r="B6" s="370"/>
      <c r="C6" s="371"/>
      <c r="D6" s="47"/>
      <c r="E6" s="47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48" t="s">
        <v>77</v>
      </c>
      <c r="B7" s="49">
        <v>52</v>
      </c>
      <c r="C7" s="50" t="s">
        <v>78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48" t="s">
        <v>79</v>
      </c>
      <c r="B8" s="49">
        <v>2</v>
      </c>
      <c r="C8" s="50" t="s">
        <v>78</v>
      </c>
      <c r="D8" s="1" t="s">
        <v>80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48" t="s">
        <v>81</v>
      </c>
      <c r="B9" s="49">
        <v>10</v>
      </c>
      <c r="C9" s="50" t="s">
        <v>82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48" t="s">
        <v>83</v>
      </c>
      <c r="B10" s="49">
        <f>(B7-B8)*5.5-B9</f>
        <v>265</v>
      </c>
      <c r="C10" s="50" t="s">
        <v>82</v>
      </c>
      <c r="D10" s="1" t="s">
        <v>84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48" t="s">
        <v>85</v>
      </c>
      <c r="B11" s="49">
        <v>8</v>
      </c>
      <c r="C11" s="50" t="s">
        <v>86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30.75" thickBot="1" x14ac:dyDescent="0.3">
      <c r="A12" s="51" t="s">
        <v>87</v>
      </c>
      <c r="B12" s="52">
        <f>B10*B11</f>
        <v>2120</v>
      </c>
      <c r="C12" s="53" t="s">
        <v>86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49.5" customHeight="1" thickBot="1" x14ac:dyDescent="0.3">
      <c r="A13" s="518" t="s">
        <v>88</v>
      </c>
      <c r="B13" s="54">
        <f>B12</f>
        <v>2120</v>
      </c>
      <c r="C13" s="55" t="s">
        <v>89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69" customHeight="1" thickBot="1" x14ac:dyDescent="0.3">
      <c r="A14" s="519"/>
      <c r="B14" s="56">
        <f>B13/12</f>
        <v>176.66666666666666</v>
      </c>
      <c r="C14" s="57" t="s">
        <v>90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58"/>
      <c r="B15" s="59"/>
      <c r="C15" s="60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3.75" customHeight="1" x14ac:dyDescent="0.25">
      <c r="A16" s="61"/>
      <c r="B16" s="62"/>
      <c r="C16" s="63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8" ht="14.25" customHeight="1" x14ac:dyDescent="0.25">
      <c r="A17" s="1"/>
      <c r="B17" s="20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8" ht="15.75" thickBot="1" x14ac:dyDescent="0.3">
      <c r="A18" s="1"/>
      <c r="B18" s="20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8" ht="32.25" customHeight="1" thickBot="1" x14ac:dyDescent="0.45">
      <c r="A19" s="515" t="s">
        <v>161</v>
      </c>
      <c r="B19" s="370"/>
      <c r="C19" s="370"/>
      <c r="D19" s="370"/>
      <c r="E19" s="37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520"/>
      <c r="AB19" s="520"/>
    </row>
    <row r="20" spans="1:28" ht="15.75" customHeight="1" x14ac:dyDescent="0.2">
      <c r="A20" s="505" t="s">
        <v>162</v>
      </c>
      <c r="B20" s="506"/>
      <c r="C20" s="509" t="s">
        <v>41</v>
      </c>
      <c r="D20" s="510"/>
      <c r="E20" s="511" t="s">
        <v>42</v>
      </c>
      <c r="F20" s="512"/>
      <c r="G20" s="513" t="s">
        <v>43</v>
      </c>
      <c r="H20" s="514"/>
      <c r="I20" s="513" t="s">
        <v>44</v>
      </c>
      <c r="J20" s="514"/>
      <c r="K20" s="513" t="s">
        <v>45</v>
      </c>
      <c r="L20" s="514"/>
      <c r="M20" s="513" t="s">
        <v>46</v>
      </c>
      <c r="N20" s="514"/>
      <c r="O20" s="513" t="s">
        <v>47</v>
      </c>
      <c r="P20" s="514"/>
      <c r="Q20" s="513" t="s">
        <v>48</v>
      </c>
      <c r="R20" s="514"/>
      <c r="S20" s="513" t="s">
        <v>49</v>
      </c>
      <c r="T20" s="514"/>
      <c r="U20" s="513" t="s">
        <v>50</v>
      </c>
      <c r="V20" s="514"/>
      <c r="W20" s="513" t="s">
        <v>51</v>
      </c>
      <c r="X20" s="514"/>
      <c r="Y20" s="513" t="s">
        <v>52</v>
      </c>
      <c r="Z20" s="514"/>
      <c r="AA20" s="520"/>
      <c r="AB20" s="520"/>
    </row>
    <row r="21" spans="1:28" ht="31.5" customHeight="1" thickBot="1" x14ac:dyDescent="0.25">
      <c r="A21" s="507"/>
      <c r="B21" s="508"/>
      <c r="C21" s="183" t="s">
        <v>160</v>
      </c>
      <c r="D21" s="184" t="s">
        <v>91</v>
      </c>
      <c r="E21" s="183" t="s">
        <v>160</v>
      </c>
      <c r="F21" s="184" t="s">
        <v>91</v>
      </c>
      <c r="G21" s="183" t="s">
        <v>160</v>
      </c>
      <c r="H21" s="184" t="s">
        <v>91</v>
      </c>
      <c r="I21" s="183" t="s">
        <v>160</v>
      </c>
      <c r="J21" s="184" t="s">
        <v>91</v>
      </c>
      <c r="K21" s="183" t="s">
        <v>160</v>
      </c>
      <c r="L21" s="184" t="s">
        <v>91</v>
      </c>
      <c r="M21" s="183" t="s">
        <v>160</v>
      </c>
      <c r="N21" s="184" t="s">
        <v>91</v>
      </c>
      <c r="O21" s="183" t="s">
        <v>160</v>
      </c>
      <c r="P21" s="184" t="s">
        <v>91</v>
      </c>
      <c r="Q21" s="183" t="s">
        <v>160</v>
      </c>
      <c r="R21" s="184" t="s">
        <v>91</v>
      </c>
      <c r="S21" s="183" t="s">
        <v>160</v>
      </c>
      <c r="T21" s="184" t="s">
        <v>91</v>
      </c>
      <c r="U21" s="183" t="s">
        <v>160</v>
      </c>
      <c r="V21" s="184" t="s">
        <v>91</v>
      </c>
      <c r="W21" s="183" t="s">
        <v>160</v>
      </c>
      <c r="X21" s="184" t="s">
        <v>91</v>
      </c>
      <c r="Y21" s="183" t="s">
        <v>160</v>
      </c>
      <c r="Z21" s="184" t="s">
        <v>91</v>
      </c>
      <c r="AA21" s="520"/>
      <c r="AB21" s="520"/>
    </row>
    <row r="22" spans="1:28" x14ac:dyDescent="0.25">
      <c r="A22" s="33">
        <v>1</v>
      </c>
      <c r="B22" s="34" t="s">
        <v>60</v>
      </c>
      <c r="C22" s="119">
        <v>1</v>
      </c>
      <c r="D22" s="119">
        <f>C22*$B$14</f>
        <v>176.66666666666666</v>
      </c>
      <c r="E22" s="119">
        <v>1</v>
      </c>
      <c r="F22" s="119">
        <f t="shared" ref="F22:Z22" si="0">E22*$B$14</f>
        <v>176.66666666666666</v>
      </c>
      <c r="G22" s="119">
        <v>1</v>
      </c>
      <c r="H22" s="119">
        <f t="shared" ref="H22:Z22" si="1">G22*$B$14</f>
        <v>176.66666666666666</v>
      </c>
      <c r="I22" s="119">
        <v>1</v>
      </c>
      <c r="J22" s="119">
        <f t="shared" ref="J22:Z22" si="2">I22*$B$14</f>
        <v>176.66666666666666</v>
      </c>
      <c r="K22" s="119">
        <v>1</v>
      </c>
      <c r="L22" s="119">
        <f t="shared" ref="L22:Z22" si="3">K22*$B$14</f>
        <v>176.66666666666666</v>
      </c>
      <c r="M22" s="119">
        <v>1</v>
      </c>
      <c r="N22" s="119">
        <f t="shared" ref="N22:Z22" si="4">M22*$B$14</f>
        <v>176.66666666666666</v>
      </c>
      <c r="O22" s="119">
        <v>1</v>
      </c>
      <c r="P22" s="119">
        <f t="shared" ref="P22:Z22" si="5">O22*$B$14</f>
        <v>176.66666666666666</v>
      </c>
      <c r="Q22" s="119">
        <v>1</v>
      </c>
      <c r="R22" s="119">
        <f t="shared" ref="R22:Z22" si="6">Q22*$B$14</f>
        <v>176.66666666666666</v>
      </c>
      <c r="S22" s="119">
        <v>1</v>
      </c>
      <c r="T22" s="119">
        <f t="shared" ref="T22:Z22" si="7">S22*$B$14</f>
        <v>176.66666666666666</v>
      </c>
      <c r="U22" s="119">
        <v>1</v>
      </c>
      <c r="V22" s="119">
        <f t="shared" ref="V22:Z22" si="8">U22*$B$14</f>
        <v>176.66666666666666</v>
      </c>
      <c r="W22" s="119">
        <v>1</v>
      </c>
      <c r="X22" s="119">
        <f t="shared" ref="X22:Z22" si="9">W22*$B$14</f>
        <v>176.66666666666666</v>
      </c>
      <c r="Y22" s="119">
        <v>1</v>
      </c>
      <c r="Z22" s="119">
        <f t="shared" ref="Z22" si="10">Y22*$B$14</f>
        <v>176.66666666666666</v>
      </c>
      <c r="AA22" s="520"/>
      <c r="AB22" s="520"/>
    </row>
    <row r="23" spans="1:28" x14ac:dyDescent="0.25">
      <c r="A23" s="35">
        <v>1</v>
      </c>
      <c r="B23" s="36" t="s">
        <v>194</v>
      </c>
      <c r="C23" s="119">
        <v>1</v>
      </c>
      <c r="D23" s="119">
        <f t="shared" ref="D23:F26" si="11">C23*$B$14</f>
        <v>176.66666666666666</v>
      </c>
      <c r="E23" s="119">
        <v>1</v>
      </c>
      <c r="F23" s="119">
        <f t="shared" ref="F23:Z23" si="12">E23*$B$14</f>
        <v>176.66666666666666</v>
      </c>
      <c r="G23" s="119">
        <v>1</v>
      </c>
      <c r="H23" s="119">
        <f t="shared" ref="H23:Z23" si="13">G23*$B$14</f>
        <v>176.66666666666666</v>
      </c>
      <c r="I23" s="119">
        <v>1</v>
      </c>
      <c r="J23" s="119">
        <f t="shared" ref="J23:Z23" si="14">I23*$B$14</f>
        <v>176.66666666666666</v>
      </c>
      <c r="K23" s="119">
        <v>1</v>
      </c>
      <c r="L23" s="119">
        <f t="shared" ref="L23:Z23" si="15">K23*$B$14</f>
        <v>176.66666666666666</v>
      </c>
      <c r="M23" s="119">
        <v>1</v>
      </c>
      <c r="N23" s="119">
        <f t="shared" ref="N23:Z23" si="16">M23*$B$14</f>
        <v>176.66666666666666</v>
      </c>
      <c r="O23" s="119">
        <v>1</v>
      </c>
      <c r="P23" s="119">
        <f t="shared" ref="P23:Z23" si="17">O23*$B$14</f>
        <v>176.66666666666666</v>
      </c>
      <c r="Q23" s="119">
        <v>1</v>
      </c>
      <c r="R23" s="119">
        <f t="shared" ref="R23:Z23" si="18">Q23*$B$14</f>
        <v>176.66666666666666</v>
      </c>
      <c r="S23" s="119">
        <v>1</v>
      </c>
      <c r="T23" s="119">
        <f t="shared" ref="T23:Z23" si="19">S23*$B$14</f>
        <v>176.66666666666666</v>
      </c>
      <c r="U23" s="119">
        <v>1</v>
      </c>
      <c r="V23" s="119">
        <f t="shared" ref="V23:Z23" si="20">U23*$B$14</f>
        <v>176.66666666666666</v>
      </c>
      <c r="W23" s="119">
        <v>1</v>
      </c>
      <c r="X23" s="119">
        <f t="shared" ref="X23:Z23" si="21">W23*$B$14</f>
        <v>176.66666666666666</v>
      </c>
      <c r="Y23" s="119">
        <v>1</v>
      </c>
      <c r="Z23" s="119">
        <f t="shared" ref="Z23" si="22">Y23*$B$14</f>
        <v>176.66666666666666</v>
      </c>
      <c r="AA23" s="520"/>
      <c r="AB23" s="520"/>
    </row>
    <row r="24" spans="1:28" x14ac:dyDescent="0.25">
      <c r="A24" s="35">
        <v>1</v>
      </c>
      <c r="B24" s="36" t="s">
        <v>62</v>
      </c>
      <c r="C24" s="119">
        <v>1</v>
      </c>
      <c r="D24" s="119">
        <f t="shared" si="11"/>
        <v>176.66666666666666</v>
      </c>
      <c r="E24" s="119">
        <v>1</v>
      </c>
      <c r="F24" s="119">
        <f t="shared" ref="F24:Z24" si="23">E24*$B$14</f>
        <v>176.66666666666666</v>
      </c>
      <c r="G24" s="119">
        <v>1</v>
      </c>
      <c r="H24" s="119">
        <f t="shared" ref="H24:Z24" si="24">G24*$B$14</f>
        <v>176.66666666666666</v>
      </c>
      <c r="I24" s="119">
        <v>1</v>
      </c>
      <c r="J24" s="119">
        <f t="shared" ref="J24:Z24" si="25">I24*$B$14</f>
        <v>176.66666666666666</v>
      </c>
      <c r="K24" s="119">
        <v>1</v>
      </c>
      <c r="L24" s="119">
        <f t="shared" ref="L24:Z24" si="26">K24*$B$14</f>
        <v>176.66666666666666</v>
      </c>
      <c r="M24" s="119">
        <v>1</v>
      </c>
      <c r="N24" s="119">
        <f t="shared" ref="N24:Z24" si="27">M24*$B$14</f>
        <v>176.66666666666666</v>
      </c>
      <c r="O24" s="119">
        <v>1</v>
      </c>
      <c r="P24" s="119">
        <f t="shared" ref="P24:Z24" si="28">O24*$B$14</f>
        <v>176.66666666666666</v>
      </c>
      <c r="Q24" s="119">
        <v>1</v>
      </c>
      <c r="R24" s="119">
        <f t="shared" ref="R24:Z24" si="29">Q24*$B$14</f>
        <v>176.66666666666666</v>
      </c>
      <c r="S24" s="119">
        <v>1</v>
      </c>
      <c r="T24" s="119">
        <f t="shared" ref="T24:Z24" si="30">S24*$B$14</f>
        <v>176.66666666666666</v>
      </c>
      <c r="U24" s="119">
        <v>1</v>
      </c>
      <c r="V24" s="119">
        <f t="shared" ref="V24:Z24" si="31">U24*$B$14</f>
        <v>176.66666666666666</v>
      </c>
      <c r="W24" s="119">
        <v>1</v>
      </c>
      <c r="X24" s="119">
        <f t="shared" ref="X24:Z24" si="32">W24*$B$14</f>
        <v>176.66666666666666</v>
      </c>
      <c r="Y24" s="119">
        <v>1</v>
      </c>
      <c r="Z24" s="119">
        <f t="shared" ref="Z24" si="33">Y24*$B$14</f>
        <v>176.66666666666666</v>
      </c>
      <c r="AA24" s="520"/>
      <c r="AB24" s="520"/>
    </row>
    <row r="25" spans="1:28" x14ac:dyDescent="0.25">
      <c r="A25" s="35">
        <v>1</v>
      </c>
      <c r="B25" s="36" t="s">
        <v>195</v>
      </c>
      <c r="C25" s="119">
        <v>1</v>
      </c>
      <c r="D25" s="119">
        <f t="shared" si="11"/>
        <v>176.66666666666666</v>
      </c>
      <c r="E25" s="119">
        <v>1</v>
      </c>
      <c r="F25" s="119">
        <f t="shared" ref="F25:Z25" si="34">E25*$B$14</f>
        <v>176.66666666666666</v>
      </c>
      <c r="G25" s="119">
        <v>1</v>
      </c>
      <c r="H25" s="119">
        <f t="shared" ref="H25:Z25" si="35">G25*$B$14</f>
        <v>176.66666666666666</v>
      </c>
      <c r="I25" s="119">
        <v>1</v>
      </c>
      <c r="J25" s="119">
        <f t="shared" ref="J25:Z25" si="36">I25*$B$14</f>
        <v>176.66666666666666</v>
      </c>
      <c r="K25" s="119">
        <v>1</v>
      </c>
      <c r="L25" s="119">
        <f t="shared" ref="L25:Z25" si="37">K25*$B$14</f>
        <v>176.66666666666666</v>
      </c>
      <c r="M25" s="119">
        <v>1</v>
      </c>
      <c r="N25" s="119">
        <f t="shared" ref="N25:Z25" si="38">M25*$B$14</f>
        <v>176.66666666666666</v>
      </c>
      <c r="O25" s="119">
        <v>1</v>
      </c>
      <c r="P25" s="119">
        <f t="shared" ref="P25:Z25" si="39">O25*$B$14</f>
        <v>176.66666666666666</v>
      </c>
      <c r="Q25" s="119">
        <v>1</v>
      </c>
      <c r="R25" s="119">
        <f t="shared" ref="R25:Z25" si="40">Q25*$B$14</f>
        <v>176.66666666666666</v>
      </c>
      <c r="S25" s="119">
        <v>1</v>
      </c>
      <c r="T25" s="119">
        <f t="shared" ref="T25:Z25" si="41">S25*$B$14</f>
        <v>176.66666666666666</v>
      </c>
      <c r="U25" s="119">
        <v>1</v>
      </c>
      <c r="V25" s="119">
        <f t="shared" ref="V25:Z25" si="42">U25*$B$14</f>
        <v>176.66666666666666</v>
      </c>
      <c r="W25" s="119">
        <v>1</v>
      </c>
      <c r="X25" s="119">
        <f t="shared" ref="X25:Z25" si="43">W25*$B$14</f>
        <v>176.66666666666666</v>
      </c>
      <c r="Y25" s="119">
        <v>1</v>
      </c>
      <c r="Z25" s="119">
        <f t="shared" ref="Z25" si="44">Y25*$B$14</f>
        <v>176.66666666666666</v>
      </c>
      <c r="AA25" s="520"/>
      <c r="AB25" s="520"/>
    </row>
    <row r="26" spans="1:28" x14ac:dyDescent="0.25">
      <c r="A26" s="35">
        <v>1</v>
      </c>
      <c r="B26" s="36" t="s">
        <v>236</v>
      </c>
      <c r="C26" s="119">
        <v>1</v>
      </c>
      <c r="D26" s="119">
        <f t="shared" si="11"/>
        <v>176.66666666666666</v>
      </c>
      <c r="E26" s="119">
        <v>1</v>
      </c>
      <c r="F26" s="119">
        <f t="shared" ref="F26:Z26" si="45">E26*$B$14</f>
        <v>176.66666666666666</v>
      </c>
      <c r="G26" s="119">
        <v>1</v>
      </c>
      <c r="H26" s="119">
        <f t="shared" ref="H26:Z26" si="46">G26*$B$14</f>
        <v>176.66666666666666</v>
      </c>
      <c r="I26" s="119">
        <v>1</v>
      </c>
      <c r="J26" s="119">
        <f t="shared" ref="J26:Z26" si="47">I26*$B$14</f>
        <v>176.66666666666666</v>
      </c>
      <c r="K26" s="119">
        <v>1</v>
      </c>
      <c r="L26" s="119">
        <f t="shared" ref="L26:Z26" si="48">K26*$B$14</f>
        <v>176.66666666666666</v>
      </c>
      <c r="M26" s="119">
        <v>1</v>
      </c>
      <c r="N26" s="119">
        <f t="shared" ref="N26:Z26" si="49">M26*$B$14</f>
        <v>176.66666666666666</v>
      </c>
      <c r="O26" s="119">
        <v>1</v>
      </c>
      <c r="P26" s="119">
        <f t="shared" ref="P26:Z26" si="50">O26*$B$14</f>
        <v>176.66666666666666</v>
      </c>
      <c r="Q26" s="119">
        <v>1</v>
      </c>
      <c r="R26" s="119">
        <f t="shared" ref="R26:Z26" si="51">Q26*$B$14</f>
        <v>176.66666666666666</v>
      </c>
      <c r="S26" s="119">
        <v>1</v>
      </c>
      <c r="T26" s="119">
        <f t="shared" ref="T26:Z26" si="52">S26*$B$14</f>
        <v>176.66666666666666</v>
      </c>
      <c r="U26" s="119">
        <v>1</v>
      </c>
      <c r="V26" s="119">
        <f t="shared" ref="V26:Z26" si="53">U26*$B$14</f>
        <v>176.66666666666666</v>
      </c>
      <c r="W26" s="119">
        <v>1</v>
      </c>
      <c r="X26" s="119">
        <f t="shared" ref="X26:Z26" si="54">W26*$B$14</f>
        <v>176.66666666666666</v>
      </c>
      <c r="Y26" s="119">
        <v>1</v>
      </c>
      <c r="Z26" s="119">
        <f t="shared" ref="Z26" si="55">Y26*$B$14</f>
        <v>176.66666666666666</v>
      </c>
      <c r="AA26" s="520"/>
      <c r="AB26" s="520"/>
    </row>
    <row r="27" spans="1:28" ht="9.75" customHeight="1" x14ac:dyDescent="0.2"/>
    <row r="28" spans="1:28" ht="9" customHeight="1" thickBot="1" x14ac:dyDescent="0.25"/>
    <row r="29" spans="1:28" ht="27" thickBot="1" x14ac:dyDescent="0.45">
      <c r="A29" s="515" t="s">
        <v>161</v>
      </c>
      <c r="B29" s="370"/>
      <c r="C29" s="370"/>
      <c r="D29" s="370"/>
      <c r="E29" s="37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8" ht="12.75" customHeight="1" x14ac:dyDescent="0.2">
      <c r="A30" s="505" t="s">
        <v>163</v>
      </c>
      <c r="B30" s="506"/>
      <c r="C30" s="509" t="s">
        <v>41</v>
      </c>
      <c r="D30" s="510"/>
      <c r="E30" s="511" t="s">
        <v>42</v>
      </c>
      <c r="F30" s="512"/>
      <c r="G30" s="513" t="s">
        <v>43</v>
      </c>
      <c r="H30" s="514"/>
      <c r="I30" s="513" t="s">
        <v>44</v>
      </c>
      <c r="J30" s="514"/>
      <c r="K30" s="513" t="s">
        <v>45</v>
      </c>
      <c r="L30" s="514"/>
      <c r="M30" s="513" t="s">
        <v>46</v>
      </c>
      <c r="N30" s="514"/>
      <c r="O30" s="513" t="s">
        <v>47</v>
      </c>
      <c r="P30" s="514"/>
      <c r="Q30" s="513" t="s">
        <v>48</v>
      </c>
      <c r="R30" s="514"/>
      <c r="S30" s="513" t="s">
        <v>49</v>
      </c>
      <c r="T30" s="514"/>
      <c r="U30" s="513" t="s">
        <v>50</v>
      </c>
      <c r="V30" s="514"/>
      <c r="W30" s="513" t="s">
        <v>51</v>
      </c>
      <c r="X30" s="514"/>
      <c r="Y30" s="513" t="s">
        <v>52</v>
      </c>
      <c r="Z30" s="514"/>
    </row>
    <row r="31" spans="1:28" ht="30.75" thickBot="1" x14ac:dyDescent="0.25">
      <c r="A31" s="507"/>
      <c r="B31" s="508"/>
      <c r="C31" s="183" t="s">
        <v>160</v>
      </c>
      <c r="D31" s="184" t="s">
        <v>91</v>
      </c>
      <c r="E31" s="183" t="s">
        <v>160</v>
      </c>
      <c r="F31" s="184" t="s">
        <v>91</v>
      </c>
      <c r="G31" s="183" t="s">
        <v>160</v>
      </c>
      <c r="H31" s="184" t="s">
        <v>91</v>
      </c>
      <c r="I31" s="183" t="s">
        <v>160</v>
      </c>
      <c r="J31" s="184" t="s">
        <v>91</v>
      </c>
      <c r="K31" s="183" t="s">
        <v>160</v>
      </c>
      <c r="L31" s="184" t="s">
        <v>91</v>
      </c>
      <c r="M31" s="183" t="s">
        <v>160</v>
      </c>
      <c r="N31" s="184" t="s">
        <v>91</v>
      </c>
      <c r="O31" s="183" t="s">
        <v>160</v>
      </c>
      <c r="P31" s="184" t="s">
        <v>91</v>
      </c>
      <c r="Q31" s="183" t="s">
        <v>160</v>
      </c>
      <c r="R31" s="184" t="s">
        <v>91</v>
      </c>
      <c r="S31" s="183" t="s">
        <v>160</v>
      </c>
      <c r="T31" s="184" t="s">
        <v>91</v>
      </c>
      <c r="U31" s="183" t="s">
        <v>160</v>
      </c>
      <c r="V31" s="184" t="s">
        <v>91</v>
      </c>
      <c r="W31" s="183" t="s">
        <v>160</v>
      </c>
      <c r="X31" s="184" t="s">
        <v>91</v>
      </c>
      <c r="Y31" s="183" t="s">
        <v>160</v>
      </c>
      <c r="Z31" s="184" t="s">
        <v>91</v>
      </c>
    </row>
    <row r="32" spans="1:28" ht="15.75" customHeight="1" x14ac:dyDescent="0.25">
      <c r="A32" s="33">
        <v>1</v>
      </c>
      <c r="B32" s="34" t="s">
        <v>60</v>
      </c>
      <c r="C32" s="119">
        <v>1</v>
      </c>
      <c r="D32" s="119">
        <f>$B$14*C32</f>
        <v>176.66666666666666</v>
      </c>
      <c r="E32" s="119">
        <v>1</v>
      </c>
      <c r="F32" s="119">
        <f>$B$14*E32</f>
        <v>176.66666666666666</v>
      </c>
      <c r="G32" s="119">
        <v>1</v>
      </c>
      <c r="H32" s="119">
        <f>$B$14*G32</f>
        <v>176.66666666666666</v>
      </c>
      <c r="I32" s="119">
        <v>1</v>
      </c>
      <c r="J32" s="119">
        <f t="shared" ref="J32:Z32" si="56">$B$14*I32</f>
        <v>176.66666666666666</v>
      </c>
      <c r="K32" s="119">
        <v>1</v>
      </c>
      <c r="L32" s="119">
        <f t="shared" ref="L32:Z32" si="57">$B$14*K32</f>
        <v>176.66666666666666</v>
      </c>
      <c r="M32" s="119">
        <v>1</v>
      </c>
      <c r="N32" s="119">
        <f t="shared" ref="N32:Z32" si="58">$B$14*M32</f>
        <v>176.66666666666666</v>
      </c>
      <c r="O32" s="119">
        <v>1</v>
      </c>
      <c r="P32" s="119">
        <f t="shared" ref="P32:Z32" si="59">$B$14*O32</f>
        <v>176.66666666666666</v>
      </c>
      <c r="Q32" s="119">
        <v>1</v>
      </c>
      <c r="R32" s="119">
        <f t="shared" ref="R32:Z32" si="60">$B$14*Q32</f>
        <v>176.66666666666666</v>
      </c>
      <c r="S32" s="119">
        <v>1</v>
      </c>
      <c r="T32" s="119">
        <f t="shared" ref="T32:Z32" si="61">$B$14*S32</f>
        <v>176.66666666666666</v>
      </c>
      <c r="U32" s="119">
        <v>1</v>
      </c>
      <c r="V32" s="119">
        <f t="shared" ref="V32:Z32" si="62">$B$14*U32</f>
        <v>176.66666666666666</v>
      </c>
      <c r="W32" s="119">
        <v>1</v>
      </c>
      <c r="X32" s="119">
        <f t="shared" ref="X32:Z32" si="63">$B$14*W32</f>
        <v>176.66666666666666</v>
      </c>
      <c r="Y32" s="119">
        <v>1</v>
      </c>
      <c r="Z32" s="119">
        <f t="shared" ref="Z32:Z37" si="64">$B$14*Y32</f>
        <v>176.66666666666666</v>
      </c>
    </row>
    <row r="33" spans="1:26" ht="15.75" customHeight="1" x14ac:dyDescent="0.25">
      <c r="A33" s="35">
        <v>1</v>
      </c>
      <c r="B33" s="36" t="s">
        <v>194</v>
      </c>
      <c r="C33" s="119">
        <v>1</v>
      </c>
      <c r="D33" s="119">
        <f>$B$14*C33</f>
        <v>176.66666666666666</v>
      </c>
      <c r="E33" s="119">
        <v>1</v>
      </c>
      <c r="F33" s="119">
        <f>$B$14*E33</f>
        <v>176.66666666666666</v>
      </c>
      <c r="G33" s="119">
        <v>1</v>
      </c>
      <c r="H33" s="119">
        <f>$B$14*G33</f>
        <v>176.66666666666666</v>
      </c>
      <c r="I33" s="119">
        <v>1</v>
      </c>
      <c r="J33" s="119">
        <f t="shared" ref="J33:Z33" si="65">$B$14*I33</f>
        <v>176.66666666666666</v>
      </c>
      <c r="K33" s="119">
        <v>1</v>
      </c>
      <c r="L33" s="119">
        <f t="shared" ref="L33:Z33" si="66">$B$14*K33</f>
        <v>176.66666666666666</v>
      </c>
      <c r="M33" s="119">
        <v>1</v>
      </c>
      <c r="N33" s="119">
        <f t="shared" ref="N33:Z33" si="67">$B$14*M33</f>
        <v>176.66666666666666</v>
      </c>
      <c r="O33" s="119">
        <v>1</v>
      </c>
      <c r="P33" s="119">
        <f t="shared" ref="P33:Z33" si="68">$B$14*O33</f>
        <v>176.66666666666666</v>
      </c>
      <c r="Q33" s="119">
        <v>1</v>
      </c>
      <c r="R33" s="119">
        <f t="shared" ref="R33:Z33" si="69">$B$14*Q33</f>
        <v>176.66666666666666</v>
      </c>
      <c r="S33" s="119">
        <v>1</v>
      </c>
      <c r="T33" s="119">
        <f t="shared" ref="T33:Z33" si="70">$B$14*S33</f>
        <v>176.66666666666666</v>
      </c>
      <c r="U33" s="119">
        <v>1</v>
      </c>
      <c r="V33" s="119">
        <f t="shared" ref="V33:Z33" si="71">$B$14*U33</f>
        <v>176.66666666666666</v>
      </c>
      <c r="W33" s="119">
        <v>1</v>
      </c>
      <c r="X33" s="119">
        <f t="shared" ref="X33:Z33" si="72">$B$14*W33</f>
        <v>176.66666666666666</v>
      </c>
      <c r="Y33" s="119">
        <v>1</v>
      </c>
      <c r="Z33" s="119">
        <f t="shared" si="64"/>
        <v>176.66666666666666</v>
      </c>
    </row>
    <row r="34" spans="1:26" ht="14.25" customHeight="1" x14ac:dyDescent="0.25">
      <c r="A34" s="35">
        <v>1</v>
      </c>
      <c r="B34" s="36" t="s">
        <v>62</v>
      </c>
      <c r="C34" s="119">
        <v>1</v>
      </c>
      <c r="D34" s="119">
        <f>$B$14*C34</f>
        <v>176.66666666666666</v>
      </c>
      <c r="E34" s="119">
        <v>1</v>
      </c>
      <c r="F34" s="119">
        <f>$B$14*E34</f>
        <v>176.66666666666666</v>
      </c>
      <c r="G34" s="119">
        <v>1</v>
      </c>
      <c r="H34" s="119">
        <f>$B$14*G34</f>
        <v>176.66666666666666</v>
      </c>
      <c r="I34" s="119">
        <v>1</v>
      </c>
      <c r="J34" s="119">
        <f t="shared" ref="J34:Z34" si="73">$B$14*I34</f>
        <v>176.66666666666666</v>
      </c>
      <c r="K34" s="119">
        <v>1</v>
      </c>
      <c r="L34" s="119">
        <f t="shared" ref="L34:Z34" si="74">$B$14*K34</f>
        <v>176.66666666666666</v>
      </c>
      <c r="M34" s="119">
        <v>1</v>
      </c>
      <c r="N34" s="119">
        <f t="shared" ref="N34:Z34" si="75">$B$14*M34</f>
        <v>176.66666666666666</v>
      </c>
      <c r="O34" s="119">
        <v>1</v>
      </c>
      <c r="P34" s="119">
        <f t="shared" ref="P34:Z34" si="76">$B$14*O34</f>
        <v>176.66666666666666</v>
      </c>
      <c r="Q34" s="119">
        <v>1</v>
      </c>
      <c r="R34" s="119">
        <f t="shared" ref="R34:Z34" si="77">$B$14*Q34</f>
        <v>176.66666666666666</v>
      </c>
      <c r="S34" s="119">
        <v>1</v>
      </c>
      <c r="T34" s="119">
        <f t="shared" ref="T34:Z34" si="78">$B$14*S34</f>
        <v>176.66666666666666</v>
      </c>
      <c r="U34" s="119">
        <v>1</v>
      </c>
      <c r="V34" s="119">
        <f t="shared" ref="V34:Z34" si="79">$B$14*U34</f>
        <v>176.66666666666666</v>
      </c>
      <c r="W34" s="119">
        <v>1</v>
      </c>
      <c r="X34" s="119">
        <f t="shared" ref="X34:Z34" si="80">$B$14*W34</f>
        <v>176.66666666666666</v>
      </c>
      <c r="Y34" s="119">
        <v>1</v>
      </c>
      <c r="Z34" s="119">
        <f t="shared" si="64"/>
        <v>176.66666666666666</v>
      </c>
    </row>
    <row r="35" spans="1:26" ht="15.75" customHeight="1" x14ac:dyDescent="0.25">
      <c r="A35" s="35">
        <v>1</v>
      </c>
      <c r="B35" s="36" t="s">
        <v>195</v>
      </c>
      <c r="C35" s="119">
        <v>1</v>
      </c>
      <c r="D35" s="119">
        <f>$B$14*C35</f>
        <v>176.66666666666666</v>
      </c>
      <c r="E35" s="119">
        <v>1</v>
      </c>
      <c r="F35" s="119">
        <f>$B$14*E35</f>
        <v>176.66666666666666</v>
      </c>
      <c r="G35" s="119">
        <v>1</v>
      </c>
      <c r="H35" s="119">
        <f>$B$14*G35</f>
        <v>176.66666666666666</v>
      </c>
      <c r="I35" s="119">
        <v>1</v>
      </c>
      <c r="J35" s="119">
        <f t="shared" ref="J35:Z35" si="81">$B$14*I35</f>
        <v>176.66666666666666</v>
      </c>
      <c r="K35" s="119">
        <v>1</v>
      </c>
      <c r="L35" s="119">
        <f t="shared" ref="L35:Z35" si="82">$B$14*K35</f>
        <v>176.66666666666666</v>
      </c>
      <c r="M35" s="119">
        <v>1</v>
      </c>
      <c r="N35" s="119">
        <f t="shared" ref="N35:Z35" si="83">$B$14*M35</f>
        <v>176.66666666666666</v>
      </c>
      <c r="O35" s="119">
        <v>1</v>
      </c>
      <c r="P35" s="119">
        <f t="shared" ref="P35:Z35" si="84">$B$14*O35</f>
        <v>176.66666666666666</v>
      </c>
      <c r="Q35" s="119">
        <v>1</v>
      </c>
      <c r="R35" s="119">
        <f t="shared" ref="R35:Z35" si="85">$B$14*Q35</f>
        <v>176.66666666666666</v>
      </c>
      <c r="S35" s="119">
        <v>1</v>
      </c>
      <c r="T35" s="119">
        <f t="shared" ref="T35:Z35" si="86">$B$14*S35</f>
        <v>176.66666666666666</v>
      </c>
      <c r="U35" s="119">
        <v>1</v>
      </c>
      <c r="V35" s="119">
        <f t="shared" ref="V35:Z35" si="87">$B$14*U35</f>
        <v>176.66666666666666</v>
      </c>
      <c r="W35" s="119">
        <v>1</v>
      </c>
      <c r="X35" s="119">
        <f t="shared" ref="X35:Z35" si="88">$B$14*W35</f>
        <v>176.66666666666666</v>
      </c>
      <c r="Y35" s="119">
        <v>1</v>
      </c>
      <c r="Z35" s="119">
        <f t="shared" si="64"/>
        <v>176.66666666666666</v>
      </c>
    </row>
    <row r="36" spans="1:26" ht="15.75" customHeight="1" x14ac:dyDescent="0.25">
      <c r="A36" s="35">
        <v>1</v>
      </c>
      <c r="B36" s="36" t="s">
        <v>196</v>
      </c>
      <c r="C36" s="119">
        <v>1</v>
      </c>
      <c r="D36" s="119">
        <f>$B$14*C36</f>
        <v>176.66666666666666</v>
      </c>
      <c r="E36" s="119">
        <v>1</v>
      </c>
      <c r="F36" s="119">
        <f>$B$14*E36</f>
        <v>176.66666666666666</v>
      </c>
      <c r="G36" s="119">
        <v>1</v>
      </c>
      <c r="H36" s="119">
        <f>$B$14*G36</f>
        <v>176.66666666666666</v>
      </c>
      <c r="I36" s="119">
        <v>1</v>
      </c>
      <c r="J36" s="119">
        <f t="shared" ref="J36:Z36" si="89">$B$14*I36</f>
        <v>176.66666666666666</v>
      </c>
      <c r="K36" s="119">
        <v>1</v>
      </c>
      <c r="L36" s="119">
        <f t="shared" ref="L36:Z36" si="90">$B$14*K36</f>
        <v>176.66666666666666</v>
      </c>
      <c r="M36" s="119">
        <v>1</v>
      </c>
      <c r="N36" s="119">
        <f t="shared" ref="N36:Z37" si="91">$B$14*M36</f>
        <v>176.66666666666666</v>
      </c>
      <c r="O36" s="119">
        <v>1</v>
      </c>
      <c r="P36" s="119">
        <f t="shared" ref="P36:Z37" si="92">$B$14*O36</f>
        <v>176.66666666666666</v>
      </c>
      <c r="Q36" s="119">
        <v>1</v>
      </c>
      <c r="R36" s="119">
        <f t="shared" ref="R36:Z37" si="93">$B$14*Q36</f>
        <v>176.66666666666666</v>
      </c>
      <c r="S36" s="119">
        <v>1</v>
      </c>
      <c r="T36" s="119">
        <f t="shared" ref="T36:Z37" si="94">$B$14*S36</f>
        <v>176.66666666666666</v>
      </c>
      <c r="U36" s="119">
        <v>1</v>
      </c>
      <c r="V36" s="119">
        <f t="shared" ref="V36:Z37" si="95">$B$14*U36</f>
        <v>176.66666666666666</v>
      </c>
      <c r="W36" s="119">
        <v>1</v>
      </c>
      <c r="X36" s="119">
        <f t="shared" ref="X36:Z37" si="96">$B$14*W36</f>
        <v>176.66666666666666</v>
      </c>
      <c r="Y36" s="119">
        <v>1</v>
      </c>
      <c r="Z36" s="119">
        <f t="shared" si="64"/>
        <v>176.66666666666666</v>
      </c>
    </row>
    <row r="37" spans="1:26" ht="15.75" customHeight="1" x14ac:dyDescent="0.25">
      <c r="A37" s="117">
        <v>1</v>
      </c>
      <c r="B37" s="194" t="s">
        <v>240</v>
      </c>
      <c r="C37" s="119">
        <v>0</v>
      </c>
      <c r="D37" s="118">
        <v>0</v>
      </c>
      <c r="E37" s="119">
        <v>0</v>
      </c>
      <c r="F37" s="118">
        <v>0</v>
      </c>
      <c r="G37" s="119">
        <v>0</v>
      </c>
      <c r="H37" s="118">
        <v>0</v>
      </c>
      <c r="I37" s="119">
        <v>0</v>
      </c>
      <c r="J37" s="118">
        <v>0</v>
      </c>
      <c r="K37" s="119">
        <v>0</v>
      </c>
      <c r="L37" s="118">
        <v>0</v>
      </c>
      <c r="M37" s="121">
        <v>1</v>
      </c>
      <c r="N37" s="121">
        <f t="shared" si="91"/>
        <v>176.66666666666666</v>
      </c>
      <c r="O37" s="121">
        <v>1</v>
      </c>
      <c r="P37" s="121">
        <f t="shared" si="92"/>
        <v>176.66666666666666</v>
      </c>
      <c r="Q37" s="121">
        <v>1</v>
      </c>
      <c r="R37" s="121">
        <f t="shared" si="93"/>
        <v>176.66666666666666</v>
      </c>
      <c r="S37" s="121">
        <v>1</v>
      </c>
      <c r="T37" s="121">
        <f t="shared" si="94"/>
        <v>176.66666666666666</v>
      </c>
      <c r="U37" s="121">
        <v>1</v>
      </c>
      <c r="V37" s="121">
        <f t="shared" si="95"/>
        <v>176.66666666666666</v>
      </c>
      <c r="W37" s="121">
        <v>1</v>
      </c>
      <c r="X37" s="121">
        <f t="shared" si="96"/>
        <v>176.66666666666666</v>
      </c>
      <c r="Y37" s="121">
        <v>1</v>
      </c>
      <c r="Z37" s="121">
        <f t="shared" si="64"/>
        <v>176.66666666666666</v>
      </c>
    </row>
    <row r="38" spans="1:26" x14ac:dyDescent="0.25">
      <c r="A38" s="195"/>
      <c r="B38" s="196"/>
    </row>
    <row r="39" spans="1:26" ht="15.75" thickBot="1" x14ac:dyDescent="0.3">
      <c r="A39" s="195"/>
      <c r="B39" s="196"/>
    </row>
    <row r="40" spans="1:26" ht="27" thickBot="1" x14ac:dyDescent="0.45">
      <c r="A40" s="515" t="s">
        <v>161</v>
      </c>
      <c r="B40" s="370"/>
      <c r="C40" s="370"/>
      <c r="D40" s="370"/>
      <c r="E40" s="37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" customHeight="1" x14ac:dyDescent="0.2">
      <c r="A41" s="505" t="s">
        <v>201</v>
      </c>
      <c r="B41" s="506"/>
      <c r="C41" s="509" t="s">
        <v>41</v>
      </c>
      <c r="D41" s="510"/>
      <c r="E41" s="511" t="s">
        <v>42</v>
      </c>
      <c r="F41" s="512"/>
      <c r="G41" s="513" t="s">
        <v>43</v>
      </c>
      <c r="H41" s="514"/>
      <c r="I41" s="513" t="s">
        <v>44</v>
      </c>
      <c r="J41" s="514"/>
      <c r="K41" s="513" t="s">
        <v>45</v>
      </c>
      <c r="L41" s="514"/>
      <c r="M41" s="513" t="s">
        <v>46</v>
      </c>
      <c r="N41" s="514"/>
      <c r="O41" s="513" t="s">
        <v>47</v>
      </c>
      <c r="P41" s="514"/>
      <c r="Q41" s="513" t="s">
        <v>48</v>
      </c>
      <c r="R41" s="514"/>
      <c r="S41" s="513" t="s">
        <v>49</v>
      </c>
      <c r="T41" s="514"/>
      <c r="U41" s="513" t="s">
        <v>50</v>
      </c>
      <c r="V41" s="514"/>
      <c r="W41" s="513" t="s">
        <v>51</v>
      </c>
      <c r="X41" s="514"/>
      <c r="Y41" s="513" t="s">
        <v>52</v>
      </c>
      <c r="Z41" s="514"/>
    </row>
    <row r="42" spans="1:26" ht="30.75" thickBot="1" x14ac:dyDescent="0.25">
      <c r="A42" s="507"/>
      <c r="B42" s="508"/>
      <c r="C42" s="183" t="s">
        <v>160</v>
      </c>
      <c r="D42" s="184" t="s">
        <v>91</v>
      </c>
      <c r="E42" s="183" t="s">
        <v>160</v>
      </c>
      <c r="F42" s="184" t="s">
        <v>91</v>
      </c>
      <c r="G42" s="183" t="s">
        <v>160</v>
      </c>
      <c r="H42" s="184" t="s">
        <v>91</v>
      </c>
      <c r="I42" s="183" t="s">
        <v>160</v>
      </c>
      <c r="J42" s="184" t="s">
        <v>91</v>
      </c>
      <c r="K42" s="183" t="s">
        <v>160</v>
      </c>
      <c r="L42" s="184" t="s">
        <v>91</v>
      </c>
      <c r="M42" s="183" t="s">
        <v>160</v>
      </c>
      <c r="N42" s="184" t="s">
        <v>91</v>
      </c>
      <c r="O42" s="183" t="s">
        <v>160</v>
      </c>
      <c r="P42" s="184" t="s">
        <v>91</v>
      </c>
      <c r="Q42" s="183" t="s">
        <v>160</v>
      </c>
      <c r="R42" s="184" t="s">
        <v>91</v>
      </c>
      <c r="S42" s="183" t="s">
        <v>160</v>
      </c>
      <c r="T42" s="184" t="s">
        <v>91</v>
      </c>
      <c r="U42" s="183" t="s">
        <v>160</v>
      </c>
      <c r="V42" s="184" t="s">
        <v>91</v>
      </c>
      <c r="W42" s="183" t="s">
        <v>160</v>
      </c>
      <c r="X42" s="184" t="s">
        <v>91</v>
      </c>
      <c r="Y42" s="183" t="s">
        <v>160</v>
      </c>
      <c r="Z42" s="184" t="s">
        <v>91</v>
      </c>
    </row>
    <row r="43" spans="1:26" ht="15.75" customHeight="1" x14ac:dyDescent="0.25">
      <c r="A43" s="33">
        <v>1</v>
      </c>
      <c r="B43" s="34" t="s">
        <v>60</v>
      </c>
      <c r="C43" s="119">
        <v>1</v>
      </c>
      <c r="D43" s="119">
        <f>$B$14*C43</f>
        <v>176.66666666666666</v>
      </c>
      <c r="E43" s="119">
        <v>1</v>
      </c>
      <c r="F43" s="119">
        <f>$B$14*E43</f>
        <v>176.66666666666666</v>
      </c>
      <c r="G43" s="119">
        <v>1</v>
      </c>
      <c r="H43" s="119">
        <f>$B$14*G43</f>
        <v>176.66666666666666</v>
      </c>
      <c r="I43" s="119">
        <v>1</v>
      </c>
      <c r="J43" s="119">
        <f>$B$14*I43</f>
        <v>176.66666666666666</v>
      </c>
      <c r="K43" s="119">
        <v>1</v>
      </c>
      <c r="L43" s="119">
        <f>$B$14*K43</f>
        <v>176.66666666666666</v>
      </c>
      <c r="M43" s="119">
        <v>1</v>
      </c>
      <c r="N43" s="119">
        <f t="shared" ref="N43:Z43" si="97">$B$14*M43</f>
        <v>176.66666666666666</v>
      </c>
      <c r="O43" s="119">
        <v>1</v>
      </c>
      <c r="P43" s="119">
        <f t="shared" ref="P43:Z43" si="98">$B$14*O43</f>
        <v>176.66666666666666</v>
      </c>
      <c r="Q43" s="119">
        <v>1</v>
      </c>
      <c r="R43" s="119">
        <f t="shared" ref="R43:Z43" si="99">$B$14*Q43</f>
        <v>176.66666666666666</v>
      </c>
      <c r="S43" s="119">
        <v>1</v>
      </c>
      <c r="T43" s="119">
        <f t="shared" ref="T43:Z43" si="100">$B$14*S43</f>
        <v>176.66666666666666</v>
      </c>
      <c r="U43" s="119">
        <v>1</v>
      </c>
      <c r="V43" s="119">
        <f t="shared" ref="V43:Z43" si="101">$B$14*U43</f>
        <v>176.66666666666666</v>
      </c>
      <c r="W43" s="119">
        <v>1</v>
      </c>
      <c r="X43" s="119">
        <f t="shared" ref="X43:Z43" si="102">$B$14*W43</f>
        <v>176.66666666666666</v>
      </c>
      <c r="Y43" s="119">
        <v>1</v>
      </c>
      <c r="Z43" s="119">
        <f t="shared" ref="Z43:Z48" si="103">$B$14*Y43</f>
        <v>176.66666666666666</v>
      </c>
    </row>
    <row r="44" spans="1:26" ht="15.75" customHeight="1" x14ac:dyDescent="0.25">
      <c r="A44" s="35">
        <v>1</v>
      </c>
      <c r="B44" s="36" t="s">
        <v>194</v>
      </c>
      <c r="C44" s="119">
        <v>1</v>
      </c>
      <c r="D44" s="119">
        <f>$B$14*C44</f>
        <v>176.66666666666666</v>
      </c>
      <c r="E44" s="119">
        <v>1</v>
      </c>
      <c r="F44" s="119">
        <f>$B$14*E44</f>
        <v>176.66666666666666</v>
      </c>
      <c r="G44" s="119">
        <v>1</v>
      </c>
      <c r="H44" s="119">
        <f>$B$14*G44</f>
        <v>176.66666666666666</v>
      </c>
      <c r="I44" s="119">
        <v>1</v>
      </c>
      <c r="J44" s="119">
        <f>$B$14*I44</f>
        <v>176.66666666666666</v>
      </c>
      <c r="K44" s="119">
        <v>1</v>
      </c>
      <c r="L44" s="119">
        <f>$B$14*K44</f>
        <v>176.66666666666666</v>
      </c>
      <c r="M44" s="119">
        <v>1</v>
      </c>
      <c r="N44" s="119">
        <f t="shared" ref="N44:Z44" si="104">$B$14*M44</f>
        <v>176.66666666666666</v>
      </c>
      <c r="O44" s="119">
        <v>1</v>
      </c>
      <c r="P44" s="119">
        <f t="shared" ref="P44:Z44" si="105">$B$14*O44</f>
        <v>176.66666666666666</v>
      </c>
      <c r="Q44" s="119">
        <v>1</v>
      </c>
      <c r="R44" s="119">
        <f t="shared" ref="R44:Z44" si="106">$B$14*Q44</f>
        <v>176.66666666666666</v>
      </c>
      <c r="S44" s="119">
        <v>1</v>
      </c>
      <c r="T44" s="119">
        <f t="shared" ref="T44:Z44" si="107">$B$14*S44</f>
        <v>176.66666666666666</v>
      </c>
      <c r="U44" s="119">
        <v>1</v>
      </c>
      <c r="V44" s="119">
        <f t="shared" ref="V44:Z44" si="108">$B$14*U44</f>
        <v>176.66666666666666</v>
      </c>
      <c r="W44" s="119">
        <v>1</v>
      </c>
      <c r="X44" s="119">
        <f t="shared" ref="X44:Z44" si="109">$B$14*W44</f>
        <v>176.66666666666666</v>
      </c>
      <c r="Y44" s="119">
        <v>1</v>
      </c>
      <c r="Z44" s="119">
        <f t="shared" si="103"/>
        <v>176.66666666666666</v>
      </c>
    </row>
    <row r="45" spans="1:26" ht="14.25" customHeight="1" x14ac:dyDescent="0.25">
      <c r="A45" s="35">
        <v>1</v>
      </c>
      <c r="B45" s="36" t="s">
        <v>62</v>
      </c>
      <c r="C45" s="119">
        <v>1</v>
      </c>
      <c r="D45" s="119">
        <f>$B$14*C45</f>
        <v>176.66666666666666</v>
      </c>
      <c r="E45" s="119">
        <v>1</v>
      </c>
      <c r="F45" s="119">
        <f>$B$14*E45</f>
        <v>176.66666666666666</v>
      </c>
      <c r="G45" s="119">
        <v>1</v>
      </c>
      <c r="H45" s="119">
        <f>$B$14*G45</f>
        <v>176.66666666666666</v>
      </c>
      <c r="I45" s="119">
        <v>1</v>
      </c>
      <c r="J45" s="119">
        <f>$B$14*I45</f>
        <v>176.66666666666666</v>
      </c>
      <c r="K45" s="119">
        <v>1</v>
      </c>
      <c r="L45" s="119">
        <f>$B$14*K45</f>
        <v>176.66666666666666</v>
      </c>
      <c r="M45" s="119">
        <v>1</v>
      </c>
      <c r="N45" s="119">
        <f t="shared" ref="N45:Z45" si="110">$B$14*M45</f>
        <v>176.66666666666666</v>
      </c>
      <c r="O45" s="119">
        <v>1</v>
      </c>
      <c r="P45" s="119">
        <f t="shared" ref="P45:Z45" si="111">$B$14*O45</f>
        <v>176.66666666666666</v>
      </c>
      <c r="Q45" s="119">
        <v>1</v>
      </c>
      <c r="R45" s="119">
        <f t="shared" ref="R45:Z45" si="112">$B$14*Q45</f>
        <v>176.66666666666666</v>
      </c>
      <c r="S45" s="119">
        <v>1</v>
      </c>
      <c r="T45" s="119">
        <f t="shared" ref="T45:Z45" si="113">$B$14*S45</f>
        <v>176.66666666666666</v>
      </c>
      <c r="U45" s="119">
        <v>1</v>
      </c>
      <c r="V45" s="119">
        <f t="shared" ref="V45:Z45" si="114">$B$14*U45</f>
        <v>176.66666666666666</v>
      </c>
      <c r="W45" s="119">
        <v>1</v>
      </c>
      <c r="X45" s="119">
        <f t="shared" ref="X45:Z45" si="115">$B$14*W45</f>
        <v>176.66666666666666</v>
      </c>
      <c r="Y45" s="119">
        <v>1</v>
      </c>
      <c r="Z45" s="119">
        <f t="shared" si="103"/>
        <v>176.66666666666666</v>
      </c>
    </row>
    <row r="46" spans="1:26" ht="15.75" customHeight="1" x14ac:dyDescent="0.25">
      <c r="A46" s="35">
        <v>1</v>
      </c>
      <c r="B46" s="36" t="s">
        <v>195</v>
      </c>
      <c r="C46" s="119">
        <v>1</v>
      </c>
      <c r="D46" s="119">
        <f>$B$14*C46</f>
        <v>176.66666666666666</v>
      </c>
      <c r="E46" s="119">
        <v>1</v>
      </c>
      <c r="F46" s="119">
        <f>$B$14*E46</f>
        <v>176.66666666666666</v>
      </c>
      <c r="G46" s="119">
        <v>1</v>
      </c>
      <c r="H46" s="119">
        <f>$B$14*G46</f>
        <v>176.66666666666666</v>
      </c>
      <c r="I46" s="119">
        <v>1</v>
      </c>
      <c r="J46" s="119">
        <f>$B$14*I46</f>
        <v>176.66666666666666</v>
      </c>
      <c r="K46" s="119">
        <v>1</v>
      </c>
      <c r="L46" s="119">
        <f>$B$14*K46</f>
        <v>176.66666666666666</v>
      </c>
      <c r="M46" s="119">
        <v>1</v>
      </c>
      <c r="N46" s="119">
        <f t="shared" ref="N46:Z46" si="116">$B$14*M46</f>
        <v>176.66666666666666</v>
      </c>
      <c r="O46" s="119">
        <v>1</v>
      </c>
      <c r="P46" s="119">
        <f t="shared" ref="P46:Z46" si="117">$B$14*O46</f>
        <v>176.66666666666666</v>
      </c>
      <c r="Q46" s="119">
        <v>1</v>
      </c>
      <c r="R46" s="119">
        <f t="shared" ref="R46:Z46" si="118">$B$14*Q46</f>
        <v>176.66666666666666</v>
      </c>
      <c r="S46" s="119">
        <v>1</v>
      </c>
      <c r="T46" s="119">
        <f t="shared" ref="T46:Z46" si="119">$B$14*S46</f>
        <v>176.66666666666666</v>
      </c>
      <c r="U46" s="119">
        <v>1</v>
      </c>
      <c r="V46" s="119">
        <f t="shared" ref="V46:Z46" si="120">$B$14*U46</f>
        <v>176.66666666666666</v>
      </c>
      <c r="W46" s="119">
        <v>1</v>
      </c>
      <c r="X46" s="119">
        <f t="shared" ref="X46:Z46" si="121">$B$14*W46</f>
        <v>176.66666666666666</v>
      </c>
      <c r="Y46" s="119">
        <v>1</v>
      </c>
      <c r="Z46" s="119">
        <f t="shared" si="103"/>
        <v>176.66666666666666</v>
      </c>
    </row>
    <row r="47" spans="1:26" ht="15.75" customHeight="1" x14ac:dyDescent="0.25">
      <c r="A47" s="35">
        <v>1</v>
      </c>
      <c r="B47" s="36" t="s">
        <v>196</v>
      </c>
      <c r="C47" s="119">
        <v>1</v>
      </c>
      <c r="D47" s="119">
        <f>$B$14*C47</f>
        <v>176.66666666666666</v>
      </c>
      <c r="E47" s="119">
        <v>1</v>
      </c>
      <c r="F47" s="119">
        <f>$B$14*E47</f>
        <v>176.66666666666666</v>
      </c>
      <c r="G47" s="119">
        <v>1</v>
      </c>
      <c r="H47" s="119">
        <f>$B$14*G47</f>
        <v>176.66666666666666</v>
      </c>
      <c r="I47" s="119">
        <v>1</v>
      </c>
      <c r="J47" s="119">
        <f>$B$14*I47</f>
        <v>176.66666666666666</v>
      </c>
      <c r="K47" s="119">
        <v>1</v>
      </c>
      <c r="L47" s="119">
        <f>$B$14*K47</f>
        <v>176.66666666666666</v>
      </c>
      <c r="M47" s="119">
        <v>1</v>
      </c>
      <c r="N47" s="119">
        <f t="shared" ref="N47:Z48" si="122">$B$14*M47</f>
        <v>176.66666666666666</v>
      </c>
      <c r="O47" s="119">
        <v>1</v>
      </c>
      <c r="P47" s="119">
        <f t="shared" ref="P47:Z48" si="123">$B$14*O47</f>
        <v>176.66666666666666</v>
      </c>
      <c r="Q47" s="119">
        <v>1</v>
      </c>
      <c r="R47" s="119">
        <f t="shared" ref="R47:Z48" si="124">$B$14*Q47</f>
        <v>176.66666666666666</v>
      </c>
      <c r="S47" s="119">
        <v>1</v>
      </c>
      <c r="T47" s="119">
        <f t="shared" ref="T47:Z48" si="125">$B$14*S47</f>
        <v>176.66666666666666</v>
      </c>
      <c r="U47" s="119">
        <v>1</v>
      </c>
      <c r="V47" s="119">
        <f t="shared" ref="V47:Z48" si="126">$B$14*U47</f>
        <v>176.66666666666666</v>
      </c>
      <c r="W47" s="119">
        <v>1</v>
      </c>
      <c r="X47" s="119">
        <f t="shared" ref="X47:Z48" si="127">$B$14*W47</f>
        <v>176.66666666666666</v>
      </c>
      <c r="Y47" s="119">
        <v>1</v>
      </c>
      <c r="Z47" s="119">
        <f t="shared" si="103"/>
        <v>176.66666666666666</v>
      </c>
    </row>
    <row r="48" spans="1:26" ht="15.75" customHeight="1" x14ac:dyDescent="0.25">
      <c r="A48" s="117">
        <v>2</v>
      </c>
      <c r="B48" s="194" t="s">
        <v>240</v>
      </c>
      <c r="C48" s="119">
        <v>1</v>
      </c>
      <c r="D48" s="119">
        <f>$B$14*C48</f>
        <v>176.66666666666666</v>
      </c>
      <c r="E48" s="119">
        <v>1</v>
      </c>
      <c r="F48" s="119">
        <f>$B$14*E48</f>
        <v>176.66666666666666</v>
      </c>
      <c r="G48" s="119">
        <v>1</v>
      </c>
      <c r="H48" s="119">
        <f>$B$14*G48</f>
        <v>176.66666666666666</v>
      </c>
      <c r="I48" s="119">
        <v>1</v>
      </c>
      <c r="J48" s="119">
        <f>$B$14*I48</f>
        <v>176.66666666666666</v>
      </c>
      <c r="K48" s="119">
        <v>1</v>
      </c>
      <c r="L48" s="119">
        <f>$B$14*K48</f>
        <v>176.66666666666666</v>
      </c>
      <c r="M48" s="121">
        <v>2</v>
      </c>
      <c r="N48" s="121">
        <f t="shared" si="122"/>
        <v>353.33333333333331</v>
      </c>
      <c r="O48" s="121">
        <v>2</v>
      </c>
      <c r="P48" s="121">
        <f t="shared" si="123"/>
        <v>353.33333333333331</v>
      </c>
      <c r="Q48" s="121">
        <v>2</v>
      </c>
      <c r="R48" s="121">
        <f t="shared" si="124"/>
        <v>353.33333333333331</v>
      </c>
      <c r="S48" s="121">
        <v>2</v>
      </c>
      <c r="T48" s="121">
        <f t="shared" si="125"/>
        <v>353.33333333333331</v>
      </c>
      <c r="U48" s="121">
        <v>2</v>
      </c>
      <c r="V48" s="121">
        <f t="shared" si="126"/>
        <v>353.33333333333331</v>
      </c>
      <c r="W48" s="121">
        <v>2</v>
      </c>
      <c r="X48" s="121">
        <f t="shared" si="127"/>
        <v>353.33333333333331</v>
      </c>
      <c r="Y48" s="121">
        <v>2</v>
      </c>
      <c r="Z48" s="121">
        <f t="shared" si="103"/>
        <v>353.33333333333331</v>
      </c>
    </row>
    <row r="49" spans="1:20" ht="15.75" customHeight="1" x14ac:dyDescent="0.2"/>
    <row r="50" spans="1:20" ht="15.75" customHeight="1" x14ac:dyDescent="0.2"/>
    <row r="51" spans="1:20" ht="15.75" customHeight="1" x14ac:dyDescent="0.2"/>
    <row r="52" spans="1:20" ht="15.75" customHeight="1" x14ac:dyDescent="0.2"/>
    <row r="53" spans="1:20" ht="15.75" customHeight="1" x14ac:dyDescent="0.2"/>
    <row r="54" spans="1:20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</row>
    <row r="55" spans="1:20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</row>
    <row r="56" spans="1:20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</row>
    <row r="57" spans="1:20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</row>
    <row r="58" spans="1:20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</row>
    <row r="59" spans="1:20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</row>
    <row r="60" spans="1:20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</row>
    <row r="61" spans="1:20" ht="15.75" customHeight="1" x14ac:dyDescent="0.2"/>
    <row r="62" spans="1:20" ht="15.75" customHeight="1" x14ac:dyDescent="0.2"/>
    <row r="63" spans="1:20" ht="15.75" customHeight="1" x14ac:dyDescent="0.2"/>
    <row r="64" spans="1:20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spans="1:26" ht="15.75" customHeight="1" x14ac:dyDescent="0.2"/>
    <row r="130" spans="1:26" ht="15.75" customHeight="1" x14ac:dyDescent="0.2"/>
    <row r="131" spans="1:26" ht="15.75" customHeight="1" x14ac:dyDescent="0.2"/>
    <row r="132" spans="1:26" ht="15.75" customHeight="1" x14ac:dyDescent="0.25">
      <c r="A132" s="1"/>
      <c r="B132" s="20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20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20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20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20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20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20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20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20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20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20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20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20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20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20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20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20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20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20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20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20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20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20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20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20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20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20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20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20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20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20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20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20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20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20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20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20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20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20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20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20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20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20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20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20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20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20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20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20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20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20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20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20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20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20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20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20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20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20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20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20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20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20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20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20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20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20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20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20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20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20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20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20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20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20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20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20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20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20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20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20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20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20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20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20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20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20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20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20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20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20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20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20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20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20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20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20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20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20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20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20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20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20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20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20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20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20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20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20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20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20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20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20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20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20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20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20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20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20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20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20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20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20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20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20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20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20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20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20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20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20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20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20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20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20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20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20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20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20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20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20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20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20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20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20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20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20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20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20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20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20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20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20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20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20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20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20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20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20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20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20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20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20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20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20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20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20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20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20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20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20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20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20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20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20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20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20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20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20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20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20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20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20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20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20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20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20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20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20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20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20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20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20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20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20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20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20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20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20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20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20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20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20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20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20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20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20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20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20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20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20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20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20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20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20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20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20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20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20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20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20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20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20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20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20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20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20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20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20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20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20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20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20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20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20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20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20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20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20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20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20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20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20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20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20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20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20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20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20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20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20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20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20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20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20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20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20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20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20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20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20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20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20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20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20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20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20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20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20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20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20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20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20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20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20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20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20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20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20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20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20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20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20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20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20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20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20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20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20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20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20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20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20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20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20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20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20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20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20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20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20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20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20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20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20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20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20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20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20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20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20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20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20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20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20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20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20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20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20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20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20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20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20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20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20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20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20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20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20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20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20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20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20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20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20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20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20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20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20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20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20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20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20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20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20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20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20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20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20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20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20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20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20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20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20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20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20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20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20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20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20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20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20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20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20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20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20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20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20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20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20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20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20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20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20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20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20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20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20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20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20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20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20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20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20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20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20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20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20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20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20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20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20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20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20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20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20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20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20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20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20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20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20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20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20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20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20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20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20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20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20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20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20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20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20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20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20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20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20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20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20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20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20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20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20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20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20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20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20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20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20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20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20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20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20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20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20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20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20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20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20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20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20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20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20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20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20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20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20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20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20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20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20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20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20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20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20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20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20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20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20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20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20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20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20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20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20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20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20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20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20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20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20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20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20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20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20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20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20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20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20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20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20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20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20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20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20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20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20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20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20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20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20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20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20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20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20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20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20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20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20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20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20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20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20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20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20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20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20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20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20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20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20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20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20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20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20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20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20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20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20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20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20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20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20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20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20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20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20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20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20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20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20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20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20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20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20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20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20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20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20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20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20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20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20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20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20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20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20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20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20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20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20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20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20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20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20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20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20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20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20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20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20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20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20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20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20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20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20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20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20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20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20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20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20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20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20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20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20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20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20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20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20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20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20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20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20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20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20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20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20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20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20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20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20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20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20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20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20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20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20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20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20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20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20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20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20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20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20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20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20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20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20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20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20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20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20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20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20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20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20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20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20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20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20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20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20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20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20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20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20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20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20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20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20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20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20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20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20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20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20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20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20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20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20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20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20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20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20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20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20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20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20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20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20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20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20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20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20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20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20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20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20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20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20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20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20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20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20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20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20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20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20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20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20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20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20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20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20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20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20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20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20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20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20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20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20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20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20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20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20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20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20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20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20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20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20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20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20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20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20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20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20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20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20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20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20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20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20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20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20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20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20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20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20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20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20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20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20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20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20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20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20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20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20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20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20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20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20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20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20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20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20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20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20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20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20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20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20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20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20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20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20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20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20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20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20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20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20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20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20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20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20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20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20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20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20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20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20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20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20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20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20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</sheetData>
  <mergeCells count="47">
    <mergeCell ref="K41:L41"/>
    <mergeCell ref="M41:N41"/>
    <mergeCell ref="O41:P41"/>
    <mergeCell ref="Q41:R41"/>
    <mergeCell ref="S41:T41"/>
    <mergeCell ref="U41:V41"/>
    <mergeCell ref="W41:X41"/>
    <mergeCell ref="Y41:Z41"/>
    <mergeCell ref="AA19:AB26"/>
    <mergeCell ref="A29:E29"/>
    <mergeCell ref="A30:B31"/>
    <mergeCell ref="C30:D30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Y30:Z30"/>
    <mergeCell ref="A3:E3"/>
    <mergeCell ref="A4:E4"/>
    <mergeCell ref="A6:C6"/>
    <mergeCell ref="A13:A14"/>
    <mergeCell ref="Y20:Z20"/>
    <mergeCell ref="G20:H20"/>
    <mergeCell ref="I20:J20"/>
    <mergeCell ref="K20:L20"/>
    <mergeCell ref="M20:N20"/>
    <mergeCell ref="O20:P20"/>
    <mergeCell ref="Q20:R20"/>
    <mergeCell ref="S20:T20"/>
    <mergeCell ref="A19:E19"/>
    <mergeCell ref="A20:B21"/>
    <mergeCell ref="C20:D20"/>
    <mergeCell ref="E20:F20"/>
    <mergeCell ref="U20:V20"/>
    <mergeCell ref="W20:X20"/>
    <mergeCell ref="A40:E40"/>
    <mergeCell ref="W30:X30"/>
    <mergeCell ref="A41:B42"/>
    <mergeCell ref="C41:D41"/>
    <mergeCell ref="E41:F41"/>
    <mergeCell ref="G41:H41"/>
    <mergeCell ref="I41:J41"/>
  </mergeCells>
  <pageMargins left="0.7" right="0.7" top="0.75" bottom="0.75" header="0" footer="0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7"/>
  <sheetViews>
    <sheetView zoomScale="85" zoomScaleNormal="85" workbookViewId="0">
      <pane ySplit="1" topLeftCell="A2" activePane="bottomLeft" state="frozen"/>
      <selection pane="bottomLeft" activeCell="B7" sqref="B7:E20"/>
    </sheetView>
  </sheetViews>
  <sheetFormatPr baseColWidth="10" defaultColWidth="12.625" defaultRowHeight="15" customHeight="1" x14ac:dyDescent="0.2"/>
  <cols>
    <col min="1" max="1" width="10" customWidth="1"/>
    <col min="2" max="2" width="25.75" customWidth="1"/>
    <col min="3" max="3" width="20" customWidth="1"/>
    <col min="4" max="4" width="24.25" customWidth="1"/>
    <col min="5" max="5" width="20.25" customWidth="1"/>
    <col min="6" max="7" width="10" customWidth="1"/>
    <col min="8" max="8" width="13.625" customWidth="1"/>
    <col min="9" max="26" width="10" customWidth="1"/>
  </cols>
  <sheetData>
    <row r="1" spans="1:26" ht="96" customHeight="1" x14ac:dyDescent="0.25">
      <c r="A1" s="201"/>
      <c r="B1" s="201"/>
      <c r="C1" s="201"/>
      <c r="D1" s="201"/>
      <c r="E1" s="202" t="s">
        <v>12</v>
      </c>
      <c r="F1" s="201"/>
      <c r="G1" s="203"/>
      <c r="H1" s="203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x14ac:dyDescent="0.4">
      <c r="A7" s="1"/>
      <c r="B7" s="521" t="s">
        <v>37</v>
      </c>
      <c r="C7" s="434"/>
      <c r="D7" s="435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204">
        <v>2022</v>
      </c>
      <c r="C8" s="204">
        <v>2023</v>
      </c>
      <c r="D8" s="204">
        <v>2024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25">
        <f>Hipótesis!C25</f>
        <v>0.1</v>
      </c>
      <c r="C9" s="25">
        <f>Hipótesis!C26</f>
        <v>0.2</v>
      </c>
      <c r="D9" s="25">
        <f>Hipótesis!C27</f>
        <v>0.3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/>
      <c r="B10" s="65">
        <f>Hipótesis!D25</f>
        <v>29160000</v>
      </c>
      <c r="C10" s="65">
        <f>Hipótesis!D26</f>
        <v>58320000</v>
      </c>
      <c r="D10" s="65">
        <f>Hipótesis!D27</f>
        <v>87480000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4" customHeight="1" x14ac:dyDescent="0.4">
      <c r="A15" s="1"/>
      <c r="B15" s="522" t="s">
        <v>205</v>
      </c>
      <c r="C15" s="523"/>
      <c r="D15" s="523"/>
      <c r="E15" s="524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x14ac:dyDescent="0.25">
      <c r="A16" s="1"/>
      <c r="B16" s="220" t="s">
        <v>33</v>
      </c>
      <c r="C16" s="221" t="s">
        <v>94</v>
      </c>
      <c r="D16" s="221" t="s">
        <v>95</v>
      </c>
      <c r="E16" s="222" t="s">
        <v>254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x14ac:dyDescent="0.25">
      <c r="A17" s="1"/>
      <c r="B17" s="217" t="str">
        <f>Hipótesis!B37</f>
        <v>Inicial</v>
      </c>
      <c r="C17" s="218">
        <f>'Proy. ventas'!D23</f>
        <v>3840000</v>
      </c>
      <c r="D17" s="218">
        <f>'Proy. ventas'!D54</f>
        <v>11840000</v>
      </c>
      <c r="E17" s="219">
        <f>'Proy. ventas'!D86</f>
        <v>20640000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x14ac:dyDescent="0.25">
      <c r="A18" s="1"/>
      <c r="B18" s="66" t="str">
        <f>Hipótesis!B38</f>
        <v>Normal</v>
      </c>
      <c r="C18" s="67">
        <f>'Proy. ventas'!D24</f>
        <v>9000000</v>
      </c>
      <c r="D18" s="213">
        <f>'Proy. ventas'!D55</f>
        <v>24480000</v>
      </c>
      <c r="E18" s="215">
        <f>'Proy. ventas'!D87</f>
        <v>41400000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68" t="str">
        <f>Hipótesis!B39</f>
        <v>Premium</v>
      </c>
      <c r="C19" s="69">
        <f>'Proy. ventas'!D25</f>
        <v>9000000</v>
      </c>
      <c r="D19" s="214">
        <f>'Proy. ventas'!D56</f>
        <v>22800000</v>
      </c>
      <c r="E19" s="216">
        <f>'Proy. ventas'!D88</f>
        <v>36500000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70" t="s">
        <v>92</v>
      </c>
      <c r="C20" s="71">
        <f>SUM(C17:C19)</f>
        <v>21840000</v>
      </c>
      <c r="D20" s="71">
        <f>SUM(D17:D19)</f>
        <v>59120000</v>
      </c>
      <c r="E20" s="72">
        <f>SUM(E17:E19)</f>
        <v>98540000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</sheetData>
  <mergeCells count="2">
    <mergeCell ref="B7:D7"/>
    <mergeCell ref="B15:E15"/>
  </mergeCells>
  <pageMargins left="0.7" right="0.7" top="0.75" bottom="0.75" header="0" footer="0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40"/>
  <sheetViews>
    <sheetView zoomScale="70" zoomScaleNormal="70" workbookViewId="0">
      <pane ySplit="1" topLeftCell="A2" activePane="bottomLeft" state="frozen"/>
      <selection pane="bottomLeft" activeCell="C54" sqref="C54"/>
    </sheetView>
  </sheetViews>
  <sheetFormatPr baseColWidth="10" defaultColWidth="12.625" defaultRowHeight="15" customHeight="1" x14ac:dyDescent="0.2"/>
  <cols>
    <col min="1" max="1" width="10" customWidth="1"/>
    <col min="2" max="2" width="35" customWidth="1"/>
    <col min="3" max="3" width="58.25" customWidth="1"/>
    <col min="4" max="4" width="25.625" customWidth="1"/>
    <col min="5" max="5" width="17" customWidth="1"/>
    <col min="6" max="6" width="22.375" customWidth="1"/>
    <col min="7" max="7" width="16.875" customWidth="1"/>
    <col min="8" max="8" width="16.5" customWidth="1"/>
    <col min="9" max="9" width="16.875" customWidth="1"/>
    <col min="10" max="10" width="19.875" customWidth="1"/>
    <col min="11" max="11" width="16.5" customWidth="1"/>
    <col min="12" max="12" width="17.875" customWidth="1"/>
    <col min="13" max="13" width="16.875" customWidth="1"/>
    <col min="14" max="15" width="16.5" customWidth="1"/>
    <col min="16" max="16" width="19" customWidth="1"/>
    <col min="17" max="17" width="108.375" customWidth="1"/>
    <col min="18" max="26" width="10" customWidth="1"/>
  </cols>
  <sheetData>
    <row r="1" spans="1:26" ht="83.25" customHeight="1" x14ac:dyDescent="0.25">
      <c r="A1" s="223"/>
      <c r="B1" s="223"/>
      <c r="C1" s="223"/>
      <c r="D1" s="223"/>
      <c r="E1" s="223"/>
      <c r="F1" s="224" t="s">
        <v>13</v>
      </c>
      <c r="G1" s="225"/>
      <c r="H1" s="225"/>
      <c r="I1" s="223"/>
      <c r="J1" s="223"/>
      <c r="K1" s="223"/>
      <c r="L1" s="223"/>
      <c r="M1" s="223"/>
      <c r="N1" s="223"/>
      <c r="O1" s="223"/>
      <c r="P1" s="223"/>
      <c r="Q1" s="223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1"/>
      <c r="C3" s="521" t="s">
        <v>37</v>
      </c>
      <c r="D3" s="434"/>
      <c r="E3" s="435"/>
      <c r="F3" s="1"/>
      <c r="G3" s="521" t="s">
        <v>96</v>
      </c>
      <c r="H3" s="434"/>
      <c r="I3" s="435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226">
        <v>2022</v>
      </c>
      <c r="D4" s="204">
        <v>2023</v>
      </c>
      <c r="E4" s="227">
        <v>2024</v>
      </c>
      <c r="F4" s="1"/>
      <c r="G4" s="226">
        <v>2022</v>
      </c>
      <c r="H4" s="204">
        <v>2023</v>
      </c>
      <c r="I4" s="227">
        <v>2024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24">
        <f>Hipótesis!C25</f>
        <v>0.1</v>
      </c>
      <c r="D5" s="25">
        <f>Hipótesis!C26</f>
        <v>0.2</v>
      </c>
      <c r="E5" s="26">
        <f>Hipótesis!C27</f>
        <v>0.3</v>
      </c>
      <c r="F5" s="1"/>
      <c r="G5" s="27">
        <f>P19</f>
        <v>4754400</v>
      </c>
      <c r="H5" s="28">
        <f>P32</f>
        <v>5522400</v>
      </c>
      <c r="I5" s="29">
        <f>P45</f>
        <v>6290400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27">
        <f>Hipótesis!D25</f>
        <v>29160000</v>
      </c>
      <c r="D6" s="28">
        <f>Hipótesis!D26</f>
        <v>58320000</v>
      </c>
      <c r="E6" s="29">
        <f>Hipótesis!D27</f>
        <v>87480000</v>
      </c>
      <c r="F6" s="1"/>
      <c r="G6" s="73"/>
      <c r="H6" s="73"/>
      <c r="I6" s="73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thickBot="1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7" thickBot="1" x14ac:dyDescent="0.45">
      <c r="A9" s="1"/>
      <c r="B9" s="526" t="s">
        <v>101</v>
      </c>
      <c r="C9" s="464"/>
      <c r="D9" s="464"/>
      <c r="E9" s="464"/>
      <c r="F9" s="464"/>
      <c r="G9" s="464"/>
      <c r="H9" s="464"/>
      <c r="I9" s="464"/>
      <c r="J9" s="464"/>
      <c r="K9" s="464"/>
      <c r="L9" s="464"/>
      <c r="M9" s="464"/>
      <c r="N9" s="464"/>
      <c r="O9" s="464"/>
      <c r="P9" s="464"/>
      <c r="Q9" s="464"/>
      <c r="R9" s="1"/>
      <c r="S9" s="1"/>
      <c r="T9" s="1"/>
      <c r="U9" s="1"/>
      <c r="V9" s="1"/>
      <c r="W9" s="1"/>
      <c r="X9" s="1"/>
      <c r="Y9" s="1"/>
      <c r="Z9" s="1"/>
    </row>
    <row r="10" spans="1:26" ht="19.5" thickBot="1" x14ac:dyDescent="0.3">
      <c r="A10" s="1"/>
      <c r="B10" s="525" t="s">
        <v>97</v>
      </c>
      <c r="C10" s="464"/>
      <c r="D10" s="228" t="s">
        <v>41</v>
      </c>
      <c r="E10" s="228" t="s">
        <v>42</v>
      </c>
      <c r="F10" s="228" t="s">
        <v>43</v>
      </c>
      <c r="G10" s="228" t="s">
        <v>44</v>
      </c>
      <c r="H10" s="228" t="s">
        <v>45</v>
      </c>
      <c r="I10" s="228" t="s">
        <v>46</v>
      </c>
      <c r="J10" s="228" t="s">
        <v>47</v>
      </c>
      <c r="K10" s="228" t="s">
        <v>48</v>
      </c>
      <c r="L10" s="228" t="s">
        <v>49</v>
      </c>
      <c r="M10" s="228" t="s">
        <v>50</v>
      </c>
      <c r="N10" s="228" t="s">
        <v>51</v>
      </c>
      <c r="O10" s="228" t="s">
        <v>52</v>
      </c>
      <c r="P10" s="228" t="s">
        <v>98</v>
      </c>
      <c r="Q10" s="228" t="s">
        <v>99</v>
      </c>
      <c r="R10" s="1"/>
      <c r="S10" s="1"/>
      <c r="T10" s="1"/>
      <c r="U10" s="1"/>
      <c r="V10" s="1"/>
      <c r="W10" s="1"/>
      <c r="X10" s="1"/>
      <c r="Y10" s="1"/>
      <c r="Z10" s="1"/>
    </row>
    <row r="11" spans="1:26" ht="19.5" thickBot="1" x14ac:dyDescent="0.3">
      <c r="A11" s="1"/>
      <c r="B11" s="230" t="s">
        <v>207</v>
      </c>
      <c r="C11" s="231" t="s">
        <v>166</v>
      </c>
      <c r="D11" s="76">
        <f>C49</f>
        <v>4200</v>
      </c>
      <c r="E11" s="76">
        <f>C49</f>
        <v>4200</v>
      </c>
      <c r="F11" s="76">
        <f>C49</f>
        <v>4200</v>
      </c>
      <c r="G11" s="76">
        <f>C49</f>
        <v>4200</v>
      </c>
      <c r="H11" s="76">
        <f>C49</f>
        <v>4200</v>
      </c>
      <c r="I11" s="76">
        <f>C49</f>
        <v>4200</v>
      </c>
      <c r="J11" s="76">
        <f>C49</f>
        <v>4200</v>
      </c>
      <c r="K11" s="76">
        <f>C49</f>
        <v>4200</v>
      </c>
      <c r="L11" s="76">
        <f>C49</f>
        <v>4200</v>
      </c>
      <c r="M11" s="76">
        <f>C49</f>
        <v>4200</v>
      </c>
      <c r="N11" s="76">
        <f>C49</f>
        <v>4200</v>
      </c>
      <c r="O11" s="76">
        <f>C49</f>
        <v>4200</v>
      </c>
      <c r="P11" s="229">
        <f t="shared" ref="P11:P18" si="0">SUM(D11:O11)</f>
        <v>50400</v>
      </c>
      <c r="Q11" s="232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thickBot="1" x14ac:dyDescent="0.3">
      <c r="A12" s="1"/>
      <c r="B12" s="233" t="s">
        <v>263</v>
      </c>
      <c r="C12" s="231" t="s">
        <v>168</v>
      </c>
      <c r="D12" s="76">
        <f>$C$50</f>
        <v>200000</v>
      </c>
      <c r="E12" s="76">
        <f>$C$50</f>
        <v>200000</v>
      </c>
      <c r="F12" s="76">
        <f>$C$50</f>
        <v>200000</v>
      </c>
      <c r="G12" s="76">
        <f t="shared" ref="G12:O12" si="1">$C$50</f>
        <v>200000</v>
      </c>
      <c r="H12" s="76">
        <f t="shared" si="1"/>
        <v>200000</v>
      </c>
      <c r="I12" s="76">
        <f t="shared" si="1"/>
        <v>200000</v>
      </c>
      <c r="J12" s="76">
        <f t="shared" si="1"/>
        <v>200000</v>
      </c>
      <c r="K12" s="76">
        <f t="shared" si="1"/>
        <v>200000</v>
      </c>
      <c r="L12" s="76">
        <f t="shared" si="1"/>
        <v>200000</v>
      </c>
      <c r="M12" s="76">
        <f t="shared" si="1"/>
        <v>200000</v>
      </c>
      <c r="N12" s="76">
        <f t="shared" si="1"/>
        <v>200000</v>
      </c>
      <c r="O12" s="76">
        <f t="shared" si="1"/>
        <v>200000</v>
      </c>
      <c r="P12" s="229">
        <f t="shared" ref="P12" si="2">SUM(D12:O12)</f>
        <v>2400000</v>
      </c>
      <c r="Q12" s="234"/>
      <c r="R12" s="1"/>
      <c r="S12" s="1"/>
      <c r="T12" s="1"/>
      <c r="U12" s="1"/>
      <c r="V12" s="1"/>
      <c r="W12" s="1"/>
      <c r="X12" s="1"/>
      <c r="Y12" s="1"/>
      <c r="Z12" s="1"/>
    </row>
    <row r="13" spans="1:26" ht="18" customHeight="1" thickBot="1" x14ac:dyDescent="0.3">
      <c r="A13" s="1"/>
      <c r="B13" s="233" t="s">
        <v>100</v>
      </c>
      <c r="C13" s="231" t="s">
        <v>167</v>
      </c>
      <c r="D13" s="76">
        <f t="shared" ref="D13:O13" si="3">$C$51</f>
        <v>75000</v>
      </c>
      <c r="E13" s="76">
        <f t="shared" si="3"/>
        <v>75000</v>
      </c>
      <c r="F13" s="76">
        <f t="shared" si="3"/>
        <v>75000</v>
      </c>
      <c r="G13" s="76">
        <f t="shared" si="3"/>
        <v>75000</v>
      </c>
      <c r="H13" s="76">
        <f t="shared" si="3"/>
        <v>75000</v>
      </c>
      <c r="I13" s="76">
        <f t="shared" si="3"/>
        <v>75000</v>
      </c>
      <c r="J13" s="76">
        <f t="shared" si="3"/>
        <v>75000</v>
      </c>
      <c r="K13" s="76">
        <f t="shared" si="3"/>
        <v>75000</v>
      </c>
      <c r="L13" s="76">
        <f t="shared" si="3"/>
        <v>75000</v>
      </c>
      <c r="M13" s="76">
        <f t="shared" si="3"/>
        <v>75000</v>
      </c>
      <c r="N13" s="76">
        <f t="shared" si="3"/>
        <v>75000</v>
      </c>
      <c r="O13" s="76">
        <f t="shared" si="3"/>
        <v>75000</v>
      </c>
      <c r="P13" s="229">
        <f t="shared" si="0"/>
        <v>900000</v>
      </c>
      <c r="Q13" s="234"/>
      <c r="R13" s="1"/>
      <c r="S13" s="1"/>
      <c r="T13" s="1"/>
      <c r="U13" s="1"/>
      <c r="V13" s="1"/>
      <c r="W13" s="1"/>
      <c r="X13" s="1"/>
      <c r="Y13" s="1"/>
      <c r="Z13" s="1"/>
    </row>
    <row r="14" spans="1:26" ht="25.5" customHeight="1" thickBot="1" x14ac:dyDescent="0.3">
      <c r="A14" s="116"/>
      <c r="B14" s="230" t="s">
        <v>208</v>
      </c>
      <c r="C14" s="231" t="s">
        <v>213</v>
      </c>
      <c r="D14" s="76">
        <f t="shared" ref="D14:O14" si="4">$C$55</f>
        <v>30000</v>
      </c>
      <c r="E14" s="76">
        <f t="shared" si="4"/>
        <v>30000</v>
      </c>
      <c r="F14" s="76">
        <f t="shared" si="4"/>
        <v>30000</v>
      </c>
      <c r="G14" s="76">
        <f t="shared" si="4"/>
        <v>30000</v>
      </c>
      <c r="H14" s="76">
        <f t="shared" si="4"/>
        <v>30000</v>
      </c>
      <c r="I14" s="76">
        <f t="shared" si="4"/>
        <v>30000</v>
      </c>
      <c r="J14" s="76">
        <f t="shared" si="4"/>
        <v>30000</v>
      </c>
      <c r="K14" s="76">
        <f t="shared" si="4"/>
        <v>30000</v>
      </c>
      <c r="L14" s="76">
        <f t="shared" si="4"/>
        <v>30000</v>
      </c>
      <c r="M14" s="76">
        <f t="shared" si="4"/>
        <v>30000</v>
      </c>
      <c r="N14" s="76">
        <f t="shared" si="4"/>
        <v>30000</v>
      </c>
      <c r="O14" s="76">
        <f t="shared" si="4"/>
        <v>30000</v>
      </c>
      <c r="P14" s="229">
        <f t="shared" si="0"/>
        <v>360000</v>
      </c>
      <c r="Q14" s="234"/>
      <c r="R14" s="116"/>
      <c r="S14" s="116"/>
      <c r="T14" s="116"/>
      <c r="U14" s="116"/>
      <c r="V14" s="116"/>
      <c r="W14" s="116"/>
      <c r="X14" s="116"/>
      <c r="Y14" s="116"/>
      <c r="Z14" s="116"/>
    </row>
    <row r="15" spans="1:26" ht="24.75" customHeight="1" thickBot="1" x14ac:dyDescent="0.3">
      <c r="A15" s="116"/>
      <c r="B15" s="230" t="s">
        <v>209</v>
      </c>
      <c r="C15" s="231" t="s">
        <v>214</v>
      </c>
      <c r="D15" s="76">
        <f t="shared" ref="D15:O15" si="5">$C$56</f>
        <v>14000</v>
      </c>
      <c r="E15" s="76">
        <f t="shared" si="5"/>
        <v>14000</v>
      </c>
      <c r="F15" s="76">
        <f t="shared" si="5"/>
        <v>14000</v>
      </c>
      <c r="G15" s="76">
        <f t="shared" si="5"/>
        <v>14000</v>
      </c>
      <c r="H15" s="76">
        <f t="shared" si="5"/>
        <v>14000</v>
      </c>
      <c r="I15" s="76">
        <f t="shared" si="5"/>
        <v>14000</v>
      </c>
      <c r="J15" s="76">
        <f t="shared" si="5"/>
        <v>14000</v>
      </c>
      <c r="K15" s="76">
        <f t="shared" si="5"/>
        <v>14000</v>
      </c>
      <c r="L15" s="76">
        <f t="shared" si="5"/>
        <v>14000</v>
      </c>
      <c r="M15" s="76">
        <f t="shared" si="5"/>
        <v>14000</v>
      </c>
      <c r="N15" s="76">
        <f t="shared" si="5"/>
        <v>14000</v>
      </c>
      <c r="O15" s="76">
        <f t="shared" si="5"/>
        <v>14000</v>
      </c>
      <c r="P15" s="229">
        <f t="shared" si="0"/>
        <v>168000</v>
      </c>
      <c r="Q15" s="234"/>
      <c r="R15" s="116"/>
      <c r="S15" s="116"/>
      <c r="T15" s="116"/>
      <c r="U15" s="116"/>
      <c r="V15" s="116"/>
      <c r="W15" s="116"/>
      <c r="X15" s="116"/>
      <c r="Y15" s="116"/>
      <c r="Z15" s="116"/>
    </row>
    <row r="16" spans="1:26" ht="20.25" customHeight="1" thickBot="1" x14ac:dyDescent="0.3">
      <c r="A16" s="116"/>
      <c r="B16" s="230" t="s">
        <v>210</v>
      </c>
      <c r="C16" s="231" t="s">
        <v>215</v>
      </c>
      <c r="D16" s="76">
        <f t="shared" ref="D16:O16" si="6">$C$57</f>
        <v>11000</v>
      </c>
      <c r="E16" s="76">
        <f t="shared" si="6"/>
        <v>11000</v>
      </c>
      <c r="F16" s="76">
        <f t="shared" si="6"/>
        <v>11000</v>
      </c>
      <c r="G16" s="76">
        <f t="shared" si="6"/>
        <v>11000</v>
      </c>
      <c r="H16" s="76">
        <f t="shared" si="6"/>
        <v>11000</v>
      </c>
      <c r="I16" s="76">
        <f t="shared" si="6"/>
        <v>11000</v>
      </c>
      <c r="J16" s="76">
        <f t="shared" si="6"/>
        <v>11000</v>
      </c>
      <c r="K16" s="76">
        <f t="shared" si="6"/>
        <v>11000</v>
      </c>
      <c r="L16" s="76">
        <f t="shared" si="6"/>
        <v>11000</v>
      </c>
      <c r="M16" s="76">
        <f t="shared" si="6"/>
        <v>11000</v>
      </c>
      <c r="N16" s="76">
        <f t="shared" si="6"/>
        <v>11000</v>
      </c>
      <c r="O16" s="76">
        <f t="shared" si="6"/>
        <v>11000</v>
      </c>
      <c r="P16" s="229">
        <f t="shared" si="0"/>
        <v>132000</v>
      </c>
      <c r="Q16" s="234"/>
      <c r="R16" s="116"/>
      <c r="S16" s="116"/>
      <c r="T16" s="116"/>
      <c r="U16" s="116"/>
      <c r="V16" s="116"/>
      <c r="W16" s="116"/>
      <c r="X16" s="116"/>
      <c r="Y16" s="116"/>
      <c r="Z16" s="116"/>
    </row>
    <row r="17" spans="1:26" ht="15.75" customHeight="1" thickBot="1" x14ac:dyDescent="0.3">
      <c r="A17" s="116"/>
      <c r="B17" s="230" t="s">
        <v>211</v>
      </c>
      <c r="C17" s="231" t="s">
        <v>216</v>
      </c>
      <c r="D17" s="76">
        <f t="shared" ref="D17:O17" si="7">$C$58</f>
        <v>12000</v>
      </c>
      <c r="E17" s="76">
        <f t="shared" si="7"/>
        <v>12000</v>
      </c>
      <c r="F17" s="76">
        <f t="shared" si="7"/>
        <v>12000</v>
      </c>
      <c r="G17" s="76">
        <f t="shared" si="7"/>
        <v>12000</v>
      </c>
      <c r="H17" s="76">
        <f t="shared" si="7"/>
        <v>12000</v>
      </c>
      <c r="I17" s="76">
        <f t="shared" si="7"/>
        <v>12000</v>
      </c>
      <c r="J17" s="76">
        <f t="shared" si="7"/>
        <v>12000</v>
      </c>
      <c r="K17" s="76">
        <f t="shared" si="7"/>
        <v>12000</v>
      </c>
      <c r="L17" s="76">
        <f t="shared" si="7"/>
        <v>12000</v>
      </c>
      <c r="M17" s="76">
        <f t="shared" si="7"/>
        <v>12000</v>
      </c>
      <c r="N17" s="76">
        <f t="shared" si="7"/>
        <v>12000</v>
      </c>
      <c r="O17" s="76">
        <f t="shared" si="7"/>
        <v>12000</v>
      </c>
      <c r="P17" s="229">
        <f t="shared" si="0"/>
        <v>144000</v>
      </c>
      <c r="Q17" s="234"/>
      <c r="R17" s="116"/>
      <c r="S17" s="116"/>
      <c r="T17" s="116"/>
      <c r="U17" s="116"/>
      <c r="V17" s="116"/>
      <c r="W17" s="116"/>
      <c r="X17" s="116"/>
      <c r="Y17" s="116"/>
      <c r="Z17" s="116"/>
    </row>
    <row r="18" spans="1:26" ht="21" customHeight="1" thickBot="1" x14ac:dyDescent="0.3">
      <c r="A18" s="116"/>
      <c r="B18" s="230" t="s">
        <v>212</v>
      </c>
      <c r="C18" s="231" t="s">
        <v>217</v>
      </c>
      <c r="D18" s="76">
        <f t="shared" ref="D18:O18" si="8">$C$59</f>
        <v>50000</v>
      </c>
      <c r="E18" s="76">
        <f t="shared" si="8"/>
        <v>50000</v>
      </c>
      <c r="F18" s="76">
        <f t="shared" si="8"/>
        <v>50000</v>
      </c>
      <c r="G18" s="76">
        <f t="shared" si="8"/>
        <v>50000</v>
      </c>
      <c r="H18" s="76">
        <f t="shared" si="8"/>
        <v>50000</v>
      </c>
      <c r="I18" s="76">
        <f t="shared" si="8"/>
        <v>50000</v>
      </c>
      <c r="J18" s="76">
        <f t="shared" si="8"/>
        <v>50000</v>
      </c>
      <c r="K18" s="76">
        <f t="shared" si="8"/>
        <v>50000</v>
      </c>
      <c r="L18" s="76">
        <f t="shared" si="8"/>
        <v>50000</v>
      </c>
      <c r="M18" s="76">
        <f t="shared" si="8"/>
        <v>50000</v>
      </c>
      <c r="N18" s="76">
        <f t="shared" si="8"/>
        <v>50000</v>
      </c>
      <c r="O18" s="76">
        <f t="shared" si="8"/>
        <v>50000</v>
      </c>
      <c r="P18" s="229">
        <f t="shared" si="0"/>
        <v>600000</v>
      </c>
      <c r="Q18" s="234"/>
      <c r="R18" s="116"/>
      <c r="S18" s="116"/>
      <c r="T18" s="116"/>
      <c r="U18" s="116"/>
      <c r="V18" s="116"/>
      <c r="W18" s="116"/>
      <c r="X18" s="116"/>
      <c r="Y18" s="116"/>
      <c r="Z18" s="116"/>
    </row>
    <row r="19" spans="1:26" ht="15.75" customHeight="1" thickBot="1" x14ac:dyDescent="0.3">
      <c r="A19" s="1"/>
      <c r="B19" s="231"/>
      <c r="C19" s="235" t="s">
        <v>31</v>
      </c>
      <c r="D19" s="229">
        <f t="shared" ref="D19:P19" si="9">SUM(D11:D18)</f>
        <v>396200</v>
      </c>
      <c r="E19" s="229">
        <f t="shared" si="9"/>
        <v>396200</v>
      </c>
      <c r="F19" s="229">
        <f t="shared" si="9"/>
        <v>396200</v>
      </c>
      <c r="G19" s="229">
        <f t="shared" si="9"/>
        <v>396200</v>
      </c>
      <c r="H19" s="229">
        <f t="shared" si="9"/>
        <v>396200</v>
      </c>
      <c r="I19" s="229">
        <f t="shared" si="9"/>
        <v>396200</v>
      </c>
      <c r="J19" s="229">
        <f t="shared" si="9"/>
        <v>396200</v>
      </c>
      <c r="K19" s="229">
        <f t="shared" si="9"/>
        <v>396200</v>
      </c>
      <c r="L19" s="229">
        <f t="shared" si="9"/>
        <v>396200</v>
      </c>
      <c r="M19" s="229">
        <f t="shared" si="9"/>
        <v>396200</v>
      </c>
      <c r="N19" s="229">
        <f t="shared" si="9"/>
        <v>396200</v>
      </c>
      <c r="O19" s="229">
        <f t="shared" si="9"/>
        <v>396200</v>
      </c>
      <c r="P19" s="74">
        <f t="shared" si="9"/>
        <v>4754400</v>
      </c>
      <c r="Q19" s="23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R20" s="1"/>
      <c r="S20" s="1"/>
      <c r="T20" s="1"/>
      <c r="U20" s="1"/>
      <c r="V20" s="1"/>
      <c r="W20" s="1"/>
      <c r="X20" s="1"/>
      <c r="Y20" s="1"/>
      <c r="Z20" s="1"/>
    </row>
    <row r="21" spans="1:26" ht="15.75" thickBot="1" x14ac:dyDescent="0.3">
      <c r="R21" s="1"/>
      <c r="S21" s="1"/>
      <c r="T21" s="1"/>
      <c r="U21" s="1"/>
      <c r="V21" s="1"/>
      <c r="W21" s="1"/>
      <c r="X21" s="1"/>
      <c r="Y21" s="1"/>
      <c r="Z21" s="1"/>
    </row>
    <row r="22" spans="1:26" ht="27" thickBot="1" x14ac:dyDescent="0.45">
      <c r="B22" s="526" t="s">
        <v>102</v>
      </c>
      <c r="C22" s="464"/>
      <c r="D22" s="464"/>
      <c r="E22" s="464"/>
      <c r="F22" s="464"/>
      <c r="G22" s="464"/>
      <c r="H22" s="464"/>
      <c r="I22" s="464"/>
      <c r="J22" s="464"/>
      <c r="K22" s="464"/>
      <c r="L22" s="464"/>
      <c r="M22" s="464"/>
      <c r="N22" s="464"/>
      <c r="O22" s="464"/>
      <c r="P22" s="464"/>
      <c r="Q22" s="464"/>
      <c r="R22" s="1"/>
      <c r="S22" s="1"/>
      <c r="T22" s="1"/>
      <c r="U22" s="1"/>
      <c r="V22" s="1"/>
      <c r="W22" s="1"/>
      <c r="X22" s="1"/>
      <c r="Y22" s="1"/>
      <c r="Z22" s="1"/>
    </row>
    <row r="23" spans="1:26" ht="19.5" thickBot="1" x14ac:dyDescent="0.3">
      <c r="A23" s="1"/>
      <c r="B23" s="525" t="s">
        <v>97</v>
      </c>
      <c r="C23" s="464"/>
      <c r="D23" s="228" t="s">
        <v>41</v>
      </c>
      <c r="E23" s="228" t="s">
        <v>42</v>
      </c>
      <c r="F23" s="228" t="s">
        <v>43</v>
      </c>
      <c r="G23" s="228" t="s">
        <v>44</v>
      </c>
      <c r="H23" s="228" t="s">
        <v>45</v>
      </c>
      <c r="I23" s="228" t="s">
        <v>46</v>
      </c>
      <c r="J23" s="228" t="s">
        <v>47</v>
      </c>
      <c r="K23" s="228" t="s">
        <v>48</v>
      </c>
      <c r="L23" s="228" t="s">
        <v>49</v>
      </c>
      <c r="M23" s="228" t="s">
        <v>50</v>
      </c>
      <c r="N23" s="228" t="s">
        <v>51</v>
      </c>
      <c r="O23" s="228" t="s">
        <v>52</v>
      </c>
      <c r="P23" s="228" t="s">
        <v>98</v>
      </c>
      <c r="Q23" s="228" t="s">
        <v>99</v>
      </c>
      <c r="R23" s="1"/>
      <c r="S23" s="1"/>
      <c r="T23" s="1"/>
      <c r="U23" s="1"/>
      <c r="V23" s="1"/>
      <c r="W23" s="1"/>
      <c r="X23" s="1"/>
      <c r="Y23" s="1"/>
      <c r="Z23" s="1"/>
    </row>
    <row r="24" spans="1:26" ht="19.5" thickBot="1" x14ac:dyDescent="0.3">
      <c r="A24" s="1"/>
      <c r="B24" s="230" t="s">
        <v>207</v>
      </c>
      <c r="C24" s="231" t="s">
        <v>166</v>
      </c>
      <c r="D24" s="76">
        <f>$C$49</f>
        <v>4200</v>
      </c>
      <c r="E24" s="76">
        <f t="shared" ref="E24:O24" si="10">$C$49</f>
        <v>4200</v>
      </c>
      <c r="F24" s="76">
        <f t="shared" si="10"/>
        <v>4200</v>
      </c>
      <c r="G24" s="76">
        <f t="shared" si="10"/>
        <v>4200</v>
      </c>
      <c r="H24" s="76">
        <f t="shared" si="10"/>
        <v>4200</v>
      </c>
      <c r="I24" s="76">
        <f t="shared" si="10"/>
        <v>4200</v>
      </c>
      <c r="J24" s="76">
        <f t="shared" si="10"/>
        <v>4200</v>
      </c>
      <c r="K24" s="76">
        <f t="shared" si="10"/>
        <v>4200</v>
      </c>
      <c r="L24" s="76">
        <f t="shared" si="10"/>
        <v>4200</v>
      </c>
      <c r="M24" s="76">
        <f t="shared" si="10"/>
        <v>4200</v>
      </c>
      <c r="N24" s="76">
        <f t="shared" si="10"/>
        <v>4200</v>
      </c>
      <c r="O24" s="76">
        <f t="shared" si="10"/>
        <v>4200</v>
      </c>
      <c r="P24" s="229">
        <f t="shared" ref="P24:P31" si="11">SUM(D24:O24)</f>
        <v>50400</v>
      </c>
      <c r="Q24" s="232"/>
    </row>
    <row r="25" spans="1:26" ht="15.75" customHeight="1" thickBot="1" x14ac:dyDescent="0.3">
      <c r="A25" s="1"/>
      <c r="B25" s="233" t="s">
        <v>263</v>
      </c>
      <c r="C25" s="231" t="s">
        <v>168</v>
      </c>
      <c r="D25" s="76">
        <f>$C$50</f>
        <v>200000</v>
      </c>
      <c r="E25" s="76">
        <f>$C$50</f>
        <v>200000</v>
      </c>
      <c r="F25" s="76">
        <f>$C$50</f>
        <v>200000</v>
      </c>
      <c r="G25" s="76">
        <f t="shared" ref="G25:O25" si="12">$C$50</f>
        <v>200000</v>
      </c>
      <c r="H25" s="76">
        <f t="shared" si="12"/>
        <v>200000</v>
      </c>
      <c r="I25" s="76">
        <f t="shared" si="12"/>
        <v>200000</v>
      </c>
      <c r="J25" s="76">
        <f t="shared" si="12"/>
        <v>200000</v>
      </c>
      <c r="K25" s="76">
        <f t="shared" si="12"/>
        <v>200000</v>
      </c>
      <c r="L25" s="76">
        <f t="shared" si="12"/>
        <v>200000</v>
      </c>
      <c r="M25" s="76">
        <f t="shared" si="12"/>
        <v>200000</v>
      </c>
      <c r="N25" s="76">
        <f t="shared" si="12"/>
        <v>200000</v>
      </c>
      <c r="O25" s="76">
        <f t="shared" si="12"/>
        <v>200000</v>
      </c>
      <c r="P25" s="229">
        <f t="shared" si="11"/>
        <v>2400000</v>
      </c>
      <c r="Q25" s="234"/>
    </row>
    <row r="26" spans="1:26" ht="15.75" customHeight="1" thickBot="1" x14ac:dyDescent="0.3">
      <c r="A26" s="1"/>
      <c r="B26" s="233" t="s">
        <v>100</v>
      </c>
      <c r="C26" s="231" t="s">
        <v>167</v>
      </c>
      <c r="D26" s="76">
        <f t="shared" ref="D26:O26" si="13">$C$51</f>
        <v>75000</v>
      </c>
      <c r="E26" s="76">
        <f t="shared" si="13"/>
        <v>75000</v>
      </c>
      <c r="F26" s="76">
        <f t="shared" si="13"/>
        <v>75000</v>
      </c>
      <c r="G26" s="76">
        <f t="shared" si="13"/>
        <v>75000</v>
      </c>
      <c r="H26" s="76">
        <f t="shared" si="13"/>
        <v>75000</v>
      </c>
      <c r="I26" s="76">
        <f t="shared" si="13"/>
        <v>75000</v>
      </c>
      <c r="J26" s="76">
        <f t="shared" si="13"/>
        <v>75000</v>
      </c>
      <c r="K26" s="76">
        <f t="shared" si="13"/>
        <v>75000</v>
      </c>
      <c r="L26" s="76">
        <f t="shared" si="13"/>
        <v>75000</v>
      </c>
      <c r="M26" s="76">
        <f t="shared" si="13"/>
        <v>75000</v>
      </c>
      <c r="N26" s="76">
        <f t="shared" si="13"/>
        <v>75000</v>
      </c>
      <c r="O26" s="76">
        <f t="shared" si="13"/>
        <v>75000</v>
      </c>
      <c r="P26" s="229">
        <f t="shared" si="11"/>
        <v>900000</v>
      </c>
      <c r="Q26" s="234"/>
    </row>
    <row r="27" spans="1:26" ht="15.75" customHeight="1" thickBot="1" x14ac:dyDescent="0.3">
      <c r="A27" s="1"/>
      <c r="B27" s="230" t="s">
        <v>208</v>
      </c>
      <c r="C27" s="231" t="s">
        <v>213</v>
      </c>
      <c r="D27" s="76">
        <f t="shared" ref="D27:O27" si="14">$C$55</f>
        <v>30000</v>
      </c>
      <c r="E27" s="76">
        <f t="shared" si="14"/>
        <v>30000</v>
      </c>
      <c r="F27" s="76">
        <f t="shared" si="14"/>
        <v>30000</v>
      </c>
      <c r="G27" s="76">
        <f t="shared" si="14"/>
        <v>30000</v>
      </c>
      <c r="H27" s="76">
        <f t="shared" si="14"/>
        <v>30000</v>
      </c>
      <c r="I27" s="76">
        <f t="shared" si="14"/>
        <v>30000</v>
      </c>
      <c r="J27" s="76">
        <f t="shared" si="14"/>
        <v>30000</v>
      </c>
      <c r="K27" s="76">
        <f t="shared" si="14"/>
        <v>30000</v>
      </c>
      <c r="L27" s="76">
        <f t="shared" si="14"/>
        <v>30000</v>
      </c>
      <c r="M27" s="76">
        <f t="shared" si="14"/>
        <v>30000</v>
      </c>
      <c r="N27" s="76">
        <f t="shared" si="14"/>
        <v>30000</v>
      </c>
      <c r="O27" s="76">
        <f t="shared" si="14"/>
        <v>30000</v>
      </c>
      <c r="P27" s="229">
        <f t="shared" si="11"/>
        <v>360000</v>
      </c>
      <c r="Q27" s="234"/>
    </row>
    <row r="28" spans="1:26" ht="15.75" customHeight="1" thickBot="1" x14ac:dyDescent="0.3">
      <c r="A28" s="1"/>
      <c r="B28" s="230" t="s">
        <v>209</v>
      </c>
      <c r="C28" s="231" t="s">
        <v>214</v>
      </c>
      <c r="D28" s="76">
        <f>$C$56 * 2</f>
        <v>28000</v>
      </c>
      <c r="E28" s="76">
        <f t="shared" ref="E28:O28" si="15">$C$56 * 2</f>
        <v>28000</v>
      </c>
      <c r="F28" s="76">
        <f t="shared" si="15"/>
        <v>28000</v>
      </c>
      <c r="G28" s="76">
        <f t="shared" si="15"/>
        <v>28000</v>
      </c>
      <c r="H28" s="76">
        <f t="shared" si="15"/>
        <v>28000</v>
      </c>
      <c r="I28" s="76">
        <f t="shared" si="15"/>
        <v>28000</v>
      </c>
      <c r="J28" s="76">
        <f t="shared" si="15"/>
        <v>28000</v>
      </c>
      <c r="K28" s="76">
        <f t="shared" si="15"/>
        <v>28000</v>
      </c>
      <c r="L28" s="76">
        <f t="shared" si="15"/>
        <v>28000</v>
      </c>
      <c r="M28" s="76">
        <f t="shared" si="15"/>
        <v>28000</v>
      </c>
      <c r="N28" s="76">
        <f t="shared" si="15"/>
        <v>28000</v>
      </c>
      <c r="O28" s="76">
        <f t="shared" si="15"/>
        <v>28000</v>
      </c>
      <c r="P28" s="229">
        <f t="shared" si="11"/>
        <v>336000</v>
      </c>
      <c r="Q28" s="170" t="s">
        <v>261</v>
      </c>
    </row>
    <row r="29" spans="1:26" ht="15.75" customHeight="1" thickBot="1" x14ac:dyDescent="0.3">
      <c r="A29" s="1"/>
      <c r="B29" s="230" t="s">
        <v>210</v>
      </c>
      <c r="C29" s="231" t="s">
        <v>215</v>
      </c>
      <c r="D29" s="76">
        <f t="shared" ref="D29:O29" si="16">$C$57</f>
        <v>11000</v>
      </c>
      <c r="E29" s="76">
        <f t="shared" si="16"/>
        <v>11000</v>
      </c>
      <c r="F29" s="76">
        <f t="shared" si="16"/>
        <v>11000</v>
      </c>
      <c r="G29" s="76">
        <f t="shared" si="16"/>
        <v>11000</v>
      </c>
      <c r="H29" s="76">
        <f t="shared" si="16"/>
        <v>11000</v>
      </c>
      <c r="I29" s="76">
        <f t="shared" si="16"/>
        <v>11000</v>
      </c>
      <c r="J29" s="76">
        <f t="shared" si="16"/>
        <v>11000</v>
      </c>
      <c r="K29" s="76">
        <f t="shared" si="16"/>
        <v>11000</v>
      </c>
      <c r="L29" s="76">
        <f t="shared" si="16"/>
        <v>11000</v>
      </c>
      <c r="M29" s="76">
        <f t="shared" si="16"/>
        <v>11000</v>
      </c>
      <c r="N29" s="76">
        <f t="shared" si="16"/>
        <v>11000</v>
      </c>
      <c r="O29" s="76">
        <f t="shared" si="16"/>
        <v>11000</v>
      </c>
      <c r="P29" s="229">
        <f t="shared" si="11"/>
        <v>132000</v>
      </c>
      <c r="Q29" s="234"/>
    </row>
    <row r="30" spans="1:26" ht="15.75" customHeight="1" thickBot="1" x14ac:dyDescent="0.3">
      <c r="B30" s="230" t="s">
        <v>211</v>
      </c>
      <c r="C30" s="231" t="s">
        <v>216</v>
      </c>
      <c r="D30" s="76">
        <f t="shared" ref="D30:O30" si="17">$C$58</f>
        <v>12000</v>
      </c>
      <c r="E30" s="76">
        <f t="shared" si="17"/>
        <v>12000</v>
      </c>
      <c r="F30" s="76">
        <f t="shared" si="17"/>
        <v>12000</v>
      </c>
      <c r="G30" s="76">
        <f t="shared" si="17"/>
        <v>12000</v>
      </c>
      <c r="H30" s="76">
        <f t="shared" si="17"/>
        <v>12000</v>
      </c>
      <c r="I30" s="76">
        <f t="shared" si="17"/>
        <v>12000</v>
      </c>
      <c r="J30" s="76">
        <f t="shared" si="17"/>
        <v>12000</v>
      </c>
      <c r="K30" s="76">
        <f t="shared" si="17"/>
        <v>12000</v>
      </c>
      <c r="L30" s="76">
        <f t="shared" si="17"/>
        <v>12000</v>
      </c>
      <c r="M30" s="76">
        <f t="shared" si="17"/>
        <v>12000</v>
      </c>
      <c r="N30" s="76">
        <f t="shared" si="17"/>
        <v>12000</v>
      </c>
      <c r="O30" s="76">
        <f t="shared" si="17"/>
        <v>12000</v>
      </c>
      <c r="P30" s="229">
        <f t="shared" si="11"/>
        <v>144000</v>
      </c>
      <c r="Q30" s="234"/>
    </row>
    <row r="31" spans="1:26" ht="15.75" customHeight="1" thickBot="1" x14ac:dyDescent="0.3">
      <c r="B31" s="230" t="s">
        <v>212</v>
      </c>
      <c r="C31" s="231" t="s">
        <v>217</v>
      </c>
      <c r="D31" s="76">
        <f t="shared" ref="D31:O31" si="18">$C$59 *2</f>
        <v>100000</v>
      </c>
      <c r="E31" s="76">
        <f t="shared" si="18"/>
        <v>100000</v>
      </c>
      <c r="F31" s="76">
        <f t="shared" si="18"/>
        <v>100000</v>
      </c>
      <c r="G31" s="76">
        <f t="shared" si="18"/>
        <v>100000</v>
      </c>
      <c r="H31" s="76">
        <f t="shared" si="18"/>
        <v>100000</v>
      </c>
      <c r="I31" s="76">
        <f t="shared" si="18"/>
        <v>100000</v>
      </c>
      <c r="J31" s="76">
        <f t="shared" si="18"/>
        <v>100000</v>
      </c>
      <c r="K31" s="76">
        <f t="shared" si="18"/>
        <v>100000</v>
      </c>
      <c r="L31" s="76">
        <f t="shared" si="18"/>
        <v>100000</v>
      </c>
      <c r="M31" s="76">
        <f t="shared" si="18"/>
        <v>100000</v>
      </c>
      <c r="N31" s="76">
        <f t="shared" si="18"/>
        <v>100000</v>
      </c>
      <c r="O31" s="76">
        <f t="shared" si="18"/>
        <v>100000</v>
      </c>
      <c r="P31" s="229">
        <f t="shared" si="11"/>
        <v>1200000</v>
      </c>
      <c r="Q31" s="232" t="s">
        <v>235</v>
      </c>
    </row>
    <row r="32" spans="1:26" ht="15.75" thickBot="1" x14ac:dyDescent="0.3">
      <c r="A32" s="1"/>
      <c r="B32" s="231"/>
      <c r="C32" s="235" t="s">
        <v>31</v>
      </c>
      <c r="D32" s="229">
        <f>SUM(D24:D31)</f>
        <v>460200</v>
      </c>
      <c r="E32" s="229">
        <f t="shared" ref="E32" si="19">SUM(E24:E31)</f>
        <v>460200</v>
      </c>
      <c r="F32" s="229">
        <f t="shared" ref="F32" si="20">SUM(F24:F31)</f>
        <v>460200</v>
      </c>
      <c r="G32" s="229">
        <f t="shared" ref="G32" si="21">SUM(G24:G31)</f>
        <v>460200</v>
      </c>
      <c r="H32" s="229">
        <f t="shared" ref="H32" si="22">SUM(H24:H31)</f>
        <v>460200</v>
      </c>
      <c r="I32" s="229">
        <f t="shared" ref="I32" si="23">SUM(I24:I31)</f>
        <v>460200</v>
      </c>
      <c r="J32" s="229">
        <f t="shared" ref="J32" si="24">SUM(J24:J31)</f>
        <v>460200</v>
      </c>
      <c r="K32" s="229">
        <f t="shared" ref="K32" si="25">SUM(K24:K31)</f>
        <v>460200</v>
      </c>
      <c r="L32" s="229">
        <f t="shared" ref="L32" si="26">SUM(L24:L31)</f>
        <v>460200</v>
      </c>
      <c r="M32" s="229">
        <f t="shared" ref="M32" si="27">SUM(M24:M31)</f>
        <v>460200</v>
      </c>
      <c r="N32" s="229">
        <f t="shared" ref="N32" si="28">SUM(N24:N31)</f>
        <v>460200</v>
      </c>
      <c r="O32" s="229">
        <f t="shared" ref="O32" si="29">SUM(O24:O31)</f>
        <v>460200</v>
      </c>
      <c r="P32" s="74">
        <f>SUM(P24:P31)</f>
        <v>5522400</v>
      </c>
      <c r="Q32" s="23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26" ht="15.75" customHeight="1" thickBot="1" x14ac:dyDescent="0.3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26" ht="30.75" customHeight="1" thickBot="1" x14ac:dyDescent="0.45">
      <c r="A35" s="1"/>
      <c r="B35" s="526" t="s">
        <v>206</v>
      </c>
      <c r="C35" s="464"/>
      <c r="D35" s="464"/>
      <c r="E35" s="464"/>
      <c r="F35" s="464"/>
      <c r="G35" s="464"/>
      <c r="H35" s="464"/>
      <c r="I35" s="464"/>
      <c r="J35" s="464"/>
      <c r="K35" s="464"/>
      <c r="L35" s="464"/>
      <c r="M35" s="464"/>
      <c r="N35" s="464"/>
      <c r="O35" s="464"/>
      <c r="P35" s="464"/>
      <c r="Q35" s="464"/>
    </row>
    <row r="36" spans="1:26" ht="15.75" customHeight="1" thickBot="1" x14ac:dyDescent="0.3">
      <c r="A36" s="1"/>
      <c r="B36" s="525" t="s">
        <v>97</v>
      </c>
      <c r="C36" s="464"/>
      <c r="D36" s="228" t="s">
        <v>41</v>
      </c>
      <c r="E36" s="228" t="s">
        <v>42</v>
      </c>
      <c r="F36" s="228" t="s">
        <v>43</v>
      </c>
      <c r="G36" s="228" t="s">
        <v>44</v>
      </c>
      <c r="H36" s="228" t="s">
        <v>45</v>
      </c>
      <c r="I36" s="228" t="s">
        <v>46</v>
      </c>
      <c r="J36" s="228" t="s">
        <v>47</v>
      </c>
      <c r="K36" s="228" t="s">
        <v>48</v>
      </c>
      <c r="L36" s="228" t="s">
        <v>49</v>
      </c>
      <c r="M36" s="228" t="s">
        <v>50</v>
      </c>
      <c r="N36" s="228" t="s">
        <v>51</v>
      </c>
      <c r="O36" s="228" t="s">
        <v>52</v>
      </c>
      <c r="P36" s="228" t="s">
        <v>98</v>
      </c>
      <c r="Q36" s="228" t="s">
        <v>99</v>
      </c>
    </row>
    <row r="37" spans="1:26" ht="15.75" customHeight="1" thickBot="1" x14ac:dyDescent="0.3">
      <c r="A37" s="1"/>
      <c r="B37" s="230" t="s">
        <v>207</v>
      </c>
      <c r="C37" s="231" t="s">
        <v>166</v>
      </c>
      <c r="D37" s="76">
        <f>$C$49</f>
        <v>4200</v>
      </c>
      <c r="E37" s="76">
        <f t="shared" ref="E37:O37" si="30">$C$49</f>
        <v>4200</v>
      </c>
      <c r="F37" s="76">
        <f t="shared" si="30"/>
        <v>4200</v>
      </c>
      <c r="G37" s="76">
        <f t="shared" si="30"/>
        <v>4200</v>
      </c>
      <c r="H37" s="76">
        <f t="shared" si="30"/>
        <v>4200</v>
      </c>
      <c r="I37" s="76">
        <f t="shared" si="30"/>
        <v>4200</v>
      </c>
      <c r="J37" s="76">
        <f t="shared" si="30"/>
        <v>4200</v>
      </c>
      <c r="K37" s="76">
        <f t="shared" si="30"/>
        <v>4200</v>
      </c>
      <c r="L37" s="76">
        <f t="shared" si="30"/>
        <v>4200</v>
      </c>
      <c r="M37" s="76">
        <f t="shared" si="30"/>
        <v>4200</v>
      </c>
      <c r="N37" s="76">
        <f t="shared" si="30"/>
        <v>4200</v>
      </c>
      <c r="O37" s="76">
        <f t="shared" si="30"/>
        <v>4200</v>
      </c>
      <c r="P37" s="229">
        <f t="shared" ref="P37:P44" si="31">SUM(D37:O37)</f>
        <v>50400</v>
      </c>
      <c r="Q37" s="232"/>
    </row>
    <row r="38" spans="1:26" ht="15.75" customHeight="1" thickBot="1" x14ac:dyDescent="0.3">
      <c r="B38" s="233" t="s">
        <v>263</v>
      </c>
      <c r="C38" s="231" t="s">
        <v>168</v>
      </c>
      <c r="D38" s="76">
        <f>$C$50</f>
        <v>200000</v>
      </c>
      <c r="E38" s="76">
        <f>$C$50</f>
        <v>200000</v>
      </c>
      <c r="F38" s="76">
        <f>$C$50</f>
        <v>200000</v>
      </c>
      <c r="G38" s="76">
        <f t="shared" ref="G38:O38" si="32">$C$50</f>
        <v>200000</v>
      </c>
      <c r="H38" s="76">
        <f t="shared" si="32"/>
        <v>200000</v>
      </c>
      <c r="I38" s="76">
        <f t="shared" si="32"/>
        <v>200000</v>
      </c>
      <c r="J38" s="76">
        <f t="shared" si="32"/>
        <v>200000</v>
      </c>
      <c r="K38" s="76">
        <f t="shared" si="32"/>
        <v>200000</v>
      </c>
      <c r="L38" s="76">
        <f t="shared" si="32"/>
        <v>200000</v>
      </c>
      <c r="M38" s="76">
        <f t="shared" si="32"/>
        <v>200000</v>
      </c>
      <c r="N38" s="76">
        <f t="shared" si="32"/>
        <v>200000</v>
      </c>
      <c r="O38" s="76">
        <f t="shared" si="32"/>
        <v>200000</v>
      </c>
      <c r="P38" s="229">
        <f t="shared" si="31"/>
        <v>2400000</v>
      </c>
      <c r="Q38" s="234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thickBot="1" x14ac:dyDescent="0.3">
      <c r="B39" s="233" t="s">
        <v>100</v>
      </c>
      <c r="C39" s="231" t="s">
        <v>167</v>
      </c>
      <c r="D39" s="76">
        <f t="shared" ref="D39:O39" si="33">$C$51</f>
        <v>75000</v>
      </c>
      <c r="E39" s="76">
        <f t="shared" si="33"/>
        <v>75000</v>
      </c>
      <c r="F39" s="76">
        <f t="shared" si="33"/>
        <v>75000</v>
      </c>
      <c r="G39" s="76">
        <f t="shared" si="33"/>
        <v>75000</v>
      </c>
      <c r="H39" s="76">
        <f t="shared" si="33"/>
        <v>75000</v>
      </c>
      <c r="I39" s="76">
        <f t="shared" si="33"/>
        <v>75000</v>
      </c>
      <c r="J39" s="76">
        <f t="shared" si="33"/>
        <v>75000</v>
      </c>
      <c r="K39" s="76">
        <f t="shared" si="33"/>
        <v>75000</v>
      </c>
      <c r="L39" s="76">
        <f t="shared" si="33"/>
        <v>75000</v>
      </c>
      <c r="M39" s="76">
        <f t="shared" si="33"/>
        <v>75000</v>
      </c>
      <c r="N39" s="76">
        <f t="shared" si="33"/>
        <v>75000</v>
      </c>
      <c r="O39" s="76">
        <f t="shared" si="33"/>
        <v>75000</v>
      </c>
      <c r="P39" s="229">
        <f t="shared" si="31"/>
        <v>900000</v>
      </c>
      <c r="Q39" s="234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thickBot="1" x14ac:dyDescent="0.3">
      <c r="B40" s="230" t="s">
        <v>208</v>
      </c>
      <c r="C40" s="231" t="s">
        <v>213</v>
      </c>
      <c r="D40" s="76">
        <f t="shared" ref="D40:O40" si="34">$C$55</f>
        <v>30000</v>
      </c>
      <c r="E40" s="76">
        <f t="shared" si="34"/>
        <v>30000</v>
      </c>
      <c r="F40" s="76">
        <f t="shared" si="34"/>
        <v>30000</v>
      </c>
      <c r="G40" s="76">
        <f t="shared" si="34"/>
        <v>30000</v>
      </c>
      <c r="H40" s="76">
        <f t="shared" si="34"/>
        <v>30000</v>
      </c>
      <c r="I40" s="76">
        <f t="shared" si="34"/>
        <v>30000</v>
      </c>
      <c r="J40" s="76">
        <f t="shared" si="34"/>
        <v>30000</v>
      </c>
      <c r="K40" s="76">
        <f t="shared" si="34"/>
        <v>30000</v>
      </c>
      <c r="L40" s="76">
        <f t="shared" si="34"/>
        <v>30000</v>
      </c>
      <c r="M40" s="76">
        <f t="shared" si="34"/>
        <v>30000</v>
      </c>
      <c r="N40" s="76">
        <f t="shared" si="34"/>
        <v>30000</v>
      </c>
      <c r="O40" s="76">
        <f t="shared" si="34"/>
        <v>30000</v>
      </c>
      <c r="P40" s="229">
        <f t="shared" si="31"/>
        <v>360000</v>
      </c>
      <c r="Q40" s="234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thickBot="1" x14ac:dyDescent="0.3">
      <c r="B41" s="230" t="s">
        <v>209</v>
      </c>
      <c r="C41" s="231" t="s">
        <v>214</v>
      </c>
      <c r="D41" s="76">
        <f>$C$56 * 3</f>
        <v>42000</v>
      </c>
      <c r="E41" s="76">
        <f t="shared" ref="E41:O41" si="35">$C$56 * 3</f>
        <v>42000</v>
      </c>
      <c r="F41" s="76">
        <f t="shared" si="35"/>
        <v>42000</v>
      </c>
      <c r="G41" s="76">
        <f t="shared" si="35"/>
        <v>42000</v>
      </c>
      <c r="H41" s="76">
        <f t="shared" si="35"/>
        <v>42000</v>
      </c>
      <c r="I41" s="76">
        <f t="shared" si="35"/>
        <v>42000</v>
      </c>
      <c r="J41" s="76">
        <f t="shared" si="35"/>
        <v>42000</v>
      </c>
      <c r="K41" s="76">
        <f t="shared" si="35"/>
        <v>42000</v>
      </c>
      <c r="L41" s="76">
        <f t="shared" si="35"/>
        <v>42000</v>
      </c>
      <c r="M41" s="76">
        <f t="shared" si="35"/>
        <v>42000</v>
      </c>
      <c r="N41" s="76">
        <f t="shared" si="35"/>
        <v>42000</v>
      </c>
      <c r="O41" s="76">
        <f t="shared" si="35"/>
        <v>42000</v>
      </c>
      <c r="P41" s="229">
        <f t="shared" si="31"/>
        <v>504000</v>
      </c>
      <c r="Q41" s="170" t="s">
        <v>261</v>
      </c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thickBot="1" x14ac:dyDescent="0.3">
      <c r="B42" s="230" t="s">
        <v>210</v>
      </c>
      <c r="C42" s="231" t="s">
        <v>215</v>
      </c>
      <c r="D42" s="76">
        <f t="shared" ref="D42:O42" si="36">$C$57</f>
        <v>11000</v>
      </c>
      <c r="E42" s="76">
        <f t="shared" si="36"/>
        <v>11000</v>
      </c>
      <c r="F42" s="76">
        <f t="shared" si="36"/>
        <v>11000</v>
      </c>
      <c r="G42" s="76">
        <f t="shared" si="36"/>
        <v>11000</v>
      </c>
      <c r="H42" s="76">
        <f t="shared" si="36"/>
        <v>11000</v>
      </c>
      <c r="I42" s="76">
        <f t="shared" si="36"/>
        <v>11000</v>
      </c>
      <c r="J42" s="76">
        <f t="shared" si="36"/>
        <v>11000</v>
      </c>
      <c r="K42" s="76">
        <f t="shared" si="36"/>
        <v>11000</v>
      </c>
      <c r="L42" s="76">
        <f t="shared" si="36"/>
        <v>11000</v>
      </c>
      <c r="M42" s="76">
        <f t="shared" si="36"/>
        <v>11000</v>
      </c>
      <c r="N42" s="76">
        <f t="shared" si="36"/>
        <v>11000</v>
      </c>
      <c r="O42" s="76">
        <f t="shared" si="36"/>
        <v>11000</v>
      </c>
      <c r="P42" s="229">
        <f t="shared" si="31"/>
        <v>132000</v>
      </c>
      <c r="Q42" s="234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thickBot="1" x14ac:dyDescent="0.3">
      <c r="B43" s="230" t="s">
        <v>211</v>
      </c>
      <c r="C43" s="231" t="s">
        <v>216</v>
      </c>
      <c r="D43" s="76">
        <f t="shared" ref="D43:O43" si="37">$C$58</f>
        <v>12000</v>
      </c>
      <c r="E43" s="76">
        <f t="shared" si="37"/>
        <v>12000</v>
      </c>
      <c r="F43" s="76">
        <f t="shared" si="37"/>
        <v>12000</v>
      </c>
      <c r="G43" s="76">
        <f t="shared" si="37"/>
        <v>12000</v>
      </c>
      <c r="H43" s="76">
        <f t="shared" si="37"/>
        <v>12000</v>
      </c>
      <c r="I43" s="76">
        <f t="shared" si="37"/>
        <v>12000</v>
      </c>
      <c r="J43" s="76">
        <f t="shared" si="37"/>
        <v>12000</v>
      </c>
      <c r="K43" s="76">
        <f t="shared" si="37"/>
        <v>12000</v>
      </c>
      <c r="L43" s="76">
        <f t="shared" si="37"/>
        <v>12000</v>
      </c>
      <c r="M43" s="76">
        <f t="shared" si="37"/>
        <v>12000</v>
      </c>
      <c r="N43" s="76">
        <f t="shared" si="37"/>
        <v>12000</v>
      </c>
      <c r="O43" s="76">
        <f t="shared" si="37"/>
        <v>12000</v>
      </c>
      <c r="P43" s="229">
        <f t="shared" si="31"/>
        <v>144000</v>
      </c>
      <c r="Q43" s="234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thickBot="1" x14ac:dyDescent="0.3">
      <c r="B44" s="230" t="s">
        <v>212</v>
      </c>
      <c r="C44" s="231" t="s">
        <v>217</v>
      </c>
      <c r="D44" s="76">
        <f t="shared" ref="D44:O44" si="38">$C$59 *3</f>
        <v>150000</v>
      </c>
      <c r="E44" s="76">
        <f t="shared" si="38"/>
        <v>150000</v>
      </c>
      <c r="F44" s="76">
        <f t="shared" si="38"/>
        <v>150000</v>
      </c>
      <c r="G44" s="76">
        <f t="shared" si="38"/>
        <v>150000</v>
      </c>
      <c r="H44" s="76">
        <f t="shared" si="38"/>
        <v>150000</v>
      </c>
      <c r="I44" s="76">
        <f t="shared" si="38"/>
        <v>150000</v>
      </c>
      <c r="J44" s="76">
        <f t="shared" si="38"/>
        <v>150000</v>
      </c>
      <c r="K44" s="76">
        <f t="shared" si="38"/>
        <v>150000</v>
      </c>
      <c r="L44" s="76">
        <f t="shared" si="38"/>
        <v>150000</v>
      </c>
      <c r="M44" s="76">
        <f t="shared" si="38"/>
        <v>150000</v>
      </c>
      <c r="N44" s="76">
        <f t="shared" si="38"/>
        <v>150000</v>
      </c>
      <c r="O44" s="76">
        <f t="shared" si="38"/>
        <v>150000</v>
      </c>
      <c r="P44" s="229">
        <f t="shared" si="31"/>
        <v>1800000</v>
      </c>
      <c r="Q44" s="232" t="s">
        <v>235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thickBot="1" x14ac:dyDescent="0.3">
      <c r="B45" s="231"/>
      <c r="C45" s="235" t="s">
        <v>31</v>
      </c>
      <c r="D45" s="229">
        <f>SUM(D37:D44)</f>
        <v>524200</v>
      </c>
      <c r="E45" s="229">
        <f t="shared" ref="E45" si="39">SUM(E37:E44)</f>
        <v>524200</v>
      </c>
      <c r="F45" s="229">
        <f t="shared" ref="F45" si="40">SUM(F37:F44)</f>
        <v>524200</v>
      </c>
      <c r="G45" s="229">
        <f t="shared" ref="G45" si="41">SUM(G37:G44)</f>
        <v>524200</v>
      </c>
      <c r="H45" s="229">
        <f t="shared" ref="H45" si="42">SUM(H37:H44)</f>
        <v>524200</v>
      </c>
      <c r="I45" s="229">
        <f t="shared" ref="I45" si="43">SUM(I37:I44)</f>
        <v>524200</v>
      </c>
      <c r="J45" s="229">
        <f t="shared" ref="J45" si="44">SUM(J37:J44)</f>
        <v>524200</v>
      </c>
      <c r="K45" s="229">
        <f t="shared" ref="K45" si="45">SUM(K37:K44)</f>
        <v>524200</v>
      </c>
      <c r="L45" s="229">
        <f t="shared" ref="L45" si="46">SUM(L37:L44)</f>
        <v>524200</v>
      </c>
      <c r="M45" s="229">
        <f t="shared" ref="M45" si="47">SUM(M37:M44)</f>
        <v>524200</v>
      </c>
      <c r="N45" s="229">
        <f t="shared" ref="N45" si="48">SUM(N37:N44)</f>
        <v>524200</v>
      </c>
      <c r="O45" s="229">
        <f t="shared" ref="O45" si="49">SUM(O37:O44)</f>
        <v>524200</v>
      </c>
      <c r="P45" s="74">
        <f>SUM(P37:P44)</f>
        <v>6290400</v>
      </c>
      <c r="Q45" s="23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R47" s="116"/>
      <c r="S47" s="116"/>
      <c r="T47" s="116"/>
      <c r="U47" s="116"/>
      <c r="V47" s="116"/>
      <c r="W47" s="116"/>
      <c r="X47" s="116"/>
      <c r="Y47" s="116"/>
      <c r="Z47" s="116"/>
    </row>
    <row r="48" spans="1:26" ht="15.75" customHeight="1" x14ac:dyDescent="0.25">
      <c r="B48" s="351" t="s">
        <v>233</v>
      </c>
      <c r="C48" s="351" t="s">
        <v>104</v>
      </c>
      <c r="D48" s="532" t="s">
        <v>234</v>
      </c>
      <c r="E48" s="532"/>
      <c r="F48" s="532"/>
      <c r="G48" s="532"/>
      <c r="H48" s="532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B49" s="286" t="s">
        <v>232</v>
      </c>
      <c r="C49" s="287">
        <v>4200</v>
      </c>
      <c r="D49" s="530" t="s">
        <v>221</v>
      </c>
      <c r="E49" s="530"/>
      <c r="F49" s="530"/>
      <c r="G49" s="530"/>
      <c r="H49" s="530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B50" s="286" t="s">
        <v>219</v>
      </c>
      <c r="C50" s="287">
        <v>200000</v>
      </c>
      <c r="D50" s="530" t="s">
        <v>230</v>
      </c>
      <c r="E50" s="531"/>
      <c r="F50" s="531"/>
      <c r="G50" s="531"/>
      <c r="H50" s="531"/>
      <c r="M50" s="116"/>
      <c r="N50" s="116"/>
      <c r="O50" s="116"/>
      <c r="P50" s="116"/>
      <c r="Q50" s="116"/>
      <c r="R50" s="116"/>
      <c r="S50" s="116"/>
      <c r="T50" s="116"/>
      <c r="U50" s="116"/>
    </row>
    <row r="51" spans="1:26" ht="15.75" customHeight="1" x14ac:dyDescent="0.25">
      <c r="B51" s="286" t="s">
        <v>220</v>
      </c>
      <c r="C51" s="287">
        <f>75000</f>
        <v>75000</v>
      </c>
      <c r="D51" s="530" t="s">
        <v>231</v>
      </c>
      <c r="E51" s="531"/>
      <c r="F51" s="531"/>
      <c r="G51" s="531"/>
      <c r="H51" s="53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B52" s="286" t="s">
        <v>258</v>
      </c>
      <c r="C52" s="287">
        <v>2500</v>
      </c>
      <c r="D52" s="527" t="s">
        <v>228</v>
      </c>
      <c r="E52" s="527"/>
      <c r="F52" s="527"/>
      <c r="G52" s="527"/>
      <c r="H52" s="527"/>
      <c r="Q52" s="1"/>
      <c r="R52" s="1"/>
      <c r="S52" s="1"/>
      <c r="T52" s="1"/>
      <c r="U52" s="1"/>
      <c r="V52" s="1"/>
      <c r="W52" s="1"/>
      <c r="X52" s="1"/>
      <c r="Y52" s="1"/>
    </row>
    <row r="53" spans="1:26" ht="15.75" customHeight="1" x14ac:dyDescent="0.25">
      <c r="B53" s="286" t="s">
        <v>259</v>
      </c>
      <c r="C53" s="288">
        <v>9</v>
      </c>
      <c r="D53" s="527"/>
      <c r="E53" s="527"/>
      <c r="F53" s="527"/>
      <c r="G53" s="527"/>
      <c r="H53" s="527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B54" s="286" t="s">
        <v>260</v>
      </c>
      <c r="C54" s="288">
        <v>3</v>
      </c>
      <c r="D54" s="527"/>
      <c r="E54" s="527"/>
      <c r="F54" s="527"/>
      <c r="G54" s="527"/>
      <c r="H54" s="527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B55" s="286" t="s">
        <v>223</v>
      </c>
      <c r="C55" s="287">
        <f>(C53+C54)*C52</f>
        <v>30000</v>
      </c>
      <c r="D55" s="527"/>
      <c r="E55" s="527"/>
      <c r="F55" s="527"/>
      <c r="G55" s="527"/>
      <c r="H55" s="527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B56" s="286" t="s">
        <v>224</v>
      </c>
      <c r="C56" s="287">
        <v>14000</v>
      </c>
      <c r="D56" s="527" t="s">
        <v>229</v>
      </c>
      <c r="E56" s="527"/>
      <c r="F56" s="527"/>
      <c r="G56" s="527"/>
      <c r="H56" s="527"/>
      <c r="M56" s="1"/>
      <c r="N56" s="1"/>
      <c r="O56" s="1"/>
      <c r="P56" s="1"/>
      <c r="Q56" s="1"/>
      <c r="R56" s="1"/>
      <c r="S56" s="1"/>
      <c r="T56" s="1"/>
      <c r="U56" s="1"/>
    </row>
    <row r="57" spans="1:26" ht="15.75" customHeight="1" x14ac:dyDescent="0.25">
      <c r="B57" s="286" t="s">
        <v>225</v>
      </c>
      <c r="C57" s="287">
        <v>11000</v>
      </c>
      <c r="D57" s="529" t="s">
        <v>243</v>
      </c>
      <c r="E57" s="529"/>
      <c r="F57" s="529"/>
      <c r="G57" s="529"/>
      <c r="H57" s="529"/>
      <c r="M57" s="1"/>
      <c r="N57" s="1"/>
      <c r="O57" s="1"/>
      <c r="P57" s="1"/>
      <c r="Q57" s="1"/>
      <c r="R57" s="1"/>
      <c r="S57" s="1"/>
      <c r="T57" s="1"/>
      <c r="U57" s="1"/>
    </row>
    <row r="58" spans="1:26" ht="15.75" customHeight="1" x14ac:dyDescent="0.25">
      <c r="B58" s="286" t="s">
        <v>226</v>
      </c>
      <c r="C58" s="287">
        <v>12000</v>
      </c>
      <c r="D58" s="527" t="s">
        <v>229</v>
      </c>
      <c r="E58" s="528"/>
      <c r="F58" s="528"/>
      <c r="G58" s="528"/>
      <c r="H58" s="528"/>
      <c r="M58" s="1"/>
      <c r="N58" s="1"/>
      <c r="O58" s="1"/>
      <c r="P58" s="1"/>
      <c r="Q58" s="1"/>
      <c r="R58" s="1"/>
      <c r="S58" s="1"/>
      <c r="T58" s="1"/>
      <c r="U58" s="1"/>
    </row>
    <row r="59" spans="1:26" ht="15.75" customHeight="1" x14ac:dyDescent="0.25">
      <c r="B59" s="286" t="s">
        <v>227</v>
      </c>
      <c r="C59" s="287">
        <v>50000</v>
      </c>
      <c r="D59" s="528"/>
      <c r="E59" s="528"/>
      <c r="F59" s="528"/>
      <c r="G59" s="528"/>
      <c r="H59" s="528"/>
      <c r="M59" s="1"/>
      <c r="N59" s="1"/>
      <c r="O59" s="1"/>
      <c r="P59" s="1"/>
      <c r="Q59" s="1"/>
      <c r="R59" s="1"/>
      <c r="S59" s="1"/>
      <c r="T59" s="1"/>
      <c r="U59" s="1"/>
    </row>
    <row r="60" spans="1:26" ht="15.75" customHeight="1" x14ac:dyDescent="0.25"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</sheetData>
  <mergeCells count="16">
    <mergeCell ref="D56:H56"/>
    <mergeCell ref="D58:H59"/>
    <mergeCell ref="D57:H57"/>
    <mergeCell ref="B35:Q35"/>
    <mergeCell ref="B36:C36"/>
    <mergeCell ref="D52:H55"/>
    <mergeCell ref="D49:H49"/>
    <mergeCell ref="D50:H50"/>
    <mergeCell ref="D51:H51"/>
    <mergeCell ref="D48:H48"/>
    <mergeCell ref="B23:C23"/>
    <mergeCell ref="C3:E3"/>
    <mergeCell ref="G3:I3"/>
    <mergeCell ref="B9:Q9"/>
    <mergeCell ref="B10:C10"/>
    <mergeCell ref="B22:Q22"/>
  </mergeCells>
  <pageMargins left="0.7" right="0.7" top="0.75" bottom="0.75" header="0" footer="0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970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35" sqref="B35:AA35"/>
    </sheetView>
  </sheetViews>
  <sheetFormatPr baseColWidth="10" defaultColWidth="12.625" defaultRowHeight="15" customHeight="1" x14ac:dyDescent="0.2"/>
  <cols>
    <col min="1" max="1" width="10" customWidth="1"/>
    <col min="2" max="2" width="86.625" customWidth="1"/>
    <col min="3" max="3" width="27.875" customWidth="1"/>
    <col min="4" max="4" width="21.375" customWidth="1"/>
    <col min="5" max="5" width="16.375" customWidth="1"/>
    <col min="6" max="6" width="15.625" bestFit="1" customWidth="1"/>
    <col min="7" max="7" width="16" bestFit="1" customWidth="1"/>
    <col min="8" max="8" width="15.625" bestFit="1" customWidth="1"/>
    <col min="9" max="9" width="15.125" bestFit="1" customWidth="1"/>
    <col min="10" max="10" width="15.625" bestFit="1" customWidth="1"/>
    <col min="11" max="11" width="14.625" customWidth="1"/>
    <col min="12" max="12" width="18.625" customWidth="1"/>
    <col min="13" max="13" width="10" customWidth="1"/>
    <col min="14" max="14" width="16.375" bestFit="1" customWidth="1"/>
    <col min="15" max="15" width="10" customWidth="1"/>
    <col min="16" max="16" width="16" bestFit="1" customWidth="1"/>
    <col min="17" max="17" width="10" customWidth="1"/>
    <col min="18" max="18" width="16" bestFit="1" customWidth="1"/>
    <col min="19" max="19" width="10" customWidth="1"/>
    <col min="20" max="20" width="16" bestFit="1" customWidth="1"/>
    <col min="21" max="21" width="10" customWidth="1"/>
    <col min="22" max="22" width="16" bestFit="1" customWidth="1"/>
    <col min="23" max="23" width="15.625" customWidth="1"/>
    <col min="24" max="24" width="17.125" bestFit="1" customWidth="1"/>
    <col min="25" max="25" width="12.125" bestFit="1" customWidth="1"/>
    <col min="26" max="26" width="15.625" bestFit="1" customWidth="1"/>
    <col min="27" max="27" width="18.125" bestFit="1" customWidth="1"/>
    <col min="28" max="28" width="10" customWidth="1"/>
    <col min="29" max="29" width="10.875" customWidth="1"/>
    <col min="30" max="31" width="10" customWidth="1"/>
  </cols>
  <sheetData>
    <row r="1" spans="1:31" ht="99" customHeight="1" x14ac:dyDescent="0.25">
      <c r="A1" s="201"/>
      <c r="B1" s="201"/>
      <c r="C1" s="201"/>
      <c r="D1" s="201"/>
      <c r="E1" s="202" t="s">
        <v>15</v>
      </c>
      <c r="F1" s="239"/>
      <c r="G1" s="239"/>
      <c r="H1" s="201"/>
      <c r="I1" s="201"/>
      <c r="J1" s="201"/>
      <c r="K1" s="201"/>
      <c r="L1" s="201"/>
      <c r="M1" s="201"/>
      <c r="N1" s="201"/>
      <c r="O1" s="201"/>
      <c r="P1" s="201"/>
      <c r="Q1" s="201"/>
      <c r="R1" s="201"/>
      <c r="S1" s="201"/>
      <c r="T1" s="201"/>
      <c r="U1" s="201"/>
      <c r="V1" s="201"/>
      <c r="W1" s="201"/>
      <c r="X1" s="201"/>
      <c r="Y1" s="201"/>
      <c r="Z1" s="201"/>
      <c r="AA1" s="201"/>
      <c r="AB1" s="201"/>
      <c r="AC1" s="201"/>
      <c r="AD1" s="201"/>
      <c r="AE1" s="201"/>
    </row>
    <row r="2" spans="1:3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26.25" x14ac:dyDescent="0.4">
      <c r="A4" s="1"/>
      <c r="B4" s="521" t="s">
        <v>37</v>
      </c>
      <c r="C4" s="434"/>
      <c r="D4" s="435"/>
      <c r="E4" s="21"/>
      <c r="F4" s="1"/>
      <c r="G4" s="1"/>
      <c r="H4" s="521" t="s">
        <v>105</v>
      </c>
      <c r="I4" s="434"/>
      <c r="J4" s="435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x14ac:dyDescent="0.25">
      <c r="A5" s="1"/>
      <c r="B5" s="204">
        <v>2022</v>
      </c>
      <c r="C5" s="204">
        <v>2023</v>
      </c>
      <c r="D5" s="204">
        <v>2024</v>
      </c>
      <c r="E5" s="64"/>
      <c r="F5" s="1"/>
      <c r="G5" s="1"/>
      <c r="H5" s="226">
        <v>2022</v>
      </c>
      <c r="I5" s="204">
        <v>2023</v>
      </c>
      <c r="J5" s="227">
        <v>2024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x14ac:dyDescent="0.25">
      <c r="A6" s="1"/>
      <c r="B6" s="25">
        <f>Hipótesis!C25</f>
        <v>0.1</v>
      </c>
      <c r="C6" s="25">
        <f>Hipótesis!C26</f>
        <v>0.2</v>
      </c>
      <c r="D6" s="25">
        <f>Hipótesis!C27</f>
        <v>0.3</v>
      </c>
      <c r="E6" s="75"/>
      <c r="F6" s="1"/>
      <c r="G6" s="1"/>
      <c r="H6" s="27">
        <f>$AA$31</f>
        <v>16778584.655999999</v>
      </c>
      <c r="I6" s="28">
        <f>AA44</f>
        <v>18678081.659600001</v>
      </c>
      <c r="J6" s="29">
        <f>AA57</f>
        <v>21934362.237200003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x14ac:dyDescent="0.25">
      <c r="A7" s="1"/>
      <c r="B7" s="65">
        <f>Hipótesis!D25</f>
        <v>29160000</v>
      </c>
      <c r="C7" s="65">
        <f>Hipótesis!D26</f>
        <v>58320000</v>
      </c>
      <c r="D7" s="65">
        <f>Hipótesis!D27</f>
        <v>87480000</v>
      </c>
      <c r="E7" s="73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.75" thickBot="1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27" thickBot="1" x14ac:dyDescent="0.45">
      <c r="A11" s="1"/>
      <c r="B11" s="526" t="s">
        <v>106</v>
      </c>
      <c r="C11" s="464"/>
      <c r="D11" s="464"/>
      <c r="E11" s="464"/>
      <c r="F11" s="464"/>
      <c r="G11" s="464"/>
      <c r="H11" s="464"/>
      <c r="I11" s="464"/>
      <c r="J11" s="464"/>
      <c r="K11" s="464"/>
      <c r="L11" s="464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6.5" thickBot="1" x14ac:dyDescent="0.3">
      <c r="A12" s="1"/>
      <c r="B12" s="543" t="s">
        <v>107</v>
      </c>
      <c r="C12" s="543" t="s">
        <v>108</v>
      </c>
      <c r="D12" s="544" t="s">
        <v>109</v>
      </c>
      <c r="E12" s="292" t="s">
        <v>110</v>
      </c>
      <c r="F12" s="292" t="s">
        <v>111</v>
      </c>
      <c r="G12" s="292" t="s">
        <v>112</v>
      </c>
      <c r="H12" s="292" t="s">
        <v>113</v>
      </c>
      <c r="I12" s="293" t="s">
        <v>114</v>
      </c>
      <c r="J12" s="293" t="s">
        <v>115</v>
      </c>
      <c r="K12" s="544" t="s">
        <v>116</v>
      </c>
      <c r="L12" s="544" t="s">
        <v>117</v>
      </c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6.5" thickBot="1" x14ac:dyDescent="0.3">
      <c r="A13" s="1"/>
      <c r="B13" s="464"/>
      <c r="C13" s="464"/>
      <c r="D13" s="464"/>
      <c r="E13" s="294">
        <v>0.1047</v>
      </c>
      <c r="F13" s="294">
        <v>1.54E-2</v>
      </c>
      <c r="G13" s="295">
        <v>0.06</v>
      </c>
      <c r="H13" s="294">
        <v>9.1999999999999998E-3</v>
      </c>
      <c r="I13" s="295" t="s">
        <v>118</v>
      </c>
      <c r="J13" s="295">
        <v>0.03</v>
      </c>
      <c r="K13" s="464"/>
      <c r="L13" s="464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.75" thickBot="1" x14ac:dyDescent="0.3">
      <c r="A14" s="1"/>
      <c r="B14" s="289" t="s">
        <v>239</v>
      </c>
      <c r="C14" s="281" t="str">
        <f>'Anexo capacidad operativa'!B43</f>
        <v>Gerente general</v>
      </c>
      <c r="D14" s="291">
        <v>289000</v>
      </c>
      <c r="E14" s="76">
        <f t="shared" ref="E14:H14" si="0">$D$14*E13</f>
        <v>30258.3</v>
      </c>
      <c r="F14" s="76">
        <f t="shared" si="0"/>
        <v>4450.6000000000004</v>
      </c>
      <c r="G14" s="76">
        <f t="shared" si="0"/>
        <v>17340</v>
      </c>
      <c r="H14" s="76">
        <f t="shared" si="0"/>
        <v>2658.8</v>
      </c>
      <c r="I14" s="76">
        <v>18.57</v>
      </c>
      <c r="J14" s="76">
        <f>$D$14*J13</f>
        <v>8670</v>
      </c>
      <c r="K14" s="76">
        <f t="shared" ref="K14:K19" si="1">SUM(E14:J14)</f>
        <v>63396.270000000004</v>
      </c>
      <c r="L14" s="296">
        <f t="shared" ref="L14:L19" si="2">D14+K14</f>
        <v>352396.27</v>
      </c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.75" thickBot="1" x14ac:dyDescent="0.3">
      <c r="A15" s="1"/>
      <c r="B15" s="289" t="s">
        <v>238</v>
      </c>
      <c r="C15" s="282" t="str">
        <f>'Anexo capacidad operativa'!B45</f>
        <v>Gerente de tecnologia</v>
      </c>
      <c r="D15" s="290">
        <v>287300</v>
      </c>
      <c r="E15" s="76">
        <f>$D$15*E13</f>
        <v>30080.31</v>
      </c>
      <c r="F15" s="76">
        <f>$D$15*F13</f>
        <v>4424.42</v>
      </c>
      <c r="G15" s="76">
        <f>$D$15*G13</f>
        <v>17238</v>
      </c>
      <c r="H15" s="76">
        <f>$D$15*H13</f>
        <v>2643.16</v>
      </c>
      <c r="I15" s="76">
        <v>18.57</v>
      </c>
      <c r="J15" s="76">
        <f>$D$15*J13</f>
        <v>8619</v>
      </c>
      <c r="K15" s="76">
        <f t="shared" si="1"/>
        <v>63023.46</v>
      </c>
      <c r="L15" s="296">
        <f t="shared" si="2"/>
        <v>350323.46</v>
      </c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.75" thickBot="1" x14ac:dyDescent="0.3">
      <c r="A16" s="1"/>
      <c r="B16" s="314" t="s">
        <v>241</v>
      </c>
      <c r="C16" s="282" t="str">
        <f>'Anexo capacidad operativa'!B46</f>
        <v>Gerente de administracion</v>
      </c>
      <c r="D16" s="290">
        <v>180200</v>
      </c>
      <c r="E16" s="76">
        <f>$D$16*E13</f>
        <v>18866.939999999999</v>
      </c>
      <c r="F16" s="76">
        <f>$D$16*F13</f>
        <v>2775.08</v>
      </c>
      <c r="G16" s="76">
        <f>$D$16*G13</f>
        <v>10812</v>
      </c>
      <c r="H16" s="76">
        <f>$D$16*H13</f>
        <v>1657.84</v>
      </c>
      <c r="I16" s="76">
        <v>18.57</v>
      </c>
      <c r="J16" s="76">
        <f>$D$16*J13</f>
        <v>5406</v>
      </c>
      <c r="K16" s="76">
        <f t="shared" si="1"/>
        <v>39536.429999999993</v>
      </c>
      <c r="L16" s="296">
        <f t="shared" si="2"/>
        <v>219736.43</v>
      </c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.75" thickBot="1" x14ac:dyDescent="0.3">
      <c r="A17" s="1"/>
      <c r="B17" s="289" t="s">
        <v>237</v>
      </c>
      <c r="C17" s="282" t="str">
        <f>'Anexo capacidad operativa'!B47</f>
        <v>Gerente de comuinicacion</v>
      </c>
      <c r="D17" s="290">
        <v>213800</v>
      </c>
      <c r="E17" s="76">
        <f>$D$17*E13</f>
        <v>22384.86</v>
      </c>
      <c r="F17" s="76">
        <f>$D$17*F13</f>
        <v>3292.52</v>
      </c>
      <c r="G17" s="76">
        <f>$D$17*G13</f>
        <v>12828</v>
      </c>
      <c r="H17" s="76">
        <f>$D$17*H13</f>
        <v>1966.96</v>
      </c>
      <c r="I17" s="76">
        <v>18.57</v>
      </c>
      <c r="J17" s="76">
        <f>$D$17*J13</f>
        <v>6414</v>
      </c>
      <c r="K17" s="76">
        <f t="shared" si="1"/>
        <v>46904.91</v>
      </c>
      <c r="L17" s="296">
        <f t="shared" si="2"/>
        <v>260704.91</v>
      </c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.75" thickBot="1" x14ac:dyDescent="0.3">
      <c r="A18" s="1"/>
      <c r="B18" s="542" t="s">
        <v>192</v>
      </c>
      <c r="C18" s="282" t="str">
        <f>'Anexo capacidad operativa'!B44</f>
        <v>Gerente de servicios</v>
      </c>
      <c r="D18" s="290">
        <v>176360</v>
      </c>
      <c r="E18" s="76">
        <f>$D$18*E13</f>
        <v>18464.892</v>
      </c>
      <c r="F18" s="76">
        <f>$D$18*F13</f>
        <v>2715.944</v>
      </c>
      <c r="G18" s="76">
        <f>$D$18*G13</f>
        <v>10581.6</v>
      </c>
      <c r="H18" s="76">
        <f>$D$18*H13</f>
        <v>1622.5119999999999</v>
      </c>
      <c r="I18" s="76">
        <v>18.57</v>
      </c>
      <c r="J18" s="76">
        <f>$D$18*J13</f>
        <v>5290.8</v>
      </c>
      <c r="K18" s="76">
        <f>SUM(E18:J18)</f>
        <v>38694.318000000007</v>
      </c>
      <c r="L18" s="296">
        <f>D18+K18</f>
        <v>215054.318</v>
      </c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.75" customHeight="1" thickBot="1" x14ac:dyDescent="0.3">
      <c r="A19" s="1"/>
      <c r="B19" s="542"/>
      <c r="C19" s="282" t="str">
        <f>'Anexo capacidad operativa'!B48</f>
        <v>Desarrollador</v>
      </c>
      <c r="D19" s="290">
        <v>222536</v>
      </c>
      <c r="E19" s="76">
        <f>$D$19*E13</f>
        <v>23299.519199999999</v>
      </c>
      <c r="F19" s="76">
        <f>$D$19*F13</f>
        <v>3427.0544</v>
      </c>
      <c r="G19" s="76">
        <f>$D$19*G13</f>
        <v>13352.16</v>
      </c>
      <c r="H19" s="76">
        <f>$D$19*H13</f>
        <v>2047.3311999999999</v>
      </c>
      <c r="I19" s="76">
        <v>18.57</v>
      </c>
      <c r="J19" s="76">
        <f>$D$19*J13</f>
        <v>6676.08</v>
      </c>
      <c r="K19" s="76">
        <f t="shared" si="1"/>
        <v>48820.714800000002</v>
      </c>
      <c r="L19" s="296">
        <f t="shared" si="2"/>
        <v>271356.71480000002</v>
      </c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.75" customHeight="1" thickBo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27" thickBot="1" x14ac:dyDescent="0.45">
      <c r="A23" s="1"/>
      <c r="B23" s="539" t="s">
        <v>255</v>
      </c>
      <c r="C23" s="540"/>
      <c r="D23" s="540"/>
      <c r="E23" s="540"/>
      <c r="F23" s="540"/>
      <c r="G23" s="540"/>
      <c r="H23" s="540"/>
      <c r="I23" s="540"/>
      <c r="J23" s="540"/>
      <c r="K23" s="540"/>
      <c r="L23" s="540"/>
      <c r="M23" s="540"/>
      <c r="N23" s="540"/>
      <c r="O23" s="540"/>
      <c r="P23" s="540"/>
      <c r="Q23" s="540"/>
      <c r="R23" s="540"/>
      <c r="S23" s="540"/>
      <c r="T23" s="540"/>
      <c r="U23" s="540"/>
      <c r="V23" s="540"/>
      <c r="W23" s="540"/>
      <c r="X23" s="540"/>
      <c r="Y23" s="540"/>
      <c r="Z23" s="540"/>
      <c r="AA23" s="541"/>
      <c r="AB23" s="1"/>
      <c r="AC23" s="1"/>
      <c r="AD23" s="1"/>
      <c r="AE23" s="1"/>
    </row>
    <row r="24" spans="1:31" ht="15.75" customHeight="1" x14ac:dyDescent="0.25">
      <c r="A24" s="1"/>
      <c r="B24" s="537" t="s">
        <v>108</v>
      </c>
      <c r="C24" s="533" t="s">
        <v>41</v>
      </c>
      <c r="D24" s="534"/>
      <c r="E24" s="533" t="s">
        <v>42</v>
      </c>
      <c r="F24" s="534"/>
      <c r="G24" s="533" t="s">
        <v>43</v>
      </c>
      <c r="H24" s="534"/>
      <c r="I24" s="533" t="s">
        <v>44</v>
      </c>
      <c r="J24" s="534"/>
      <c r="K24" s="533" t="s">
        <v>45</v>
      </c>
      <c r="L24" s="534"/>
      <c r="M24" s="533" t="s">
        <v>119</v>
      </c>
      <c r="N24" s="534"/>
      <c r="O24" s="533" t="s">
        <v>47</v>
      </c>
      <c r="P24" s="534"/>
      <c r="Q24" s="533" t="s">
        <v>48</v>
      </c>
      <c r="R24" s="534"/>
      <c r="S24" s="533" t="s">
        <v>49</v>
      </c>
      <c r="T24" s="534"/>
      <c r="U24" s="533" t="s">
        <v>50</v>
      </c>
      <c r="V24" s="534"/>
      <c r="W24" s="533" t="s">
        <v>51</v>
      </c>
      <c r="X24" s="534"/>
      <c r="Y24" s="533" t="s">
        <v>120</v>
      </c>
      <c r="Z24" s="534"/>
      <c r="AA24" s="535" t="s">
        <v>98</v>
      </c>
      <c r="AB24" s="1"/>
      <c r="AC24" s="1"/>
      <c r="AD24" s="1"/>
      <c r="AE24" s="1"/>
    </row>
    <row r="25" spans="1:31" ht="15.75" customHeight="1" thickBot="1" x14ac:dyDescent="0.3">
      <c r="A25" s="1"/>
      <c r="B25" s="538"/>
      <c r="C25" s="303" t="s">
        <v>54</v>
      </c>
      <c r="D25" s="303" t="s">
        <v>104</v>
      </c>
      <c r="E25" s="303" t="s">
        <v>54</v>
      </c>
      <c r="F25" s="303" t="s">
        <v>104</v>
      </c>
      <c r="G25" s="303" t="s">
        <v>54</v>
      </c>
      <c r="H25" s="303" t="s">
        <v>104</v>
      </c>
      <c r="I25" s="303" t="s">
        <v>54</v>
      </c>
      <c r="J25" s="303" t="s">
        <v>104</v>
      </c>
      <c r="K25" s="303" t="s">
        <v>54</v>
      </c>
      <c r="L25" s="303" t="s">
        <v>104</v>
      </c>
      <c r="M25" s="303" t="s">
        <v>54</v>
      </c>
      <c r="N25" s="303" t="s">
        <v>104</v>
      </c>
      <c r="O25" s="303" t="s">
        <v>54</v>
      </c>
      <c r="P25" s="303" t="s">
        <v>104</v>
      </c>
      <c r="Q25" s="303" t="s">
        <v>54</v>
      </c>
      <c r="R25" s="303" t="s">
        <v>104</v>
      </c>
      <c r="S25" s="303" t="s">
        <v>54</v>
      </c>
      <c r="T25" s="303" t="s">
        <v>104</v>
      </c>
      <c r="U25" s="303" t="s">
        <v>54</v>
      </c>
      <c r="V25" s="303" t="s">
        <v>104</v>
      </c>
      <c r="W25" s="303" t="s">
        <v>54</v>
      </c>
      <c r="X25" s="303" t="s">
        <v>104</v>
      </c>
      <c r="Y25" s="303" t="s">
        <v>54</v>
      </c>
      <c r="Z25" s="303" t="s">
        <v>104</v>
      </c>
      <c r="AA25" s="536"/>
      <c r="AB25" s="1"/>
      <c r="AC25" s="1"/>
      <c r="AD25" s="1"/>
      <c r="AE25" s="1"/>
    </row>
    <row r="26" spans="1:31" ht="15.75" customHeight="1" x14ac:dyDescent="0.25">
      <c r="A26" s="1"/>
      <c r="B26" s="34" t="str">
        <f>'Anexo capacidad operativa'!B22</f>
        <v>Gerente general</v>
      </c>
      <c r="C26" s="297">
        <f>'Anexo capacidad operativa'!C22</f>
        <v>1</v>
      </c>
      <c r="D26" s="77">
        <f>C26*$L$14</f>
        <v>352396.27</v>
      </c>
      <c r="E26" s="297">
        <f>'Anexo capacidad operativa'!E22</f>
        <v>1</v>
      </c>
      <c r="F26" s="77">
        <f t="shared" ref="F26" si="3">E26*$L$14</f>
        <v>352396.27</v>
      </c>
      <c r="G26" s="297">
        <f>'Anexo capacidad operativa'!G22</f>
        <v>1</v>
      </c>
      <c r="H26" s="77">
        <f t="shared" ref="H26" si="4">G26*$L$14</f>
        <v>352396.27</v>
      </c>
      <c r="I26" s="297">
        <f>'Anexo capacidad operativa'!I22</f>
        <v>1</v>
      </c>
      <c r="J26" s="77">
        <f t="shared" ref="J26" si="5">I26*$L$14</f>
        <v>352396.27</v>
      </c>
      <c r="K26" s="297">
        <f>'Anexo capacidad operativa'!K22</f>
        <v>1</v>
      </c>
      <c r="L26" s="77">
        <f t="shared" ref="L26" si="6">K26*$L$14</f>
        <v>352396.27</v>
      </c>
      <c r="M26" s="297">
        <f>'Anexo capacidad operativa'!M22</f>
        <v>1</v>
      </c>
      <c r="N26" s="77">
        <f t="shared" ref="N26" si="7">M26*$L$14</f>
        <v>352396.27</v>
      </c>
      <c r="O26" s="297">
        <f>'Anexo capacidad operativa'!O22</f>
        <v>1</v>
      </c>
      <c r="P26" s="77">
        <f t="shared" ref="P26" si="8">O26*$L$14</f>
        <v>352396.27</v>
      </c>
      <c r="Q26" s="297">
        <f>'Anexo capacidad operativa'!Q22</f>
        <v>1</v>
      </c>
      <c r="R26" s="77">
        <f t="shared" ref="R26" si="9">Q26*$L$14</f>
        <v>352396.27</v>
      </c>
      <c r="S26" s="297">
        <f>'Anexo capacidad operativa'!S22</f>
        <v>1</v>
      </c>
      <c r="T26" s="77">
        <f t="shared" ref="T26" si="10">S26*$L$14</f>
        <v>352396.27</v>
      </c>
      <c r="U26" s="297">
        <f>'Anexo capacidad operativa'!U22</f>
        <v>1</v>
      </c>
      <c r="V26" s="77">
        <f t="shared" ref="V26" si="11">U26*$L$14</f>
        <v>352396.27</v>
      </c>
      <c r="W26" s="297">
        <f>'Anexo capacidad operativa'!W22</f>
        <v>1</v>
      </c>
      <c r="X26" s="77">
        <f t="shared" ref="X26" si="12">W26*$L$14</f>
        <v>352396.27</v>
      </c>
      <c r="Y26" s="297">
        <f>'Anexo capacidad operativa'!Y22</f>
        <v>1</v>
      </c>
      <c r="Z26" s="77">
        <f t="shared" ref="Z26" si="13">Y26*$L$14</f>
        <v>352396.27</v>
      </c>
      <c r="AA26" s="304">
        <f>D26+F26+H26+J26+L26+N26+P26+R26+T26+V26+X26+Z26</f>
        <v>4228755.24</v>
      </c>
      <c r="AB26" s="1"/>
      <c r="AC26" s="1"/>
      <c r="AD26" s="1"/>
      <c r="AE26" s="1"/>
    </row>
    <row r="27" spans="1:31" ht="15.75" customHeight="1" x14ac:dyDescent="0.25">
      <c r="A27" s="1"/>
      <c r="B27" s="36" t="str">
        <f>'Anexo capacidad operativa'!B23</f>
        <v>Gerente de servicios</v>
      </c>
      <c r="C27" s="297">
        <f>'Anexo capacidad operativa'!C23</f>
        <v>1</v>
      </c>
      <c r="D27" s="77">
        <f>C27*$L$18</f>
        <v>215054.318</v>
      </c>
      <c r="E27" s="297">
        <f>'Anexo capacidad operativa'!E23</f>
        <v>1</v>
      </c>
      <c r="F27" s="77">
        <f t="shared" ref="F27" si="14">E27*$L$18</f>
        <v>215054.318</v>
      </c>
      <c r="G27" s="297">
        <f>'Anexo capacidad operativa'!G23</f>
        <v>1</v>
      </c>
      <c r="H27" s="77">
        <f t="shared" ref="H27" si="15">G27*$L$18</f>
        <v>215054.318</v>
      </c>
      <c r="I27" s="297">
        <f>'Anexo capacidad operativa'!I23</f>
        <v>1</v>
      </c>
      <c r="J27" s="77">
        <f t="shared" ref="J27" si="16">I27*$L$18</f>
        <v>215054.318</v>
      </c>
      <c r="K27" s="297">
        <f>'Anexo capacidad operativa'!K23</f>
        <v>1</v>
      </c>
      <c r="L27" s="77">
        <f t="shared" ref="L27" si="17">K27*$L$18</f>
        <v>215054.318</v>
      </c>
      <c r="M27" s="297">
        <f>'Anexo capacidad operativa'!M23</f>
        <v>1</v>
      </c>
      <c r="N27" s="77">
        <f t="shared" ref="N27" si="18">M27*$L$18</f>
        <v>215054.318</v>
      </c>
      <c r="O27" s="297">
        <f>'Anexo capacidad operativa'!O23</f>
        <v>1</v>
      </c>
      <c r="P27" s="77">
        <f t="shared" ref="P27" si="19">O27*$L$18</f>
        <v>215054.318</v>
      </c>
      <c r="Q27" s="297">
        <f>'Anexo capacidad operativa'!Q23</f>
        <v>1</v>
      </c>
      <c r="R27" s="77">
        <f t="shared" ref="R27" si="20">Q27*$L$18</f>
        <v>215054.318</v>
      </c>
      <c r="S27" s="297">
        <f>'Anexo capacidad operativa'!S23</f>
        <v>1</v>
      </c>
      <c r="T27" s="77">
        <f t="shared" ref="T27" si="21">S27*$L$18</f>
        <v>215054.318</v>
      </c>
      <c r="U27" s="297">
        <f>'Anexo capacidad operativa'!U23</f>
        <v>1</v>
      </c>
      <c r="V27" s="77">
        <f t="shared" ref="V27" si="22">U27*$L$18</f>
        <v>215054.318</v>
      </c>
      <c r="W27" s="297">
        <f>'Anexo capacidad operativa'!W23</f>
        <v>1</v>
      </c>
      <c r="X27" s="77">
        <f t="shared" ref="X27" si="23">W27*$L$18</f>
        <v>215054.318</v>
      </c>
      <c r="Y27" s="297">
        <f>'Anexo capacidad operativa'!Y23</f>
        <v>1</v>
      </c>
      <c r="Z27" s="77">
        <f t="shared" ref="Z27" si="24">Y27*$L$18</f>
        <v>215054.318</v>
      </c>
      <c r="AA27" s="304">
        <f>D27+F27+H27+J27+L27+N27+P27+R27+T27+V27+X27+Z27</f>
        <v>2580651.8160000001</v>
      </c>
      <c r="AB27" s="1"/>
      <c r="AC27" s="1"/>
      <c r="AD27" s="1"/>
      <c r="AE27" s="1"/>
    </row>
    <row r="28" spans="1:31" ht="15.75" customHeight="1" x14ac:dyDescent="0.25">
      <c r="A28" s="1"/>
      <c r="B28" s="36" t="str">
        <f>'Anexo capacidad operativa'!B24</f>
        <v>Gerente de tecnologia</v>
      </c>
      <c r="C28" s="297">
        <f>'Anexo capacidad operativa'!C24</f>
        <v>1</v>
      </c>
      <c r="D28" s="77">
        <f>C28*$L$15</f>
        <v>350323.46</v>
      </c>
      <c r="E28" s="297">
        <f>'Anexo capacidad operativa'!E24</f>
        <v>1</v>
      </c>
      <c r="F28" s="77">
        <f t="shared" ref="F28" si="25">E28*$L$15</f>
        <v>350323.46</v>
      </c>
      <c r="G28" s="297">
        <f>'Anexo capacidad operativa'!G24</f>
        <v>1</v>
      </c>
      <c r="H28" s="77">
        <f t="shared" ref="H28" si="26">G28*$L$15</f>
        <v>350323.46</v>
      </c>
      <c r="I28" s="297">
        <f>'Anexo capacidad operativa'!I24</f>
        <v>1</v>
      </c>
      <c r="J28" s="77">
        <f t="shared" ref="J28" si="27">I28*$L$15</f>
        <v>350323.46</v>
      </c>
      <c r="K28" s="297">
        <f>'Anexo capacidad operativa'!K24</f>
        <v>1</v>
      </c>
      <c r="L28" s="77">
        <f t="shared" ref="L28" si="28">K28*$L$15</f>
        <v>350323.46</v>
      </c>
      <c r="M28" s="297">
        <f>'Anexo capacidad operativa'!M24</f>
        <v>1</v>
      </c>
      <c r="N28" s="77">
        <f t="shared" ref="N28" si="29">M28*$L$15</f>
        <v>350323.46</v>
      </c>
      <c r="O28" s="297">
        <f>'Anexo capacidad operativa'!O24</f>
        <v>1</v>
      </c>
      <c r="P28" s="77">
        <f t="shared" ref="P28" si="30">O28*$L$15</f>
        <v>350323.46</v>
      </c>
      <c r="Q28" s="297">
        <f>'Anexo capacidad operativa'!Q24</f>
        <v>1</v>
      </c>
      <c r="R28" s="77">
        <f t="shared" ref="R28" si="31">Q28*$L$15</f>
        <v>350323.46</v>
      </c>
      <c r="S28" s="297">
        <f>'Anexo capacidad operativa'!S24</f>
        <v>1</v>
      </c>
      <c r="T28" s="77">
        <f t="shared" ref="T28" si="32">S28*$L$15</f>
        <v>350323.46</v>
      </c>
      <c r="U28" s="297">
        <f>'Anexo capacidad operativa'!U24</f>
        <v>1</v>
      </c>
      <c r="V28" s="77">
        <f t="shared" ref="V28" si="33">U28*$L$15</f>
        <v>350323.46</v>
      </c>
      <c r="W28" s="297">
        <f>'Anexo capacidad operativa'!W24</f>
        <v>1</v>
      </c>
      <c r="X28" s="77">
        <f t="shared" ref="X28" si="34">W28*$L$15</f>
        <v>350323.46</v>
      </c>
      <c r="Y28" s="297">
        <f>'Anexo capacidad operativa'!Y24</f>
        <v>1</v>
      </c>
      <c r="Z28" s="77">
        <f t="shared" ref="Z28" si="35">Y28*$L$15</f>
        <v>350323.46</v>
      </c>
      <c r="AA28" s="304">
        <f>D28+F28+H28+J28+L28+N28+P28+R28+T28+V28+X28+Z28</f>
        <v>4203881.5200000005</v>
      </c>
      <c r="AB28" s="1"/>
      <c r="AC28" s="1"/>
      <c r="AD28" s="1"/>
      <c r="AE28" s="1"/>
    </row>
    <row r="29" spans="1:31" ht="15.75" customHeight="1" x14ac:dyDescent="0.25">
      <c r="A29" s="1"/>
      <c r="B29" s="36" t="str">
        <f>'Anexo capacidad operativa'!B25</f>
        <v>Gerente de administracion</v>
      </c>
      <c r="C29" s="297">
        <f>'Anexo capacidad operativa'!C25</f>
        <v>1</v>
      </c>
      <c r="D29" s="77">
        <f>$L$16*C29</f>
        <v>219736.43</v>
      </c>
      <c r="E29" s="297">
        <f>'Anexo capacidad operativa'!E25</f>
        <v>1</v>
      </c>
      <c r="F29" s="77">
        <f t="shared" ref="F29" si="36">$L$16*E29</f>
        <v>219736.43</v>
      </c>
      <c r="G29" s="297">
        <f>'Anexo capacidad operativa'!G25</f>
        <v>1</v>
      </c>
      <c r="H29" s="77">
        <f t="shared" ref="H29" si="37">$L$16*G29</f>
        <v>219736.43</v>
      </c>
      <c r="I29" s="297">
        <f>'Anexo capacidad operativa'!I25</f>
        <v>1</v>
      </c>
      <c r="J29" s="77">
        <f t="shared" ref="J29" si="38">$L$16*I29</f>
        <v>219736.43</v>
      </c>
      <c r="K29" s="297">
        <f>'Anexo capacidad operativa'!K25</f>
        <v>1</v>
      </c>
      <c r="L29" s="77">
        <f t="shared" ref="L29" si="39">$L$16*K29</f>
        <v>219736.43</v>
      </c>
      <c r="M29" s="297">
        <f>'Anexo capacidad operativa'!M25</f>
        <v>1</v>
      </c>
      <c r="N29" s="77">
        <f t="shared" ref="N29" si="40">$L$16*M29</f>
        <v>219736.43</v>
      </c>
      <c r="O29" s="297">
        <f>'Anexo capacidad operativa'!O25</f>
        <v>1</v>
      </c>
      <c r="P29" s="77">
        <f t="shared" ref="P29" si="41">$L$16*O29</f>
        <v>219736.43</v>
      </c>
      <c r="Q29" s="297">
        <f>'Anexo capacidad operativa'!Q25</f>
        <v>1</v>
      </c>
      <c r="R29" s="77">
        <f t="shared" ref="R29" si="42">$L$16*Q29</f>
        <v>219736.43</v>
      </c>
      <c r="S29" s="297">
        <f>'Anexo capacidad operativa'!S25</f>
        <v>1</v>
      </c>
      <c r="T29" s="77">
        <f t="shared" ref="T29" si="43">$L$16*S29</f>
        <v>219736.43</v>
      </c>
      <c r="U29" s="297">
        <f>'Anexo capacidad operativa'!U25</f>
        <v>1</v>
      </c>
      <c r="V29" s="77">
        <f t="shared" ref="V29" si="44">$L$16*U29</f>
        <v>219736.43</v>
      </c>
      <c r="W29" s="297">
        <f>'Anexo capacidad operativa'!W25</f>
        <v>1</v>
      </c>
      <c r="X29" s="77">
        <f t="shared" ref="X29" si="45">$L$16*W29</f>
        <v>219736.43</v>
      </c>
      <c r="Y29" s="297">
        <f>'Anexo capacidad operativa'!Y25</f>
        <v>1</v>
      </c>
      <c r="Z29" s="77">
        <f t="shared" ref="Z29" si="46">$L$16*Y29</f>
        <v>219736.43</v>
      </c>
      <c r="AA29" s="304">
        <f>D29+F29+H29+J29+L29+N29+P29+R29+T29+V29+X29+Z29</f>
        <v>2636837.16</v>
      </c>
      <c r="AB29" s="1"/>
      <c r="AC29" s="1"/>
      <c r="AD29" s="1"/>
      <c r="AE29" s="1"/>
    </row>
    <row r="30" spans="1:31" ht="15.75" customHeight="1" x14ac:dyDescent="0.25">
      <c r="A30" s="1"/>
      <c r="B30" s="36" t="str">
        <f>'Anexo capacidad operativa'!B26</f>
        <v>Gerente de comunicacion</v>
      </c>
      <c r="C30" s="297">
        <f>'Anexo capacidad operativa'!C26</f>
        <v>1</v>
      </c>
      <c r="D30" s="77">
        <f>C30*$L$17</f>
        <v>260704.91</v>
      </c>
      <c r="E30" s="297">
        <f>'Anexo capacidad operativa'!E26</f>
        <v>1</v>
      </c>
      <c r="F30" s="77">
        <f t="shared" ref="F30" si="47">E30*$L$17</f>
        <v>260704.91</v>
      </c>
      <c r="G30" s="297">
        <f>'Anexo capacidad operativa'!G26</f>
        <v>1</v>
      </c>
      <c r="H30" s="77">
        <f t="shared" ref="H30" si="48">G30*$L$17</f>
        <v>260704.91</v>
      </c>
      <c r="I30" s="297">
        <f>'Anexo capacidad operativa'!I26</f>
        <v>1</v>
      </c>
      <c r="J30" s="77">
        <f t="shared" ref="J30" si="49">I30*$L$17</f>
        <v>260704.91</v>
      </c>
      <c r="K30" s="297">
        <f>'Anexo capacidad operativa'!K26</f>
        <v>1</v>
      </c>
      <c r="L30" s="77">
        <f t="shared" ref="L30" si="50">K30*$L$17</f>
        <v>260704.91</v>
      </c>
      <c r="M30" s="297">
        <f>'Anexo capacidad operativa'!M26</f>
        <v>1</v>
      </c>
      <c r="N30" s="77">
        <f t="shared" ref="N30" si="51">M30*$L$17</f>
        <v>260704.91</v>
      </c>
      <c r="O30" s="297">
        <f>'Anexo capacidad operativa'!O26</f>
        <v>1</v>
      </c>
      <c r="P30" s="77">
        <f t="shared" ref="P30" si="52">O30*$L$17</f>
        <v>260704.91</v>
      </c>
      <c r="Q30" s="297">
        <f>'Anexo capacidad operativa'!Q26</f>
        <v>1</v>
      </c>
      <c r="R30" s="77">
        <f t="shared" ref="R30" si="53">Q30*$L$17</f>
        <v>260704.91</v>
      </c>
      <c r="S30" s="297">
        <f>'Anexo capacidad operativa'!S26</f>
        <v>1</v>
      </c>
      <c r="T30" s="77">
        <f t="shared" ref="T30" si="54">S30*$L$17</f>
        <v>260704.91</v>
      </c>
      <c r="U30" s="297">
        <f>'Anexo capacidad operativa'!U26</f>
        <v>1</v>
      </c>
      <c r="V30" s="77">
        <f t="shared" ref="V30" si="55">U30*$L$17</f>
        <v>260704.91</v>
      </c>
      <c r="W30" s="297">
        <f>'Anexo capacidad operativa'!W26</f>
        <v>1</v>
      </c>
      <c r="X30" s="77">
        <f t="shared" ref="X30" si="56">W30*$L$17</f>
        <v>260704.91</v>
      </c>
      <c r="Y30" s="297">
        <f>'Anexo capacidad operativa'!Y26</f>
        <v>1</v>
      </c>
      <c r="Z30" s="77">
        <f t="shared" ref="Z30" si="57">Y30*$L$17</f>
        <v>260704.91</v>
      </c>
      <c r="AA30" s="304">
        <f>D30+F30+H30+J30+L30+N30+P30+R30+T30+V30+X30+Z30</f>
        <v>3128458.9200000004</v>
      </c>
      <c r="AB30" s="1"/>
      <c r="AC30" s="1"/>
      <c r="AD30" s="1"/>
      <c r="AE30" s="1"/>
    </row>
    <row r="31" spans="1:31" ht="15.75" customHeight="1" thickBot="1" x14ac:dyDescent="0.3">
      <c r="A31" s="1"/>
      <c r="B31" s="305" t="s">
        <v>121</v>
      </c>
      <c r="C31" s="306">
        <f t="shared" ref="C31:Z31" si="58">SUM(C26:C30)</f>
        <v>5</v>
      </c>
      <c r="D31" s="307">
        <f t="shared" si="58"/>
        <v>1398215.3879999998</v>
      </c>
      <c r="E31" s="306">
        <f t="shared" si="58"/>
        <v>5</v>
      </c>
      <c r="F31" s="307">
        <f t="shared" si="58"/>
        <v>1398215.3879999998</v>
      </c>
      <c r="G31" s="306">
        <f t="shared" si="58"/>
        <v>5</v>
      </c>
      <c r="H31" s="307">
        <f t="shared" si="58"/>
        <v>1398215.3879999998</v>
      </c>
      <c r="I31" s="306">
        <f t="shared" si="58"/>
        <v>5</v>
      </c>
      <c r="J31" s="307">
        <f t="shared" si="58"/>
        <v>1398215.3879999998</v>
      </c>
      <c r="K31" s="306">
        <f t="shared" si="58"/>
        <v>5</v>
      </c>
      <c r="L31" s="307">
        <f t="shared" si="58"/>
        <v>1398215.3879999998</v>
      </c>
      <c r="M31" s="306">
        <f t="shared" si="58"/>
        <v>5</v>
      </c>
      <c r="N31" s="307">
        <f t="shared" si="58"/>
        <v>1398215.3879999998</v>
      </c>
      <c r="O31" s="306">
        <f t="shared" si="58"/>
        <v>5</v>
      </c>
      <c r="P31" s="307">
        <f t="shared" si="58"/>
        <v>1398215.3879999998</v>
      </c>
      <c r="Q31" s="306">
        <f t="shared" si="58"/>
        <v>5</v>
      </c>
      <c r="R31" s="307">
        <f t="shared" si="58"/>
        <v>1398215.3879999998</v>
      </c>
      <c r="S31" s="306">
        <f t="shared" si="58"/>
        <v>5</v>
      </c>
      <c r="T31" s="307">
        <f t="shared" si="58"/>
        <v>1398215.3879999998</v>
      </c>
      <c r="U31" s="306">
        <f t="shared" si="58"/>
        <v>5</v>
      </c>
      <c r="V31" s="307">
        <f t="shared" si="58"/>
        <v>1398215.3879999998</v>
      </c>
      <c r="W31" s="306">
        <f t="shared" si="58"/>
        <v>5</v>
      </c>
      <c r="X31" s="307">
        <f t="shared" si="58"/>
        <v>1398215.3879999998</v>
      </c>
      <c r="Y31" s="306">
        <f t="shared" si="58"/>
        <v>5</v>
      </c>
      <c r="Z31" s="307">
        <f t="shared" si="58"/>
        <v>1398215.3879999998</v>
      </c>
      <c r="AA31" s="78">
        <f>Z31+X31+V31+T31+R31+P31+N31+L31+J31+H31+F31+D31</f>
        <v>16778584.655999999</v>
      </c>
      <c r="AB31" s="1"/>
      <c r="AC31" s="1"/>
      <c r="AD31" s="1"/>
      <c r="AE31" s="1"/>
    </row>
    <row r="32" spans="1:31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.75" customHeight="1" x14ac:dyDescent="0.25">
      <c r="AB33" s="1"/>
      <c r="AC33" s="1"/>
      <c r="AD33" s="1"/>
      <c r="AE33" s="1"/>
    </row>
    <row r="34" spans="1:31" ht="15.75" thickBot="1" x14ac:dyDescent="0.3">
      <c r="A34" s="1"/>
    </row>
    <row r="35" spans="1:31" ht="27" thickBot="1" x14ac:dyDescent="0.45">
      <c r="A35" s="1"/>
      <c r="B35" s="539" t="s">
        <v>256</v>
      </c>
      <c r="C35" s="540"/>
      <c r="D35" s="540"/>
      <c r="E35" s="540"/>
      <c r="F35" s="540"/>
      <c r="G35" s="540"/>
      <c r="H35" s="540"/>
      <c r="I35" s="540"/>
      <c r="J35" s="540"/>
      <c r="K35" s="540"/>
      <c r="L35" s="540"/>
      <c r="M35" s="540"/>
      <c r="N35" s="540"/>
      <c r="O35" s="540"/>
      <c r="P35" s="540"/>
      <c r="Q35" s="540"/>
      <c r="R35" s="540"/>
      <c r="S35" s="540"/>
      <c r="T35" s="540"/>
      <c r="U35" s="540"/>
      <c r="V35" s="540"/>
      <c r="W35" s="540"/>
      <c r="X35" s="540"/>
      <c r="Y35" s="540"/>
      <c r="Z35" s="540"/>
      <c r="AA35" s="541"/>
    </row>
    <row r="36" spans="1:31" ht="15.75" x14ac:dyDescent="0.25">
      <c r="A36" s="1"/>
      <c r="B36" s="537" t="s">
        <v>108</v>
      </c>
      <c r="C36" s="533" t="s">
        <v>41</v>
      </c>
      <c r="D36" s="534"/>
      <c r="E36" s="533" t="s">
        <v>42</v>
      </c>
      <c r="F36" s="534"/>
      <c r="G36" s="533" t="s">
        <v>43</v>
      </c>
      <c r="H36" s="534"/>
      <c r="I36" s="533" t="s">
        <v>44</v>
      </c>
      <c r="J36" s="534"/>
      <c r="K36" s="533" t="s">
        <v>45</v>
      </c>
      <c r="L36" s="534"/>
      <c r="M36" s="533" t="s">
        <v>119</v>
      </c>
      <c r="N36" s="534"/>
      <c r="O36" s="533" t="s">
        <v>47</v>
      </c>
      <c r="P36" s="534"/>
      <c r="Q36" s="533" t="s">
        <v>48</v>
      </c>
      <c r="R36" s="534"/>
      <c r="S36" s="533" t="s">
        <v>49</v>
      </c>
      <c r="T36" s="534"/>
      <c r="U36" s="533" t="s">
        <v>50</v>
      </c>
      <c r="V36" s="534"/>
      <c r="W36" s="533" t="s">
        <v>51</v>
      </c>
      <c r="X36" s="534"/>
      <c r="Y36" s="533" t="s">
        <v>120</v>
      </c>
      <c r="Z36" s="534"/>
      <c r="AA36" s="535" t="s">
        <v>98</v>
      </c>
    </row>
    <row r="37" spans="1:31" ht="16.5" thickBot="1" x14ac:dyDescent="0.3">
      <c r="A37" s="1"/>
      <c r="B37" s="538"/>
      <c r="C37" s="303" t="s">
        <v>54</v>
      </c>
      <c r="D37" s="303" t="s">
        <v>104</v>
      </c>
      <c r="E37" s="303" t="s">
        <v>54</v>
      </c>
      <c r="F37" s="303" t="s">
        <v>104</v>
      </c>
      <c r="G37" s="303" t="s">
        <v>54</v>
      </c>
      <c r="H37" s="303" t="s">
        <v>104</v>
      </c>
      <c r="I37" s="303" t="s">
        <v>54</v>
      </c>
      <c r="J37" s="303" t="s">
        <v>104</v>
      </c>
      <c r="K37" s="303" t="s">
        <v>54</v>
      </c>
      <c r="L37" s="303" t="s">
        <v>104</v>
      </c>
      <c r="M37" s="303" t="s">
        <v>54</v>
      </c>
      <c r="N37" s="303" t="s">
        <v>104</v>
      </c>
      <c r="O37" s="303" t="s">
        <v>54</v>
      </c>
      <c r="P37" s="303" t="s">
        <v>104</v>
      </c>
      <c r="Q37" s="303" t="s">
        <v>54</v>
      </c>
      <c r="R37" s="303" t="s">
        <v>104</v>
      </c>
      <c r="S37" s="303" t="s">
        <v>54</v>
      </c>
      <c r="T37" s="303" t="s">
        <v>104</v>
      </c>
      <c r="U37" s="303" t="s">
        <v>54</v>
      </c>
      <c r="V37" s="303" t="s">
        <v>104</v>
      </c>
      <c r="W37" s="303" t="s">
        <v>54</v>
      </c>
      <c r="X37" s="303" t="s">
        <v>104</v>
      </c>
      <c r="Y37" s="303" t="s">
        <v>54</v>
      </c>
      <c r="Z37" s="303" t="s">
        <v>104</v>
      </c>
      <c r="AA37" s="536"/>
    </row>
    <row r="38" spans="1:31" x14ac:dyDescent="0.25">
      <c r="A38" s="1"/>
      <c r="B38" s="34" t="str">
        <f>'Anexo capacidad operativa'!B32</f>
        <v>Gerente general</v>
      </c>
      <c r="C38" s="298">
        <f>'Anexo capacidad operativa'!C32</f>
        <v>1</v>
      </c>
      <c r="D38" s="77">
        <f>C38*$L$14</f>
        <v>352396.27</v>
      </c>
      <c r="E38" s="298">
        <f>'Anexo capacidad operativa'!E32</f>
        <v>1</v>
      </c>
      <c r="F38" s="77">
        <f>E38*$L$14</f>
        <v>352396.27</v>
      </c>
      <c r="G38" s="298">
        <f>'Anexo capacidad operativa'!G32</f>
        <v>1</v>
      </c>
      <c r="H38" s="77">
        <f t="shared" ref="H38" si="59">G38*$L$14</f>
        <v>352396.27</v>
      </c>
      <c r="I38" s="298">
        <f>'Anexo capacidad operativa'!I32</f>
        <v>1</v>
      </c>
      <c r="J38" s="77">
        <f t="shared" ref="J38" si="60">I38*$L$14</f>
        <v>352396.27</v>
      </c>
      <c r="K38" s="298">
        <f>'Anexo capacidad operativa'!K32</f>
        <v>1</v>
      </c>
      <c r="L38" s="77">
        <f t="shared" ref="L38" si="61">K38*$L$14</f>
        <v>352396.27</v>
      </c>
      <c r="M38" s="298">
        <f>'Anexo capacidad operativa'!M32</f>
        <v>1</v>
      </c>
      <c r="N38" s="77">
        <f t="shared" ref="N38" si="62">M38*$L$14</f>
        <v>352396.27</v>
      </c>
      <c r="O38" s="298">
        <f>'Anexo capacidad operativa'!O32</f>
        <v>1</v>
      </c>
      <c r="P38" s="77">
        <f t="shared" ref="P38" si="63">O38*$L$14</f>
        <v>352396.27</v>
      </c>
      <c r="Q38" s="298">
        <f>'Anexo capacidad operativa'!Q32</f>
        <v>1</v>
      </c>
      <c r="R38" s="77">
        <f t="shared" ref="R38" si="64">Q38*$L$14</f>
        <v>352396.27</v>
      </c>
      <c r="S38" s="298">
        <f>'Anexo capacidad operativa'!S32</f>
        <v>1</v>
      </c>
      <c r="T38" s="77">
        <f t="shared" ref="T38" si="65">S38*$L$14</f>
        <v>352396.27</v>
      </c>
      <c r="U38" s="298">
        <f>'Anexo capacidad operativa'!U32</f>
        <v>1</v>
      </c>
      <c r="V38" s="77">
        <f t="shared" ref="V38" si="66">U38*$L$14</f>
        <v>352396.27</v>
      </c>
      <c r="W38" s="298">
        <f>'Anexo capacidad operativa'!W32</f>
        <v>1</v>
      </c>
      <c r="X38" s="77">
        <f t="shared" ref="X38" si="67">W38*$L$14</f>
        <v>352396.27</v>
      </c>
      <c r="Y38" s="298">
        <f>'Anexo capacidad operativa'!Y32</f>
        <v>1</v>
      </c>
      <c r="Z38" s="77">
        <f t="shared" ref="Z38" si="68">Y38*$L$14</f>
        <v>352396.27</v>
      </c>
      <c r="AA38" s="304">
        <f t="shared" ref="AA38:AA43" si="69">D38+F38+H38+J38+L38+N38+P38+R38+T38+V38+X38+Z38</f>
        <v>4228755.24</v>
      </c>
    </row>
    <row r="39" spans="1:31" ht="15.75" customHeight="1" x14ac:dyDescent="0.25">
      <c r="A39" s="1"/>
      <c r="B39" s="36" t="str">
        <f>'Anexo capacidad operativa'!B33</f>
        <v>Gerente de servicios</v>
      </c>
      <c r="C39" s="298">
        <f>'Anexo capacidad operativa'!C33</f>
        <v>1</v>
      </c>
      <c r="D39" s="77">
        <f>C39*$L$18</f>
        <v>215054.318</v>
      </c>
      <c r="E39" s="298">
        <f>'Anexo capacidad operativa'!E33</f>
        <v>1</v>
      </c>
      <c r="F39" s="77">
        <f>E39*$L$18</f>
        <v>215054.318</v>
      </c>
      <c r="G39" s="298">
        <f>'Anexo capacidad operativa'!G33</f>
        <v>1</v>
      </c>
      <c r="H39" s="77">
        <f t="shared" ref="H39" si="70">G39*$L$18</f>
        <v>215054.318</v>
      </c>
      <c r="I39" s="298">
        <f>'Anexo capacidad operativa'!I33</f>
        <v>1</v>
      </c>
      <c r="J39" s="77">
        <f t="shared" ref="J39" si="71">I39*$L$18</f>
        <v>215054.318</v>
      </c>
      <c r="K39" s="298">
        <f>'Anexo capacidad operativa'!K33</f>
        <v>1</v>
      </c>
      <c r="L39" s="77">
        <f t="shared" ref="L39" si="72">K39*$L$18</f>
        <v>215054.318</v>
      </c>
      <c r="M39" s="298">
        <f>'Anexo capacidad operativa'!M33</f>
        <v>1</v>
      </c>
      <c r="N39" s="77">
        <f t="shared" ref="N39" si="73">M39*$L$18</f>
        <v>215054.318</v>
      </c>
      <c r="O39" s="298">
        <f>'Anexo capacidad operativa'!O33</f>
        <v>1</v>
      </c>
      <c r="P39" s="77">
        <f t="shared" ref="P39" si="74">O39*$L$18</f>
        <v>215054.318</v>
      </c>
      <c r="Q39" s="298">
        <f>'Anexo capacidad operativa'!Q33</f>
        <v>1</v>
      </c>
      <c r="R39" s="77">
        <f t="shared" ref="R39" si="75">Q39*$L$18</f>
        <v>215054.318</v>
      </c>
      <c r="S39" s="298">
        <f>'Anexo capacidad operativa'!S33</f>
        <v>1</v>
      </c>
      <c r="T39" s="77">
        <f t="shared" ref="T39" si="76">S39*$L$18</f>
        <v>215054.318</v>
      </c>
      <c r="U39" s="298">
        <f>'Anexo capacidad operativa'!U33</f>
        <v>1</v>
      </c>
      <c r="V39" s="77">
        <f t="shared" ref="V39" si="77">U39*$L$18</f>
        <v>215054.318</v>
      </c>
      <c r="W39" s="298">
        <f>'Anexo capacidad operativa'!W33</f>
        <v>1</v>
      </c>
      <c r="X39" s="77">
        <f t="shared" ref="X39" si="78">W39*$L$18</f>
        <v>215054.318</v>
      </c>
      <c r="Y39" s="298">
        <f>'Anexo capacidad operativa'!Y33</f>
        <v>1</v>
      </c>
      <c r="Z39" s="77">
        <f t="shared" ref="Z39" si="79">Y39*$L$18</f>
        <v>215054.318</v>
      </c>
      <c r="AA39" s="304">
        <f t="shared" si="69"/>
        <v>2580651.8160000001</v>
      </c>
    </row>
    <row r="40" spans="1:31" ht="15.75" customHeight="1" x14ac:dyDescent="0.25">
      <c r="A40" s="1"/>
      <c r="B40" s="36" t="str">
        <f>'Anexo capacidad operativa'!B34</f>
        <v>Gerente de tecnologia</v>
      </c>
      <c r="C40" s="298">
        <f>'Anexo capacidad operativa'!C34</f>
        <v>1</v>
      </c>
      <c r="D40" s="77">
        <f>C40*$L$15</f>
        <v>350323.46</v>
      </c>
      <c r="E40" s="298">
        <f>'Anexo capacidad operativa'!E34</f>
        <v>1</v>
      </c>
      <c r="F40" s="77">
        <f>E40*$L$15</f>
        <v>350323.46</v>
      </c>
      <c r="G40" s="298">
        <f>'Anexo capacidad operativa'!G34</f>
        <v>1</v>
      </c>
      <c r="H40" s="77">
        <f t="shared" ref="H40" si="80">G40*$L$15</f>
        <v>350323.46</v>
      </c>
      <c r="I40" s="298">
        <f>'Anexo capacidad operativa'!I34</f>
        <v>1</v>
      </c>
      <c r="J40" s="77">
        <f t="shared" ref="J40" si="81">I40*$L$15</f>
        <v>350323.46</v>
      </c>
      <c r="K40" s="298">
        <f>'Anexo capacidad operativa'!K34</f>
        <v>1</v>
      </c>
      <c r="L40" s="77">
        <f t="shared" ref="L40" si="82">K40*$L$15</f>
        <v>350323.46</v>
      </c>
      <c r="M40" s="298">
        <f>'Anexo capacidad operativa'!M34</f>
        <v>1</v>
      </c>
      <c r="N40" s="77">
        <f t="shared" ref="N40" si="83">M40*$L$15</f>
        <v>350323.46</v>
      </c>
      <c r="O40" s="298">
        <f>'Anexo capacidad operativa'!O34</f>
        <v>1</v>
      </c>
      <c r="P40" s="77">
        <f t="shared" ref="P40" si="84">O40*$L$15</f>
        <v>350323.46</v>
      </c>
      <c r="Q40" s="298">
        <f>'Anexo capacidad operativa'!Q34</f>
        <v>1</v>
      </c>
      <c r="R40" s="77">
        <f t="shared" ref="R40" si="85">Q40*$L$15</f>
        <v>350323.46</v>
      </c>
      <c r="S40" s="298">
        <f>'Anexo capacidad operativa'!S34</f>
        <v>1</v>
      </c>
      <c r="T40" s="77">
        <f t="shared" ref="T40" si="86">S40*$L$15</f>
        <v>350323.46</v>
      </c>
      <c r="U40" s="298">
        <f>'Anexo capacidad operativa'!U34</f>
        <v>1</v>
      </c>
      <c r="V40" s="77">
        <f t="shared" ref="V40" si="87">U40*$L$15</f>
        <v>350323.46</v>
      </c>
      <c r="W40" s="298">
        <f>'Anexo capacidad operativa'!W34</f>
        <v>1</v>
      </c>
      <c r="X40" s="77">
        <f t="shared" ref="X40" si="88">W40*$L$15</f>
        <v>350323.46</v>
      </c>
      <c r="Y40" s="298">
        <f>'Anexo capacidad operativa'!Y34</f>
        <v>1</v>
      </c>
      <c r="Z40" s="77">
        <f t="shared" ref="Z40" si="89">Y40*$L$15</f>
        <v>350323.46</v>
      </c>
      <c r="AA40" s="304">
        <f t="shared" si="69"/>
        <v>4203881.5200000005</v>
      </c>
    </row>
    <row r="41" spans="1:31" ht="15.75" customHeight="1" x14ac:dyDescent="0.25">
      <c r="A41" s="1"/>
      <c r="B41" s="36" t="str">
        <f>'Anexo capacidad operativa'!B35</f>
        <v>Gerente de administracion</v>
      </c>
      <c r="C41" s="299">
        <f>'Anexo capacidad operativa'!C35</f>
        <v>1</v>
      </c>
      <c r="D41" s="77">
        <f>$L$16*C41</f>
        <v>219736.43</v>
      </c>
      <c r="E41" s="299">
        <f>'Anexo capacidad operativa'!E35</f>
        <v>1</v>
      </c>
      <c r="F41" s="77">
        <f>$L$16*E41</f>
        <v>219736.43</v>
      </c>
      <c r="G41" s="299">
        <f>'Anexo capacidad operativa'!G35</f>
        <v>1</v>
      </c>
      <c r="H41" s="77">
        <f t="shared" ref="H41" si="90">$L$16*G41</f>
        <v>219736.43</v>
      </c>
      <c r="I41" s="299">
        <f>'Anexo capacidad operativa'!I35</f>
        <v>1</v>
      </c>
      <c r="J41" s="77">
        <f t="shared" ref="J41" si="91">$L$16*I41</f>
        <v>219736.43</v>
      </c>
      <c r="K41" s="299">
        <f>'Anexo capacidad operativa'!K35</f>
        <v>1</v>
      </c>
      <c r="L41" s="77">
        <f t="shared" ref="L41" si="92">$L$16*K41</f>
        <v>219736.43</v>
      </c>
      <c r="M41" s="299">
        <f>'Anexo capacidad operativa'!M35</f>
        <v>1</v>
      </c>
      <c r="N41" s="77">
        <f t="shared" ref="N41" si="93">$L$16*M41</f>
        <v>219736.43</v>
      </c>
      <c r="O41" s="299">
        <f>'Anexo capacidad operativa'!O35</f>
        <v>1</v>
      </c>
      <c r="P41" s="77">
        <f t="shared" ref="P41" si="94">$L$16*O41</f>
        <v>219736.43</v>
      </c>
      <c r="Q41" s="299">
        <f>'Anexo capacidad operativa'!Q35</f>
        <v>1</v>
      </c>
      <c r="R41" s="77">
        <f t="shared" ref="R41" si="95">$L$16*Q41</f>
        <v>219736.43</v>
      </c>
      <c r="S41" s="299">
        <f>'Anexo capacidad operativa'!S35</f>
        <v>1</v>
      </c>
      <c r="T41" s="77">
        <f t="shared" ref="T41" si="96">$L$16*S41</f>
        <v>219736.43</v>
      </c>
      <c r="U41" s="299">
        <f>'Anexo capacidad operativa'!U35</f>
        <v>1</v>
      </c>
      <c r="V41" s="77">
        <f t="shared" ref="V41" si="97">$L$16*U41</f>
        <v>219736.43</v>
      </c>
      <c r="W41" s="299">
        <f>'Anexo capacidad operativa'!W35</f>
        <v>1</v>
      </c>
      <c r="X41" s="77">
        <f t="shared" ref="X41" si="98">$L$16*W41</f>
        <v>219736.43</v>
      </c>
      <c r="Y41" s="299">
        <f>'Anexo capacidad operativa'!Y35</f>
        <v>1</v>
      </c>
      <c r="Z41" s="77">
        <f t="shared" ref="Z41" si="99">$L$16*Y41</f>
        <v>219736.43</v>
      </c>
      <c r="AA41" s="304">
        <f t="shared" si="69"/>
        <v>2636837.16</v>
      </c>
    </row>
    <row r="42" spans="1:31" ht="15.75" customHeight="1" x14ac:dyDescent="0.25">
      <c r="A42" s="1"/>
      <c r="B42" s="36" t="str">
        <f>'Anexo capacidad operativa'!B36</f>
        <v>Gerente de comuinicacion</v>
      </c>
      <c r="C42" s="298">
        <f>'Anexo capacidad operativa'!C36</f>
        <v>1</v>
      </c>
      <c r="D42" s="77">
        <f>C42*$L$17</f>
        <v>260704.91</v>
      </c>
      <c r="E42" s="298">
        <f>'Anexo capacidad operativa'!E36</f>
        <v>1</v>
      </c>
      <c r="F42" s="77">
        <f>E42*$L$17</f>
        <v>260704.91</v>
      </c>
      <c r="G42" s="298">
        <f>'Anexo capacidad operativa'!G36</f>
        <v>1</v>
      </c>
      <c r="H42" s="77">
        <f t="shared" ref="H42" si="100">G42*$L$17</f>
        <v>260704.91</v>
      </c>
      <c r="I42" s="298">
        <f>'Anexo capacidad operativa'!I36</f>
        <v>1</v>
      </c>
      <c r="J42" s="77">
        <f t="shared" ref="J42" si="101">I42*$L$17</f>
        <v>260704.91</v>
      </c>
      <c r="K42" s="298">
        <f>'Anexo capacidad operativa'!K36</f>
        <v>1</v>
      </c>
      <c r="L42" s="77">
        <f t="shared" ref="L42" si="102">K42*$L$17</f>
        <v>260704.91</v>
      </c>
      <c r="M42" s="298">
        <f>'Anexo capacidad operativa'!M36</f>
        <v>1</v>
      </c>
      <c r="N42" s="77">
        <f t="shared" ref="N42" si="103">M42*$L$17</f>
        <v>260704.91</v>
      </c>
      <c r="O42" s="298">
        <f>'Anexo capacidad operativa'!O36</f>
        <v>1</v>
      </c>
      <c r="P42" s="77">
        <f t="shared" ref="P42" si="104">O42*$L$17</f>
        <v>260704.91</v>
      </c>
      <c r="Q42" s="298">
        <f>'Anexo capacidad operativa'!Q36</f>
        <v>1</v>
      </c>
      <c r="R42" s="77">
        <f t="shared" ref="R42" si="105">Q42*$L$17</f>
        <v>260704.91</v>
      </c>
      <c r="S42" s="298">
        <f>'Anexo capacidad operativa'!S36</f>
        <v>1</v>
      </c>
      <c r="T42" s="77">
        <f t="shared" ref="T42" si="106">S42*$L$17</f>
        <v>260704.91</v>
      </c>
      <c r="U42" s="298">
        <f>'Anexo capacidad operativa'!U36</f>
        <v>1</v>
      </c>
      <c r="V42" s="77">
        <f t="shared" ref="V42" si="107">U42*$L$17</f>
        <v>260704.91</v>
      </c>
      <c r="W42" s="298">
        <f>'Anexo capacidad operativa'!W36</f>
        <v>1</v>
      </c>
      <c r="X42" s="77">
        <f t="shared" ref="X42" si="108">W42*$L$17</f>
        <v>260704.91</v>
      </c>
      <c r="Y42" s="298">
        <f>'Anexo capacidad operativa'!Y36</f>
        <v>1</v>
      </c>
      <c r="Z42" s="77">
        <f t="shared" ref="Z42" si="109">Y42*$L$17</f>
        <v>260704.91</v>
      </c>
      <c r="AA42" s="304">
        <f t="shared" si="69"/>
        <v>3128458.9200000004</v>
      </c>
    </row>
    <row r="43" spans="1:31" ht="15.75" customHeight="1" x14ac:dyDescent="0.25">
      <c r="A43" s="1"/>
      <c r="B43" s="36" t="str">
        <f>'Anexo capacidad operativa'!B37</f>
        <v>Desarrollador</v>
      </c>
      <c r="C43" s="298">
        <f>'Anexo capacidad operativa'!C37</f>
        <v>0</v>
      </c>
      <c r="D43" s="77">
        <f>C43*$L$19</f>
        <v>0</v>
      </c>
      <c r="E43" s="298">
        <f>'Anexo capacidad operativa'!E37</f>
        <v>0</v>
      </c>
      <c r="F43" s="77">
        <f>E43*$L$19</f>
        <v>0</v>
      </c>
      <c r="G43" s="298">
        <f>'Anexo capacidad operativa'!G37</f>
        <v>0</v>
      </c>
      <c r="H43" s="77">
        <f t="shared" ref="H43" si="110">G43*$L$19</f>
        <v>0</v>
      </c>
      <c r="I43" s="298">
        <f>'Anexo capacidad operativa'!I37</f>
        <v>0</v>
      </c>
      <c r="J43" s="77">
        <f t="shared" ref="J43" si="111">I43*$L$19</f>
        <v>0</v>
      </c>
      <c r="K43" s="298">
        <f>'Anexo capacidad operativa'!K37</f>
        <v>0</v>
      </c>
      <c r="L43" s="77">
        <f t="shared" ref="L43" si="112">K43*$L$19</f>
        <v>0</v>
      </c>
      <c r="M43" s="298">
        <f>'Anexo capacidad operativa'!M37</f>
        <v>1</v>
      </c>
      <c r="N43" s="77">
        <f t="shared" ref="N43" si="113">M43*$L$19</f>
        <v>271356.71480000002</v>
      </c>
      <c r="O43" s="298">
        <f>'Anexo capacidad operativa'!O37</f>
        <v>1</v>
      </c>
      <c r="P43" s="77">
        <f t="shared" ref="P43" si="114">O43*$L$19</f>
        <v>271356.71480000002</v>
      </c>
      <c r="Q43" s="298">
        <f>'Anexo capacidad operativa'!Q37</f>
        <v>1</v>
      </c>
      <c r="R43" s="77">
        <f t="shared" ref="R43" si="115">Q43*$L$19</f>
        <v>271356.71480000002</v>
      </c>
      <c r="S43" s="298">
        <f>'Anexo capacidad operativa'!S37</f>
        <v>1</v>
      </c>
      <c r="T43" s="77">
        <f t="shared" ref="T43" si="116">S43*$L$19</f>
        <v>271356.71480000002</v>
      </c>
      <c r="U43" s="298">
        <f>'Anexo capacidad operativa'!U37</f>
        <v>1</v>
      </c>
      <c r="V43" s="77">
        <f t="shared" ref="V43" si="117">U43*$L$19</f>
        <v>271356.71480000002</v>
      </c>
      <c r="W43" s="298">
        <f>'Anexo capacidad operativa'!W37</f>
        <v>1</v>
      </c>
      <c r="X43" s="77">
        <f t="shared" ref="X43" si="118">W43*$L$19</f>
        <v>271356.71480000002</v>
      </c>
      <c r="Y43" s="298">
        <f>'Anexo capacidad operativa'!Y37</f>
        <v>1</v>
      </c>
      <c r="Z43" s="77">
        <f t="shared" ref="Z43" si="119">Y43*$L$19</f>
        <v>271356.71480000002</v>
      </c>
      <c r="AA43" s="304">
        <f t="shared" si="69"/>
        <v>1899497.0035999999</v>
      </c>
    </row>
    <row r="44" spans="1:31" ht="15.75" customHeight="1" thickBot="1" x14ac:dyDescent="0.3">
      <c r="A44" s="116"/>
      <c r="B44" s="308" t="s">
        <v>121</v>
      </c>
      <c r="C44" s="309">
        <f t="shared" ref="C44:Z44" si="120">SUM(C38:C43)</f>
        <v>5</v>
      </c>
      <c r="D44" s="307">
        <f t="shared" si="120"/>
        <v>1398215.3879999998</v>
      </c>
      <c r="E44" s="306">
        <f t="shared" si="120"/>
        <v>5</v>
      </c>
      <c r="F44" s="307">
        <f t="shared" si="120"/>
        <v>1398215.3879999998</v>
      </c>
      <c r="G44" s="306">
        <f t="shared" si="120"/>
        <v>5</v>
      </c>
      <c r="H44" s="307">
        <f t="shared" si="120"/>
        <v>1398215.3879999998</v>
      </c>
      <c r="I44" s="306">
        <f t="shared" si="120"/>
        <v>5</v>
      </c>
      <c r="J44" s="307">
        <f t="shared" si="120"/>
        <v>1398215.3879999998</v>
      </c>
      <c r="K44" s="306">
        <f t="shared" si="120"/>
        <v>5</v>
      </c>
      <c r="L44" s="307">
        <f t="shared" si="120"/>
        <v>1398215.3879999998</v>
      </c>
      <c r="M44" s="306">
        <f t="shared" si="120"/>
        <v>6</v>
      </c>
      <c r="N44" s="307">
        <f t="shared" si="120"/>
        <v>1669572.1027999998</v>
      </c>
      <c r="O44" s="306">
        <f t="shared" si="120"/>
        <v>6</v>
      </c>
      <c r="P44" s="307">
        <f t="shared" si="120"/>
        <v>1669572.1027999998</v>
      </c>
      <c r="Q44" s="306">
        <f t="shared" si="120"/>
        <v>6</v>
      </c>
      <c r="R44" s="307">
        <f t="shared" si="120"/>
        <v>1669572.1027999998</v>
      </c>
      <c r="S44" s="306">
        <f t="shared" si="120"/>
        <v>6</v>
      </c>
      <c r="T44" s="307">
        <f t="shared" si="120"/>
        <v>1669572.1027999998</v>
      </c>
      <c r="U44" s="306">
        <f t="shared" si="120"/>
        <v>6</v>
      </c>
      <c r="V44" s="307">
        <f t="shared" si="120"/>
        <v>1669572.1027999998</v>
      </c>
      <c r="W44" s="306">
        <f t="shared" si="120"/>
        <v>6</v>
      </c>
      <c r="X44" s="307">
        <f t="shared" si="120"/>
        <v>1669572.1027999998</v>
      </c>
      <c r="Y44" s="306">
        <f t="shared" si="120"/>
        <v>6</v>
      </c>
      <c r="Z44" s="307">
        <f t="shared" si="120"/>
        <v>1669572.1027999998</v>
      </c>
      <c r="AA44" s="78">
        <f>Z44+X44+V44+T44+R44+P44+N44+L44+J44+H44+F44+D44</f>
        <v>18678081.659600001</v>
      </c>
    </row>
    <row r="45" spans="1:31" ht="15.75" customHeight="1" x14ac:dyDescent="0.25">
      <c r="A45" s="116"/>
    </row>
    <row r="46" spans="1:31" ht="15.75" customHeight="1" x14ac:dyDescent="0.25">
      <c r="A46" s="116"/>
    </row>
    <row r="47" spans="1:31" ht="15.75" customHeight="1" thickBot="1" x14ac:dyDescent="0.3">
      <c r="A47" s="1"/>
    </row>
    <row r="48" spans="1:31" ht="24" customHeight="1" thickBot="1" x14ac:dyDescent="0.45">
      <c r="A48" s="1"/>
      <c r="B48" s="539" t="s">
        <v>257</v>
      </c>
      <c r="C48" s="540"/>
      <c r="D48" s="540"/>
      <c r="E48" s="540"/>
      <c r="F48" s="540"/>
      <c r="G48" s="540"/>
      <c r="H48" s="540"/>
      <c r="I48" s="540"/>
      <c r="J48" s="540"/>
      <c r="K48" s="540"/>
      <c r="L48" s="540"/>
      <c r="M48" s="540"/>
      <c r="N48" s="540"/>
      <c r="O48" s="540"/>
      <c r="P48" s="540"/>
      <c r="Q48" s="540"/>
      <c r="R48" s="540"/>
      <c r="S48" s="540"/>
      <c r="T48" s="540"/>
      <c r="U48" s="540"/>
      <c r="V48" s="540"/>
      <c r="W48" s="540"/>
      <c r="X48" s="540"/>
      <c r="Y48" s="540"/>
      <c r="Z48" s="540"/>
      <c r="AA48" s="541"/>
    </row>
    <row r="49" spans="2:31" ht="15.75" customHeight="1" x14ac:dyDescent="0.2">
      <c r="B49" s="537" t="s">
        <v>108</v>
      </c>
      <c r="C49" s="533" t="s">
        <v>41</v>
      </c>
      <c r="D49" s="534"/>
      <c r="E49" s="533" t="s">
        <v>42</v>
      </c>
      <c r="F49" s="534"/>
      <c r="G49" s="533" t="s">
        <v>43</v>
      </c>
      <c r="H49" s="534"/>
      <c r="I49" s="533" t="s">
        <v>44</v>
      </c>
      <c r="J49" s="534"/>
      <c r="K49" s="533" t="s">
        <v>45</v>
      </c>
      <c r="L49" s="534"/>
      <c r="M49" s="533" t="s">
        <v>119</v>
      </c>
      <c r="N49" s="534"/>
      <c r="O49" s="533" t="s">
        <v>47</v>
      </c>
      <c r="P49" s="534"/>
      <c r="Q49" s="533" t="s">
        <v>48</v>
      </c>
      <c r="R49" s="534"/>
      <c r="S49" s="533" t="s">
        <v>49</v>
      </c>
      <c r="T49" s="534"/>
      <c r="U49" s="533" t="s">
        <v>50</v>
      </c>
      <c r="V49" s="534"/>
      <c r="W49" s="533" t="s">
        <v>51</v>
      </c>
      <c r="X49" s="534"/>
      <c r="Y49" s="533" t="s">
        <v>120</v>
      </c>
      <c r="Z49" s="534"/>
      <c r="AA49" s="535" t="s">
        <v>98</v>
      </c>
    </row>
    <row r="50" spans="2:31" ht="15.75" customHeight="1" thickBot="1" x14ac:dyDescent="0.25">
      <c r="B50" s="538"/>
      <c r="C50" s="303" t="s">
        <v>54</v>
      </c>
      <c r="D50" s="303" t="s">
        <v>104</v>
      </c>
      <c r="E50" s="303" t="s">
        <v>54</v>
      </c>
      <c r="F50" s="303" t="s">
        <v>104</v>
      </c>
      <c r="G50" s="303" t="s">
        <v>54</v>
      </c>
      <c r="H50" s="303" t="s">
        <v>104</v>
      </c>
      <c r="I50" s="303" t="s">
        <v>54</v>
      </c>
      <c r="J50" s="303" t="s">
        <v>104</v>
      </c>
      <c r="K50" s="303" t="s">
        <v>54</v>
      </c>
      <c r="L50" s="303" t="s">
        <v>104</v>
      </c>
      <c r="M50" s="303" t="s">
        <v>54</v>
      </c>
      <c r="N50" s="303" t="s">
        <v>104</v>
      </c>
      <c r="O50" s="303" t="s">
        <v>54</v>
      </c>
      <c r="P50" s="303" t="s">
        <v>104</v>
      </c>
      <c r="Q50" s="303" t="s">
        <v>54</v>
      </c>
      <c r="R50" s="303" t="s">
        <v>104</v>
      </c>
      <c r="S50" s="303" t="s">
        <v>54</v>
      </c>
      <c r="T50" s="303" t="s">
        <v>104</v>
      </c>
      <c r="U50" s="303" t="s">
        <v>54</v>
      </c>
      <c r="V50" s="303" t="s">
        <v>104</v>
      </c>
      <c r="W50" s="303" t="s">
        <v>54</v>
      </c>
      <c r="X50" s="303" t="s">
        <v>104</v>
      </c>
      <c r="Y50" s="303" t="s">
        <v>54</v>
      </c>
      <c r="Z50" s="303" t="s">
        <v>104</v>
      </c>
      <c r="AA50" s="536"/>
    </row>
    <row r="51" spans="2:31" ht="15.75" customHeight="1" x14ac:dyDescent="0.25">
      <c r="B51" s="34" t="str">
        <f>'Anexo capacidad operativa'!B43</f>
        <v>Gerente general</v>
      </c>
      <c r="C51" s="298">
        <f>'Anexo capacidad operativa'!C43</f>
        <v>1</v>
      </c>
      <c r="D51" s="77">
        <f>C51*$L$14</f>
        <v>352396.27</v>
      </c>
      <c r="E51" s="298">
        <f>'Anexo capacidad operativa'!E43</f>
        <v>1</v>
      </c>
      <c r="F51" s="77">
        <f t="shared" ref="F51" si="121">E51*$L$14</f>
        <v>352396.27</v>
      </c>
      <c r="G51" s="298">
        <f>'Anexo capacidad operativa'!G43</f>
        <v>1</v>
      </c>
      <c r="H51" s="77">
        <f t="shared" ref="H51" si="122">G51*$L$14</f>
        <v>352396.27</v>
      </c>
      <c r="I51" s="298">
        <f>'Anexo capacidad operativa'!I43</f>
        <v>1</v>
      </c>
      <c r="J51" s="77">
        <f t="shared" ref="J51" si="123">I51*$L$14</f>
        <v>352396.27</v>
      </c>
      <c r="K51" s="298">
        <f>'Anexo capacidad operativa'!K43</f>
        <v>1</v>
      </c>
      <c r="L51" s="77">
        <f t="shared" ref="L51" si="124">K51*$L$14</f>
        <v>352396.27</v>
      </c>
      <c r="M51" s="298">
        <f>'Anexo capacidad operativa'!M43</f>
        <v>1</v>
      </c>
      <c r="N51" s="77">
        <f t="shared" ref="N51" si="125">M51*$L$14</f>
        <v>352396.27</v>
      </c>
      <c r="O51" s="298">
        <f>'Anexo capacidad operativa'!O43</f>
        <v>1</v>
      </c>
      <c r="P51" s="77">
        <f t="shared" ref="P51" si="126">O51*$L$14</f>
        <v>352396.27</v>
      </c>
      <c r="Q51" s="298">
        <f>'Anexo capacidad operativa'!Q43</f>
        <v>1</v>
      </c>
      <c r="R51" s="77">
        <f t="shared" ref="R51" si="127">Q51*$L$14</f>
        <v>352396.27</v>
      </c>
      <c r="S51" s="298">
        <f>'Anexo capacidad operativa'!S43</f>
        <v>1</v>
      </c>
      <c r="T51" s="77">
        <f t="shared" ref="T51" si="128">S51*$L$14</f>
        <v>352396.27</v>
      </c>
      <c r="U51" s="298">
        <f>'Anexo capacidad operativa'!U43</f>
        <v>1</v>
      </c>
      <c r="V51" s="77">
        <f t="shared" ref="V51" si="129">U51*$L$14</f>
        <v>352396.27</v>
      </c>
      <c r="W51" s="298">
        <f>'Anexo capacidad operativa'!W43</f>
        <v>1</v>
      </c>
      <c r="X51" s="77">
        <f t="shared" ref="X51" si="130">W51*$L$14</f>
        <v>352396.27</v>
      </c>
      <c r="Y51" s="298">
        <f>'Anexo capacidad operativa'!Y43</f>
        <v>1</v>
      </c>
      <c r="Z51" s="77">
        <f t="shared" ref="Z51" si="131">Y51*$L$14</f>
        <v>352396.27</v>
      </c>
      <c r="AA51" s="304">
        <f t="shared" ref="AA51:AA56" si="132">D51+F51+H51+J51+L51+N51+P51+R51+T51+V51+X51+Z51</f>
        <v>4228755.24</v>
      </c>
    </row>
    <row r="52" spans="2:31" ht="15.75" customHeight="1" x14ac:dyDescent="0.25">
      <c r="B52" s="36" t="str">
        <f>'Anexo capacidad operativa'!B44</f>
        <v>Gerente de servicios</v>
      </c>
      <c r="C52" s="298">
        <f>'Anexo capacidad operativa'!C44</f>
        <v>1</v>
      </c>
      <c r="D52" s="77">
        <f>C52*$L$18</f>
        <v>215054.318</v>
      </c>
      <c r="E52" s="298">
        <f>'Anexo capacidad operativa'!E44</f>
        <v>1</v>
      </c>
      <c r="F52" s="77">
        <f t="shared" ref="F52" si="133">E52*$L$18</f>
        <v>215054.318</v>
      </c>
      <c r="G52" s="298">
        <f>'Anexo capacidad operativa'!G44</f>
        <v>1</v>
      </c>
      <c r="H52" s="77">
        <f t="shared" ref="H52" si="134">G52*$L$18</f>
        <v>215054.318</v>
      </c>
      <c r="I52" s="298">
        <f>'Anexo capacidad operativa'!I44</f>
        <v>1</v>
      </c>
      <c r="J52" s="77">
        <f t="shared" ref="J52" si="135">I52*$L$18</f>
        <v>215054.318</v>
      </c>
      <c r="K52" s="298">
        <f>'Anexo capacidad operativa'!K44</f>
        <v>1</v>
      </c>
      <c r="L52" s="77">
        <f t="shared" ref="L52" si="136">K52*$L$18</f>
        <v>215054.318</v>
      </c>
      <c r="M52" s="298">
        <f>'Anexo capacidad operativa'!M44</f>
        <v>1</v>
      </c>
      <c r="N52" s="77">
        <f t="shared" ref="N52" si="137">M52*$L$18</f>
        <v>215054.318</v>
      </c>
      <c r="O52" s="298">
        <f>'Anexo capacidad operativa'!O44</f>
        <v>1</v>
      </c>
      <c r="P52" s="77">
        <f t="shared" ref="P52" si="138">O52*$L$18</f>
        <v>215054.318</v>
      </c>
      <c r="Q52" s="298">
        <f>'Anexo capacidad operativa'!Q44</f>
        <v>1</v>
      </c>
      <c r="R52" s="77">
        <f t="shared" ref="R52" si="139">Q52*$L$18</f>
        <v>215054.318</v>
      </c>
      <c r="S52" s="298">
        <f>'Anexo capacidad operativa'!S44</f>
        <v>1</v>
      </c>
      <c r="T52" s="77">
        <f t="shared" ref="T52" si="140">S52*$L$18</f>
        <v>215054.318</v>
      </c>
      <c r="U52" s="298">
        <f>'Anexo capacidad operativa'!U44</f>
        <v>1</v>
      </c>
      <c r="V52" s="77">
        <f t="shared" ref="V52" si="141">U52*$L$18</f>
        <v>215054.318</v>
      </c>
      <c r="W52" s="298">
        <f>'Anexo capacidad operativa'!W44</f>
        <v>1</v>
      </c>
      <c r="X52" s="77">
        <f t="shared" ref="X52" si="142">W52*$L$18</f>
        <v>215054.318</v>
      </c>
      <c r="Y52" s="298">
        <f>'Anexo capacidad operativa'!Y44</f>
        <v>1</v>
      </c>
      <c r="Z52" s="77">
        <f t="shared" ref="Z52" si="143">Y52*$L$18</f>
        <v>215054.318</v>
      </c>
      <c r="AA52" s="304">
        <f t="shared" si="132"/>
        <v>2580651.8160000001</v>
      </c>
    </row>
    <row r="53" spans="2:31" x14ac:dyDescent="0.25">
      <c r="B53" s="36" t="str">
        <f>'Anexo capacidad operativa'!B45</f>
        <v>Gerente de tecnologia</v>
      </c>
      <c r="C53" s="298">
        <f>'Anexo capacidad operativa'!C45</f>
        <v>1</v>
      </c>
      <c r="D53" s="77">
        <f>C53*$L$15</f>
        <v>350323.46</v>
      </c>
      <c r="E53" s="298">
        <f>'Anexo capacidad operativa'!E45</f>
        <v>1</v>
      </c>
      <c r="F53" s="77">
        <f t="shared" ref="F53" si="144">E53*$L$15</f>
        <v>350323.46</v>
      </c>
      <c r="G53" s="298">
        <f>'Anexo capacidad operativa'!G45</f>
        <v>1</v>
      </c>
      <c r="H53" s="77">
        <f t="shared" ref="H53" si="145">G53*$L$15</f>
        <v>350323.46</v>
      </c>
      <c r="I53" s="298">
        <f>'Anexo capacidad operativa'!I45</f>
        <v>1</v>
      </c>
      <c r="J53" s="77">
        <f t="shared" ref="J53" si="146">I53*$L$15</f>
        <v>350323.46</v>
      </c>
      <c r="K53" s="298">
        <f>'Anexo capacidad operativa'!K45</f>
        <v>1</v>
      </c>
      <c r="L53" s="77">
        <f t="shared" ref="L53" si="147">K53*$L$15</f>
        <v>350323.46</v>
      </c>
      <c r="M53" s="298">
        <f>'Anexo capacidad operativa'!M45</f>
        <v>1</v>
      </c>
      <c r="N53" s="77">
        <f t="shared" ref="N53" si="148">M53*$L$15</f>
        <v>350323.46</v>
      </c>
      <c r="O53" s="298">
        <f>'Anexo capacidad operativa'!O45</f>
        <v>1</v>
      </c>
      <c r="P53" s="77">
        <f t="shared" ref="P53" si="149">O53*$L$15</f>
        <v>350323.46</v>
      </c>
      <c r="Q53" s="298">
        <f>'Anexo capacidad operativa'!Q45</f>
        <v>1</v>
      </c>
      <c r="R53" s="77">
        <f t="shared" ref="R53" si="150">Q53*$L$15</f>
        <v>350323.46</v>
      </c>
      <c r="S53" s="298">
        <f>'Anexo capacidad operativa'!S45</f>
        <v>1</v>
      </c>
      <c r="T53" s="77">
        <f t="shared" ref="T53" si="151">S53*$L$15</f>
        <v>350323.46</v>
      </c>
      <c r="U53" s="298">
        <f>'Anexo capacidad operativa'!U45</f>
        <v>1</v>
      </c>
      <c r="V53" s="77">
        <f t="shared" ref="V53" si="152">U53*$L$15</f>
        <v>350323.46</v>
      </c>
      <c r="W53" s="298">
        <f>'Anexo capacidad operativa'!W45</f>
        <v>1</v>
      </c>
      <c r="X53" s="77">
        <f t="shared" ref="X53" si="153">W53*$L$15</f>
        <v>350323.46</v>
      </c>
      <c r="Y53" s="298">
        <f>'Anexo capacidad operativa'!Y45</f>
        <v>1</v>
      </c>
      <c r="Z53" s="77">
        <f t="shared" ref="Z53" si="154">Y53*$L$15</f>
        <v>350323.46</v>
      </c>
      <c r="AA53" s="304">
        <f t="shared" si="132"/>
        <v>4203881.5200000005</v>
      </c>
    </row>
    <row r="54" spans="2:31" ht="15.75" customHeight="1" x14ac:dyDescent="0.25">
      <c r="B54" s="36" t="str">
        <f>'Anexo capacidad operativa'!B46</f>
        <v>Gerente de administracion</v>
      </c>
      <c r="C54" s="299">
        <f>'Anexo capacidad operativa'!C46</f>
        <v>1</v>
      </c>
      <c r="D54" s="77">
        <f>$L$16*C54</f>
        <v>219736.43</v>
      </c>
      <c r="E54" s="299">
        <f>'Anexo capacidad operativa'!E46</f>
        <v>1</v>
      </c>
      <c r="F54" s="77">
        <f t="shared" ref="F54" si="155">$L$16*E54</f>
        <v>219736.43</v>
      </c>
      <c r="G54" s="299">
        <f>'Anexo capacidad operativa'!G46</f>
        <v>1</v>
      </c>
      <c r="H54" s="77">
        <f t="shared" ref="H54" si="156">$L$16*G54</f>
        <v>219736.43</v>
      </c>
      <c r="I54" s="299">
        <f>'Anexo capacidad operativa'!I46</f>
        <v>1</v>
      </c>
      <c r="J54" s="77">
        <f t="shared" ref="J54" si="157">$L$16*I54</f>
        <v>219736.43</v>
      </c>
      <c r="K54" s="299">
        <f>'Anexo capacidad operativa'!K46</f>
        <v>1</v>
      </c>
      <c r="L54" s="77">
        <f t="shared" ref="L54" si="158">$L$16*K54</f>
        <v>219736.43</v>
      </c>
      <c r="M54" s="299">
        <f>'Anexo capacidad operativa'!M46</f>
        <v>1</v>
      </c>
      <c r="N54" s="77">
        <f t="shared" ref="N54" si="159">$L$16*M54</f>
        <v>219736.43</v>
      </c>
      <c r="O54" s="299">
        <f>'Anexo capacidad operativa'!O46</f>
        <v>1</v>
      </c>
      <c r="P54" s="77">
        <f t="shared" ref="P54" si="160">$L$16*O54</f>
        <v>219736.43</v>
      </c>
      <c r="Q54" s="299">
        <f>'Anexo capacidad operativa'!Q46</f>
        <v>1</v>
      </c>
      <c r="R54" s="77">
        <f t="shared" ref="R54" si="161">$L$16*Q54</f>
        <v>219736.43</v>
      </c>
      <c r="S54" s="299">
        <f>'Anexo capacidad operativa'!S46</f>
        <v>1</v>
      </c>
      <c r="T54" s="77">
        <f t="shared" ref="T54" si="162">$L$16*S54</f>
        <v>219736.43</v>
      </c>
      <c r="U54" s="299">
        <f>'Anexo capacidad operativa'!U46</f>
        <v>1</v>
      </c>
      <c r="V54" s="77">
        <f t="shared" ref="V54" si="163">$L$16*U54</f>
        <v>219736.43</v>
      </c>
      <c r="W54" s="299">
        <f>'Anexo capacidad operativa'!W46</f>
        <v>1</v>
      </c>
      <c r="X54" s="77">
        <f t="shared" ref="X54" si="164">$L$16*W54</f>
        <v>219736.43</v>
      </c>
      <c r="Y54" s="299">
        <f>'Anexo capacidad operativa'!Y46</f>
        <v>1</v>
      </c>
      <c r="Z54" s="77">
        <f t="shared" ref="Z54" si="165">$L$16*Y54</f>
        <v>219736.43</v>
      </c>
      <c r="AA54" s="304">
        <f t="shared" si="132"/>
        <v>2636837.16</v>
      </c>
    </row>
    <row r="55" spans="2:31" ht="15.75" customHeight="1" x14ac:dyDescent="0.25">
      <c r="B55" s="36" t="str">
        <f>'Anexo capacidad operativa'!B47</f>
        <v>Gerente de comuinicacion</v>
      </c>
      <c r="C55" s="298">
        <f>'Anexo capacidad operativa'!C47</f>
        <v>1</v>
      </c>
      <c r="D55" s="77">
        <f>C55*$L$17</f>
        <v>260704.91</v>
      </c>
      <c r="E55" s="298">
        <f>'Anexo capacidad operativa'!E47</f>
        <v>1</v>
      </c>
      <c r="F55" s="77">
        <f t="shared" ref="F55" si="166">E55*$L$17</f>
        <v>260704.91</v>
      </c>
      <c r="G55" s="298">
        <f>'Anexo capacidad operativa'!G47</f>
        <v>1</v>
      </c>
      <c r="H55" s="77">
        <f t="shared" ref="H55" si="167">G55*$L$17</f>
        <v>260704.91</v>
      </c>
      <c r="I55" s="298">
        <f>'Anexo capacidad operativa'!I47</f>
        <v>1</v>
      </c>
      <c r="J55" s="77">
        <f t="shared" ref="J55" si="168">I55*$L$17</f>
        <v>260704.91</v>
      </c>
      <c r="K55" s="298">
        <f>'Anexo capacidad operativa'!K47</f>
        <v>1</v>
      </c>
      <c r="L55" s="77">
        <f t="shared" ref="L55" si="169">K55*$L$17</f>
        <v>260704.91</v>
      </c>
      <c r="M55" s="298">
        <f>'Anexo capacidad operativa'!M47</f>
        <v>1</v>
      </c>
      <c r="N55" s="77">
        <f t="shared" ref="N55" si="170">M55*$L$17</f>
        <v>260704.91</v>
      </c>
      <c r="O55" s="298">
        <f>'Anexo capacidad operativa'!O47</f>
        <v>1</v>
      </c>
      <c r="P55" s="77">
        <f t="shared" ref="P55" si="171">O55*$L$17</f>
        <v>260704.91</v>
      </c>
      <c r="Q55" s="298">
        <f>'Anexo capacidad operativa'!Q47</f>
        <v>1</v>
      </c>
      <c r="R55" s="77">
        <f t="shared" ref="R55" si="172">Q55*$L$17</f>
        <v>260704.91</v>
      </c>
      <c r="S55" s="298">
        <f>'Anexo capacidad operativa'!S47</f>
        <v>1</v>
      </c>
      <c r="T55" s="77">
        <f t="shared" ref="T55" si="173">S55*$L$17</f>
        <v>260704.91</v>
      </c>
      <c r="U55" s="298">
        <f>'Anexo capacidad operativa'!U47</f>
        <v>1</v>
      </c>
      <c r="V55" s="77">
        <f t="shared" ref="V55" si="174">U55*$L$17</f>
        <v>260704.91</v>
      </c>
      <c r="W55" s="298">
        <f>'Anexo capacidad operativa'!W47</f>
        <v>1</v>
      </c>
      <c r="X55" s="77">
        <f t="shared" ref="X55" si="175">W55*$L$17</f>
        <v>260704.91</v>
      </c>
      <c r="Y55" s="298">
        <f>'Anexo capacidad operativa'!Y47</f>
        <v>1</v>
      </c>
      <c r="Z55" s="77">
        <f t="shared" ref="Z55" si="176">Y55*$L$17</f>
        <v>260704.91</v>
      </c>
      <c r="AA55" s="304">
        <f t="shared" si="132"/>
        <v>3128458.9200000004</v>
      </c>
    </row>
    <row r="56" spans="2:31" ht="15.75" customHeight="1" x14ac:dyDescent="0.25">
      <c r="B56" s="36" t="str">
        <f>'Anexo capacidad operativa'!B48</f>
        <v>Desarrollador</v>
      </c>
      <c r="C56" s="298">
        <f>'Anexo capacidad operativa'!C48</f>
        <v>1</v>
      </c>
      <c r="D56" s="77">
        <f>C56*$L$19</f>
        <v>271356.71480000002</v>
      </c>
      <c r="E56" s="298">
        <f>'Anexo capacidad operativa'!E48</f>
        <v>1</v>
      </c>
      <c r="F56" s="77">
        <f t="shared" ref="F56" si="177">E56*$L$19</f>
        <v>271356.71480000002</v>
      </c>
      <c r="G56" s="298">
        <f>'Anexo capacidad operativa'!G48</f>
        <v>1</v>
      </c>
      <c r="H56" s="77">
        <f t="shared" ref="H56" si="178">G56*$L$19</f>
        <v>271356.71480000002</v>
      </c>
      <c r="I56" s="298">
        <f>'Anexo capacidad operativa'!I48</f>
        <v>1</v>
      </c>
      <c r="J56" s="77">
        <f t="shared" ref="J56" si="179">I56*$L$19</f>
        <v>271356.71480000002</v>
      </c>
      <c r="K56" s="298">
        <f>'Anexo capacidad operativa'!K48</f>
        <v>1</v>
      </c>
      <c r="L56" s="77">
        <f t="shared" ref="L56" si="180">K56*$L$19</f>
        <v>271356.71480000002</v>
      </c>
      <c r="M56" s="298">
        <f>'Anexo capacidad operativa'!M48</f>
        <v>2</v>
      </c>
      <c r="N56" s="77">
        <f t="shared" ref="N56" si="181">M56*$L$19</f>
        <v>542713.42960000003</v>
      </c>
      <c r="O56" s="298">
        <f>'Anexo capacidad operativa'!O48</f>
        <v>2</v>
      </c>
      <c r="P56" s="77">
        <f t="shared" ref="P56" si="182">O56*$L$19</f>
        <v>542713.42960000003</v>
      </c>
      <c r="Q56" s="298">
        <f>'Anexo capacidad operativa'!Q48</f>
        <v>2</v>
      </c>
      <c r="R56" s="77">
        <f t="shared" ref="R56" si="183">Q56*$L$19</f>
        <v>542713.42960000003</v>
      </c>
      <c r="S56" s="298">
        <f>'Anexo capacidad operativa'!S48</f>
        <v>2</v>
      </c>
      <c r="T56" s="77">
        <f t="shared" ref="T56" si="184">S56*$L$19</f>
        <v>542713.42960000003</v>
      </c>
      <c r="U56" s="298">
        <f>'Anexo capacidad operativa'!U48</f>
        <v>2</v>
      </c>
      <c r="V56" s="77">
        <f t="shared" ref="V56" si="185">U56*$L$19</f>
        <v>542713.42960000003</v>
      </c>
      <c r="W56" s="298">
        <f>'Anexo capacidad operativa'!W48</f>
        <v>2</v>
      </c>
      <c r="X56" s="77">
        <f t="shared" ref="X56" si="186">W56*$L$19</f>
        <v>542713.42960000003</v>
      </c>
      <c r="Y56" s="298">
        <f>'Anexo capacidad operativa'!Y48</f>
        <v>2</v>
      </c>
      <c r="Z56" s="77">
        <f t="shared" ref="Z56" si="187">Y56*$L$19</f>
        <v>542713.42960000003</v>
      </c>
      <c r="AA56" s="304">
        <f t="shared" si="132"/>
        <v>5155777.5811999999</v>
      </c>
    </row>
    <row r="57" spans="2:31" ht="15.75" customHeight="1" x14ac:dyDescent="0.25">
      <c r="B57" s="310" t="s">
        <v>121</v>
      </c>
      <c r="C57" s="311">
        <f t="shared" ref="C57:Z57" si="188">SUM(C51:C56)</f>
        <v>6</v>
      </c>
      <c r="D57" s="312">
        <f t="shared" si="188"/>
        <v>1669572.1027999998</v>
      </c>
      <c r="E57" s="311">
        <f t="shared" si="188"/>
        <v>6</v>
      </c>
      <c r="F57" s="312">
        <f t="shared" si="188"/>
        <v>1669572.1027999998</v>
      </c>
      <c r="G57" s="311">
        <f t="shared" si="188"/>
        <v>6</v>
      </c>
      <c r="H57" s="312">
        <f t="shared" si="188"/>
        <v>1669572.1027999998</v>
      </c>
      <c r="I57" s="311">
        <f t="shared" si="188"/>
        <v>6</v>
      </c>
      <c r="J57" s="312">
        <f t="shared" si="188"/>
        <v>1669572.1027999998</v>
      </c>
      <c r="K57" s="311">
        <f t="shared" si="188"/>
        <v>6</v>
      </c>
      <c r="L57" s="312">
        <f t="shared" si="188"/>
        <v>1669572.1027999998</v>
      </c>
      <c r="M57" s="311">
        <f t="shared" si="188"/>
        <v>7</v>
      </c>
      <c r="N57" s="312">
        <f t="shared" si="188"/>
        <v>1940928.8175999997</v>
      </c>
      <c r="O57" s="311">
        <f t="shared" si="188"/>
        <v>7</v>
      </c>
      <c r="P57" s="312">
        <f t="shared" si="188"/>
        <v>1940928.8175999997</v>
      </c>
      <c r="Q57" s="311">
        <f t="shared" si="188"/>
        <v>7</v>
      </c>
      <c r="R57" s="312">
        <f t="shared" si="188"/>
        <v>1940928.8175999997</v>
      </c>
      <c r="S57" s="311">
        <f t="shared" si="188"/>
        <v>7</v>
      </c>
      <c r="T57" s="312">
        <f t="shared" si="188"/>
        <v>1940928.8175999997</v>
      </c>
      <c r="U57" s="311">
        <f t="shared" si="188"/>
        <v>7</v>
      </c>
      <c r="V57" s="312">
        <f t="shared" si="188"/>
        <v>1940928.8175999997</v>
      </c>
      <c r="W57" s="311">
        <f t="shared" si="188"/>
        <v>7</v>
      </c>
      <c r="X57" s="312">
        <f t="shared" si="188"/>
        <v>1940928.8175999997</v>
      </c>
      <c r="Y57" s="311">
        <f t="shared" si="188"/>
        <v>7</v>
      </c>
      <c r="Z57" s="312">
        <f t="shared" si="188"/>
        <v>1940928.8175999997</v>
      </c>
      <c r="AA57" s="127">
        <f>Z57+X57+V57+T57+R57+P57+N57+L57+J57+H57+F57+D57</f>
        <v>21934362.237200003</v>
      </c>
    </row>
    <row r="58" spans="2:31" ht="15.75" customHeight="1" x14ac:dyDescent="0.25">
      <c r="D58" s="1"/>
      <c r="E58" s="1"/>
    </row>
    <row r="59" spans="2:31" ht="15.75" customHeight="1" x14ac:dyDescent="0.25">
      <c r="AD59" s="1"/>
      <c r="AE59" s="1"/>
    </row>
    <row r="60" spans="2:31" ht="15.75" customHeight="1" x14ac:dyDescent="0.25">
      <c r="B60" s="1"/>
      <c r="C60" s="1"/>
    </row>
    <row r="61" spans="2:31" ht="15.75" customHeight="1" x14ac:dyDescent="0.25">
      <c r="B61" s="1"/>
      <c r="C61" s="1"/>
    </row>
    <row r="62" spans="2:31" ht="15.75" customHeight="1" x14ac:dyDescent="0.25">
      <c r="B62" s="116"/>
      <c r="C62" s="116"/>
    </row>
    <row r="63" spans="2:31" ht="15.75" customHeight="1" x14ac:dyDescent="0.25">
      <c r="B63" s="116"/>
      <c r="C63" s="116"/>
    </row>
    <row r="64" spans="2:31" ht="15.75" customHeight="1" x14ac:dyDescent="0.25">
      <c r="B64" s="1"/>
      <c r="C64" s="1"/>
    </row>
    <row r="65" spans="1:3" ht="15.75" customHeight="1" x14ac:dyDescent="0.25">
      <c r="B65" s="1"/>
      <c r="C65" s="1"/>
    </row>
    <row r="66" spans="1:3" ht="15.75" customHeight="1" x14ac:dyDescent="0.25">
      <c r="B66" s="1"/>
      <c r="C66" s="1"/>
    </row>
    <row r="67" spans="1:3" ht="15.75" customHeight="1" x14ac:dyDescent="0.25">
      <c r="B67" s="1"/>
      <c r="C67" s="1"/>
    </row>
    <row r="68" spans="1:3" ht="15.75" customHeight="1" x14ac:dyDescent="0.25">
      <c r="B68" s="1"/>
      <c r="C68" s="1"/>
    </row>
    <row r="69" spans="1:3" ht="15.75" customHeight="1" x14ac:dyDescent="0.25">
      <c r="A69" s="1"/>
      <c r="B69" s="1"/>
      <c r="C69" s="1"/>
    </row>
    <row r="70" spans="1:3" ht="15.75" customHeight="1" x14ac:dyDescent="0.2"/>
    <row r="71" spans="1:3" ht="15.75" customHeight="1" x14ac:dyDescent="0.2"/>
    <row r="72" spans="1:3" ht="15.75" customHeight="1" x14ac:dyDescent="0.2"/>
    <row r="73" spans="1:3" ht="15.75" customHeight="1" x14ac:dyDescent="0.2"/>
    <row r="74" spans="1:3" ht="15.75" customHeight="1" x14ac:dyDescent="0.2"/>
    <row r="75" spans="1:3" ht="15.75" customHeight="1" x14ac:dyDescent="0.2"/>
    <row r="76" spans="1:3" ht="15.75" customHeight="1" x14ac:dyDescent="0.2"/>
    <row r="77" spans="1:3" ht="15.75" customHeight="1" x14ac:dyDescent="0.2"/>
    <row r="78" spans="1:3" ht="15.75" customHeight="1" x14ac:dyDescent="0.2"/>
    <row r="79" spans="1:3" ht="15.75" customHeight="1" x14ac:dyDescent="0.2"/>
    <row r="80" spans="1:3" ht="15.75" customHeight="1" x14ac:dyDescent="0.2"/>
    <row r="81" spans="1:31" ht="15.75" customHeight="1" x14ac:dyDescent="0.2"/>
    <row r="82" spans="1:31" ht="15.75" customHeight="1" x14ac:dyDescent="0.2"/>
    <row r="83" spans="1:31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</row>
    <row r="84" spans="1:31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</row>
    <row r="85" spans="1:31" ht="15.75" customHeight="1" x14ac:dyDescent="0.25">
      <c r="A85" s="1"/>
      <c r="T85" t="e">
        <f>+S31:JJ33</f>
        <v>#VALUE!</v>
      </c>
      <c r="AC85" s="1"/>
      <c r="AD85" s="1"/>
    </row>
    <row r="86" spans="1:31" ht="15.75" customHeight="1" x14ac:dyDescent="0.25">
      <c r="A86" s="1"/>
      <c r="AC86" s="1"/>
      <c r="AD86" s="1"/>
    </row>
    <row r="87" spans="1:31" ht="15.75" customHeight="1" x14ac:dyDescent="0.25">
      <c r="A87" s="1"/>
      <c r="AC87" s="1"/>
      <c r="AD87" s="1"/>
    </row>
    <row r="88" spans="1:31" ht="15.75" customHeight="1" x14ac:dyDescent="0.25">
      <c r="A88" s="1"/>
      <c r="AC88" s="1"/>
      <c r="AD88" s="1"/>
    </row>
    <row r="89" spans="1:31" ht="15.75" customHeight="1" x14ac:dyDescent="0.25">
      <c r="A89" s="1"/>
      <c r="AC89" s="1"/>
      <c r="AD89" s="1"/>
      <c r="AE89" s="1"/>
    </row>
    <row r="90" spans="1:31" ht="15.75" customHeight="1" x14ac:dyDescent="0.25">
      <c r="A90" s="1"/>
      <c r="AC90" s="1"/>
      <c r="AD90" s="1"/>
      <c r="AE90" s="1"/>
    </row>
    <row r="91" spans="1:31" ht="15.75" customHeight="1" x14ac:dyDescent="0.25">
      <c r="A91" s="1"/>
      <c r="AC91" s="1"/>
      <c r="AD91" s="1"/>
      <c r="AE91" s="1"/>
    </row>
    <row r="92" spans="1:31" ht="15.75" customHeight="1" x14ac:dyDescent="0.25">
      <c r="A92" s="1"/>
      <c r="AC92" s="1"/>
      <c r="AD92" s="1"/>
      <c r="AE92" s="1"/>
    </row>
    <row r="93" spans="1:31" ht="15.75" customHeight="1" x14ac:dyDescent="0.25">
      <c r="A93" s="1"/>
      <c r="AC93" s="1"/>
      <c r="AD93" s="1"/>
      <c r="AE93" s="1"/>
    </row>
    <row r="94" spans="1:31" ht="15.75" customHeight="1" x14ac:dyDescent="0.25">
      <c r="A94" s="1"/>
      <c r="AC94" s="1"/>
      <c r="AD94" s="1"/>
      <c r="AE94" s="1"/>
    </row>
    <row r="95" spans="1:31" ht="15.75" customHeight="1" x14ac:dyDescent="0.25">
      <c r="A95" s="1"/>
      <c r="AC95" s="1"/>
      <c r="AD95" s="1"/>
      <c r="AE95" s="1"/>
    </row>
    <row r="96" spans="1:31" ht="15.75" customHeight="1" x14ac:dyDescent="0.25">
      <c r="A96" s="1"/>
      <c r="AC96" s="1"/>
      <c r="AD96" s="1"/>
      <c r="AE96" s="1"/>
    </row>
    <row r="97" spans="1:31" ht="15.75" customHeight="1" x14ac:dyDescent="0.25">
      <c r="A97" s="1"/>
      <c r="AC97" s="1"/>
      <c r="AD97" s="1"/>
      <c r="AE97" s="1"/>
    </row>
    <row r="98" spans="1:31" ht="15.75" customHeight="1" x14ac:dyDescent="0.25">
      <c r="A98" s="1"/>
      <c r="AC98" s="1"/>
      <c r="AD98" s="1"/>
      <c r="AE98" s="1"/>
    </row>
    <row r="99" spans="1:31" ht="15.75" customHeight="1" x14ac:dyDescent="0.25">
      <c r="A99" s="1"/>
      <c r="AC99" s="1"/>
      <c r="AD99" s="1"/>
      <c r="AE99" s="1"/>
    </row>
    <row r="100" spans="1:31" ht="15.75" customHeight="1" x14ac:dyDescent="0.25">
      <c r="A100" s="1"/>
      <c r="AC100" s="116"/>
      <c r="AD100" s="116"/>
      <c r="AE100" s="1"/>
    </row>
    <row r="101" spans="1:31" ht="15.75" customHeight="1" x14ac:dyDescent="0.25">
      <c r="A101" s="1"/>
      <c r="AC101" s="116"/>
      <c r="AD101" s="116"/>
      <c r="AE101" s="1"/>
    </row>
    <row r="102" spans="1:31" ht="15.75" customHeight="1" x14ac:dyDescent="0.25">
      <c r="A102" s="1"/>
      <c r="AC102" s="116"/>
      <c r="AD102" s="116"/>
      <c r="AE102" s="1"/>
    </row>
    <row r="103" spans="1:31" ht="15.75" customHeight="1" x14ac:dyDescent="0.25">
      <c r="A103" s="1"/>
      <c r="AC103" s="116"/>
      <c r="AD103" s="116"/>
      <c r="AE103" s="1"/>
    </row>
    <row r="104" spans="1:31" ht="15.75" customHeight="1" x14ac:dyDescent="0.25">
      <c r="A104" s="1"/>
      <c r="AC104" s="116"/>
      <c r="AD104" s="116"/>
      <c r="AE104" s="1"/>
    </row>
    <row r="105" spans="1:31" ht="15.75" customHeight="1" x14ac:dyDescent="0.25">
      <c r="A105" s="1"/>
      <c r="AC105" s="1"/>
      <c r="AD105" s="1"/>
    </row>
    <row r="106" spans="1:31" ht="15.75" customHeight="1" x14ac:dyDescent="0.25">
      <c r="A106" s="1"/>
      <c r="AC106" s="1"/>
      <c r="AD106" s="1"/>
    </row>
    <row r="107" spans="1:31" ht="15.75" customHeight="1" x14ac:dyDescent="0.25">
      <c r="A107" s="1"/>
      <c r="Y107" s="1"/>
      <c r="Z107" s="1"/>
      <c r="AA107" s="1"/>
      <c r="AB107" s="1"/>
    </row>
    <row r="108" spans="1:31" ht="15.75" customHeight="1" x14ac:dyDescent="0.25">
      <c r="A108" s="1"/>
      <c r="Y108" s="1"/>
      <c r="Z108" s="1"/>
      <c r="AA108" s="1"/>
      <c r="AB108" s="1"/>
    </row>
    <row r="109" spans="1:31" ht="15.75" customHeight="1" x14ac:dyDescent="0.25">
      <c r="A109" s="1"/>
      <c r="Y109" s="1"/>
      <c r="Z109" s="1"/>
      <c r="AA109" s="1"/>
      <c r="AB109" s="1"/>
    </row>
    <row r="110" spans="1:31" ht="15.75" customHeight="1" x14ac:dyDescent="0.25">
      <c r="A110" s="1"/>
      <c r="Y110" s="1"/>
      <c r="Z110" s="1"/>
      <c r="AA110" s="1"/>
      <c r="AB110" s="1"/>
    </row>
    <row r="111" spans="1:31" ht="15.75" customHeight="1" x14ac:dyDescent="0.25">
      <c r="A111" s="1"/>
    </row>
    <row r="112" spans="1:31" ht="15.75" customHeight="1" x14ac:dyDescent="0.25">
      <c r="A112" s="1"/>
    </row>
    <row r="113" spans="1:30" ht="15.75" customHeight="1" x14ac:dyDescent="0.25">
      <c r="A113" s="1"/>
    </row>
    <row r="114" spans="1:30" ht="15.75" customHeight="1" x14ac:dyDescent="0.25">
      <c r="A114" s="1"/>
    </row>
    <row r="115" spans="1:30" ht="15.75" customHeight="1" x14ac:dyDescent="0.25">
      <c r="A115" s="1"/>
    </row>
    <row r="116" spans="1:30" ht="15.75" customHeight="1" x14ac:dyDescent="0.25">
      <c r="A116" s="1"/>
    </row>
    <row r="117" spans="1:30" ht="15.75" customHeight="1" x14ac:dyDescent="0.25">
      <c r="A117" s="1"/>
    </row>
    <row r="118" spans="1:30" ht="15.75" customHeight="1" x14ac:dyDescent="0.25">
      <c r="A118" s="1"/>
    </row>
    <row r="119" spans="1:30" ht="15.75" customHeight="1" x14ac:dyDescent="0.25">
      <c r="A119" s="1"/>
    </row>
    <row r="120" spans="1:30" ht="15.75" customHeight="1" x14ac:dyDescent="0.25">
      <c r="A120" s="1"/>
    </row>
    <row r="121" spans="1:30" ht="15.75" customHeight="1" x14ac:dyDescent="0.25">
      <c r="A121" s="1"/>
    </row>
    <row r="122" spans="1:30" ht="15.75" customHeight="1" x14ac:dyDescent="0.25">
      <c r="A122" s="1"/>
    </row>
    <row r="123" spans="1:30" ht="15.75" customHeight="1" x14ac:dyDescent="0.25">
      <c r="A123" s="1"/>
    </row>
    <row r="124" spans="1:30" ht="15.75" customHeight="1" x14ac:dyDescent="0.25">
      <c r="A124" s="1"/>
    </row>
    <row r="125" spans="1:30" ht="15.75" customHeight="1" x14ac:dyDescent="0.25">
      <c r="A125" s="1"/>
    </row>
    <row r="126" spans="1:30" ht="15.75" customHeight="1" x14ac:dyDescent="0.25">
      <c r="A126" s="1"/>
      <c r="AC126" s="1"/>
      <c r="AD126" s="1"/>
    </row>
    <row r="127" spans="1:30" ht="15.75" customHeight="1" x14ac:dyDescent="0.25">
      <c r="A127" s="1"/>
      <c r="AC127" s="1"/>
      <c r="AD127" s="1"/>
    </row>
    <row r="128" spans="1:30" ht="15.75" customHeight="1" x14ac:dyDescent="0.25">
      <c r="A128" s="1"/>
      <c r="B128" s="1"/>
      <c r="AC128" s="1"/>
      <c r="AD128" s="1"/>
    </row>
    <row r="129" spans="1:30" ht="15.75" customHeight="1" x14ac:dyDescent="0.25">
      <c r="A129" s="1"/>
      <c r="B129" s="1"/>
      <c r="AC129" s="1"/>
      <c r="AD129" s="1"/>
    </row>
    <row r="130" spans="1:30" ht="15.75" customHeight="1" x14ac:dyDescent="0.25">
      <c r="A130" s="1"/>
      <c r="B130" s="116"/>
      <c r="AC130" s="116"/>
      <c r="AD130" s="116"/>
    </row>
    <row r="131" spans="1:30" ht="15.75" customHeight="1" x14ac:dyDescent="0.25">
      <c r="A131" s="1"/>
      <c r="B131" s="116"/>
      <c r="AC131" s="116"/>
      <c r="AD131" s="116"/>
    </row>
    <row r="132" spans="1:30" ht="15.75" customHeight="1" x14ac:dyDescent="0.25">
      <c r="A132" s="1"/>
      <c r="B132" s="1"/>
      <c r="AC132" s="1"/>
      <c r="AD132" s="1"/>
    </row>
    <row r="133" spans="1:30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</row>
    <row r="134" spans="1:30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</row>
    <row r="135" spans="1:30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</row>
    <row r="136" spans="1:30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</row>
    <row r="137" spans="1:30" ht="15.75" customHeight="1" x14ac:dyDescent="0.25">
      <c r="A137" s="1"/>
    </row>
    <row r="138" spans="1:30" ht="15.75" customHeight="1" x14ac:dyDescent="0.25">
      <c r="A138" s="1"/>
    </row>
    <row r="139" spans="1:30" ht="15.75" customHeight="1" x14ac:dyDescent="0.25">
      <c r="A139" s="1"/>
    </row>
    <row r="140" spans="1:30" ht="15.75" customHeight="1" x14ac:dyDescent="0.25">
      <c r="A140" s="1"/>
    </row>
    <row r="141" spans="1:30" ht="15.75" customHeight="1" x14ac:dyDescent="0.25">
      <c r="A141" s="1"/>
    </row>
    <row r="142" spans="1:30" ht="15.75" customHeight="1" x14ac:dyDescent="0.25">
      <c r="A142" s="1"/>
    </row>
    <row r="143" spans="1:30" ht="15.75" customHeight="1" x14ac:dyDescent="0.25">
      <c r="A143" s="1"/>
    </row>
    <row r="144" spans="1:30" ht="15.75" customHeight="1" x14ac:dyDescent="0.25">
      <c r="A144" s="1"/>
    </row>
    <row r="145" spans="1:1" ht="15.75" customHeight="1" x14ac:dyDescent="0.25">
      <c r="A145" s="1"/>
    </row>
    <row r="146" spans="1:1" ht="15.75" customHeight="1" x14ac:dyDescent="0.25">
      <c r="A146" s="1"/>
    </row>
    <row r="147" spans="1:1" ht="15.75" customHeight="1" x14ac:dyDescent="0.25">
      <c r="A147" s="1"/>
    </row>
    <row r="148" spans="1:1" ht="15.75" customHeight="1" x14ac:dyDescent="0.25">
      <c r="A148" s="1"/>
    </row>
    <row r="149" spans="1:1" ht="15.75" customHeight="1" x14ac:dyDescent="0.25">
      <c r="A149" s="1"/>
    </row>
    <row r="150" spans="1:1" ht="15.75" customHeight="1" x14ac:dyDescent="0.25">
      <c r="A150" s="1"/>
    </row>
    <row r="151" spans="1:1" ht="15.75" customHeight="1" x14ac:dyDescent="0.25">
      <c r="A151" s="1"/>
    </row>
    <row r="152" spans="1:1" ht="15.75" customHeight="1" x14ac:dyDescent="0.25">
      <c r="A152" s="1"/>
    </row>
    <row r="153" spans="1:1" ht="15.75" customHeight="1" x14ac:dyDescent="0.25">
      <c r="A153" s="1"/>
    </row>
    <row r="154" spans="1:1" ht="15.75" customHeight="1" x14ac:dyDescent="0.25">
      <c r="A154" s="1"/>
    </row>
    <row r="155" spans="1:1" ht="15.75" customHeight="1" x14ac:dyDescent="0.25">
      <c r="A155" s="1"/>
    </row>
    <row r="156" spans="1:1" ht="15.75" customHeight="1" x14ac:dyDescent="0.25">
      <c r="A156" s="1"/>
    </row>
    <row r="157" spans="1:1" ht="15.75" customHeight="1" x14ac:dyDescent="0.25">
      <c r="A157" s="1"/>
    </row>
    <row r="158" spans="1:1" ht="15.75" customHeight="1" x14ac:dyDescent="0.25">
      <c r="A158" s="1"/>
    </row>
    <row r="159" spans="1:1" ht="15.75" customHeight="1" x14ac:dyDescent="0.25">
      <c r="A159" s="1"/>
    </row>
    <row r="160" spans="1:1" ht="15.75" customHeight="1" x14ac:dyDescent="0.25">
      <c r="A160" s="1"/>
    </row>
    <row r="161" spans="1:31" ht="15.75" customHeight="1" x14ac:dyDescent="0.25">
      <c r="A161" s="1"/>
    </row>
    <row r="162" spans="1:31" ht="15.75" customHeight="1" x14ac:dyDescent="0.25">
      <c r="A162" s="1"/>
    </row>
    <row r="163" spans="1:31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</sheetData>
  <mergeCells count="54">
    <mergeCell ref="B35:AA35"/>
    <mergeCell ref="B18:B19"/>
    <mergeCell ref="B4:D4"/>
    <mergeCell ref="H4:J4"/>
    <mergeCell ref="B11:L11"/>
    <mergeCell ref="C12:C13"/>
    <mergeCell ref="D12:D13"/>
    <mergeCell ref="K12:K13"/>
    <mergeCell ref="L12:L13"/>
    <mergeCell ref="B12:B13"/>
    <mergeCell ref="B48:AA48"/>
    <mergeCell ref="B23:AA23"/>
    <mergeCell ref="O24:P24"/>
    <mergeCell ref="Q24:R24"/>
    <mergeCell ref="S24:T24"/>
    <mergeCell ref="U24:V24"/>
    <mergeCell ref="W24:X24"/>
    <mergeCell ref="Y24:Z24"/>
    <mergeCell ref="AA24:AA25"/>
    <mergeCell ref="B24:B25"/>
    <mergeCell ref="I24:J24"/>
    <mergeCell ref="K24:L24"/>
    <mergeCell ref="M24:N24"/>
    <mergeCell ref="C24:D24"/>
    <mergeCell ref="E24:F24"/>
    <mergeCell ref="G24:H24"/>
    <mergeCell ref="W36:X36"/>
    <mergeCell ref="Y36:Z36"/>
    <mergeCell ref="AA36:AA37"/>
    <mergeCell ref="B36:B37"/>
    <mergeCell ref="C36:D36"/>
    <mergeCell ref="E36:F36"/>
    <mergeCell ref="G36:H36"/>
    <mergeCell ref="I36:J36"/>
    <mergeCell ref="K36:L36"/>
    <mergeCell ref="M36:N36"/>
    <mergeCell ref="O36:P36"/>
    <mergeCell ref="Q36:R36"/>
    <mergeCell ref="S36:T36"/>
    <mergeCell ref="U36:V36"/>
    <mergeCell ref="B49:B50"/>
    <mergeCell ref="C49:D49"/>
    <mergeCell ref="E49:F49"/>
    <mergeCell ref="G49:H49"/>
    <mergeCell ref="I49:J49"/>
    <mergeCell ref="U49:V49"/>
    <mergeCell ref="W49:X49"/>
    <mergeCell ref="Y49:Z49"/>
    <mergeCell ref="AA49:AA50"/>
    <mergeCell ref="K49:L49"/>
    <mergeCell ref="M49:N49"/>
    <mergeCell ref="O49:P49"/>
    <mergeCell ref="Q49:R49"/>
    <mergeCell ref="S49:T49"/>
  </mergeCells>
  <pageMargins left="0.7" right="0.7" top="0.75" bottom="0.75" header="0" footer="0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999"/>
  <sheetViews>
    <sheetView workbookViewId="0">
      <pane ySplit="1" topLeftCell="A12" activePane="bottomLeft" state="frozen"/>
      <selection pane="bottomLeft" activeCell="E30" sqref="A2:E30"/>
    </sheetView>
  </sheetViews>
  <sheetFormatPr baseColWidth="10" defaultColWidth="12.625" defaultRowHeight="15" customHeight="1" x14ac:dyDescent="0.2"/>
  <cols>
    <col min="1" max="1" width="15.5" customWidth="1"/>
    <col min="2" max="3" width="13.375" customWidth="1"/>
    <col min="4" max="4" width="16.125" customWidth="1"/>
    <col min="5" max="7" width="10" customWidth="1"/>
    <col min="8" max="8" width="13.625" customWidth="1"/>
    <col min="9" max="26" width="10" customWidth="1"/>
  </cols>
  <sheetData>
    <row r="1" spans="1:26" ht="84" customHeight="1" x14ac:dyDescent="0.25">
      <c r="A1" s="545" t="s">
        <v>16</v>
      </c>
      <c r="B1" s="545"/>
      <c r="C1" s="545"/>
      <c r="D1" s="545"/>
      <c r="E1" s="545"/>
      <c r="F1" s="545"/>
      <c r="G1" s="545"/>
      <c r="H1" s="545"/>
      <c r="I1" s="545"/>
      <c r="J1" s="545"/>
      <c r="K1" s="545"/>
      <c r="L1" s="545"/>
      <c r="M1" s="545"/>
      <c r="N1" s="545"/>
      <c r="O1" s="545"/>
      <c r="P1" s="545"/>
      <c r="Q1" s="545"/>
      <c r="R1" s="545"/>
      <c r="S1" s="545"/>
      <c r="T1" s="545"/>
      <c r="U1" s="545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521" t="s">
        <v>37</v>
      </c>
      <c r="C3" s="434"/>
      <c r="D3" s="435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204">
        <v>2022</v>
      </c>
      <c r="C4" s="204">
        <v>2023</v>
      </c>
      <c r="D4" s="204">
        <v>2024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25">
        <f>Hipótesis!C25</f>
        <v>0.1</v>
      </c>
      <c r="C5" s="25">
        <f>Hipótesis!C26</f>
        <v>0.2</v>
      </c>
      <c r="D5" s="25">
        <f>Hipótesis!C27</f>
        <v>0.3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65">
        <f>Hipótesis!D25</f>
        <v>29160000</v>
      </c>
      <c r="C6" s="65">
        <f>Hipótesis!D26</f>
        <v>58320000</v>
      </c>
      <c r="D6" s="65">
        <f>Hipótesis!D27</f>
        <v>87480000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73"/>
      <c r="C7" s="73"/>
      <c r="D7" s="73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25" x14ac:dyDescent="0.4">
      <c r="A8" s="1"/>
      <c r="B8" s="521" t="s">
        <v>122</v>
      </c>
      <c r="C8" s="434"/>
      <c r="D8" s="435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204">
        <v>2022</v>
      </c>
      <c r="C9" s="204">
        <v>2023</v>
      </c>
      <c r="D9" s="204">
        <v>2024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313" t="s">
        <v>123</v>
      </c>
      <c r="B10" s="79">
        <f>'Costos fijos'!$G$5</f>
        <v>4754400</v>
      </c>
      <c r="C10" s="79">
        <f>'Costos fijos'!$H$5</f>
        <v>5522400</v>
      </c>
      <c r="D10" s="79">
        <f>'Costos fijos'!$I$5</f>
        <v>6290400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313" t="s">
        <v>124</v>
      </c>
      <c r="B11" s="79">
        <f>'Costos RRHH'!$H$6</f>
        <v>16778584.655999999</v>
      </c>
      <c r="C11" s="79">
        <f>'Costos RRHH'!$I$6</f>
        <v>18678081.659600001</v>
      </c>
      <c r="D11" s="79">
        <f>'Costos RRHH'!$J$6</f>
        <v>21934362.237200003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313" t="s">
        <v>122</v>
      </c>
      <c r="B12" s="80">
        <f>SUM(B9:B11)</f>
        <v>21535006.655999999</v>
      </c>
      <c r="C12" s="80">
        <f>SUM(C9:C11)</f>
        <v>24202504.659600001</v>
      </c>
      <c r="D12" s="80">
        <f>SUM(D9:D11)</f>
        <v>28226786.237200003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313" t="s">
        <v>125</v>
      </c>
      <c r="B13" s="79">
        <f>$B$6</f>
        <v>29160000</v>
      </c>
      <c r="C13" s="79">
        <f>$C$6</f>
        <v>58320000</v>
      </c>
      <c r="D13" s="79">
        <f>$D$6</f>
        <v>87480000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</sheetData>
  <mergeCells count="3">
    <mergeCell ref="B3:D3"/>
    <mergeCell ref="B8:D8"/>
    <mergeCell ref="A1:U1"/>
  </mergeCells>
  <pageMargins left="0.7" right="0.7" top="0.75" bottom="0.75" header="0" footer="0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77"/>
  <sheetViews>
    <sheetView zoomScale="85" zoomScaleNormal="85" workbookViewId="0">
      <pane ySplit="1" topLeftCell="A27" activePane="bottomLeft" state="frozen"/>
      <selection pane="bottomLeft" activeCell="F33" sqref="F33"/>
    </sheetView>
  </sheetViews>
  <sheetFormatPr baseColWidth="10" defaultColWidth="12.625" defaultRowHeight="15" customHeight="1" x14ac:dyDescent="0.2"/>
  <cols>
    <col min="1" max="1" width="10" customWidth="1"/>
    <col min="2" max="2" width="39.875" bestFit="1" customWidth="1"/>
    <col min="3" max="3" width="13.375" bestFit="1" customWidth="1"/>
    <col min="4" max="4" width="16.75" customWidth="1"/>
    <col min="5" max="5" width="12.75" customWidth="1"/>
    <col min="6" max="6" width="75.875" customWidth="1"/>
    <col min="7" max="7" width="13.125" customWidth="1"/>
    <col min="8" max="8" width="13.625" customWidth="1"/>
    <col min="9" max="9" width="11.5" bestFit="1" customWidth="1"/>
    <col min="10" max="10" width="14.625" customWidth="1"/>
    <col min="11" max="26" width="10" customWidth="1"/>
  </cols>
  <sheetData>
    <row r="1" spans="1:26" ht="72.75" customHeight="1" x14ac:dyDescent="0.25">
      <c r="A1" s="201"/>
      <c r="B1" s="201"/>
      <c r="C1" s="201"/>
      <c r="D1" s="201"/>
      <c r="E1" s="201"/>
      <c r="F1" s="202" t="s">
        <v>17</v>
      </c>
      <c r="G1" s="203"/>
      <c r="H1" s="203"/>
      <c r="I1" s="201"/>
      <c r="J1" s="201"/>
      <c r="K1" s="201"/>
      <c r="L1" s="201"/>
      <c r="M1" s="315"/>
      <c r="N1" s="315"/>
      <c r="O1" s="315"/>
      <c r="P1" s="315"/>
      <c r="Q1" s="315"/>
      <c r="R1" s="315"/>
      <c r="S1" s="315"/>
      <c r="T1" s="315"/>
      <c r="U1" s="315"/>
      <c r="V1" s="315"/>
      <c r="W1" s="315"/>
      <c r="X1" s="315"/>
      <c r="Y1" s="315"/>
      <c r="Z1" s="315"/>
    </row>
    <row r="2" spans="1:26" ht="15.75" thickBot="1" x14ac:dyDescent="0.3">
      <c r="A2" s="1"/>
      <c r="B2" s="1"/>
      <c r="C2" s="1"/>
      <c r="D2" s="1"/>
      <c r="E2" s="1"/>
      <c r="F2" s="1"/>
      <c r="G2" s="316"/>
      <c r="H2" s="316"/>
      <c r="I2" s="316"/>
      <c r="J2" s="316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" thickBot="1" x14ac:dyDescent="0.45">
      <c r="A3" s="1"/>
      <c r="B3" s="521" t="s">
        <v>37</v>
      </c>
      <c r="C3" s="434"/>
      <c r="D3" s="435"/>
      <c r="E3" s="1"/>
      <c r="F3" s="1"/>
      <c r="G3" s="546" t="s">
        <v>126</v>
      </c>
      <c r="H3" s="546"/>
      <c r="I3" s="546"/>
      <c r="J3" s="546"/>
      <c r="K3" s="339"/>
      <c r="L3" s="339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6" ht="15.75" thickBot="1" x14ac:dyDescent="0.3">
      <c r="A4" s="1"/>
      <c r="B4" s="226">
        <v>2022</v>
      </c>
      <c r="C4" s="204">
        <v>2023</v>
      </c>
      <c r="D4" s="227">
        <v>2024</v>
      </c>
      <c r="E4" s="1"/>
      <c r="F4" s="1"/>
      <c r="G4" s="228" t="s">
        <v>127</v>
      </c>
      <c r="H4" s="228">
        <v>2022</v>
      </c>
      <c r="I4" s="228">
        <v>2023</v>
      </c>
      <c r="J4" s="228">
        <v>2024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6" ht="15.75" thickBot="1" x14ac:dyDescent="0.3">
      <c r="A5" s="1"/>
      <c r="B5" s="81">
        <f>Hipótesis!$C$25</f>
        <v>0.1</v>
      </c>
      <c r="C5" s="82">
        <f>Hipótesis!$C$26</f>
        <v>0.2</v>
      </c>
      <c r="D5" s="83">
        <f>Hipótesis!$C$27</f>
        <v>0.3</v>
      </c>
      <c r="E5" s="1"/>
      <c r="F5" s="1"/>
      <c r="G5" s="340">
        <f>$E$21</f>
        <v>8315395</v>
      </c>
      <c r="H5" s="340">
        <f>E33</f>
        <v>396200</v>
      </c>
      <c r="I5" s="340">
        <f>E47</f>
        <v>630039</v>
      </c>
      <c r="J5" s="340">
        <f>E60</f>
        <v>680039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6" ht="15.75" thickBot="1" x14ac:dyDescent="0.3">
      <c r="A6" s="1"/>
      <c r="B6" s="27">
        <f>Hipótesis!$D$25</f>
        <v>29160000</v>
      </c>
      <c r="C6" s="28">
        <f>Hipótesis!$D$26</f>
        <v>58320000</v>
      </c>
      <c r="D6" s="29">
        <f>Hipótesis!$D$27</f>
        <v>87480000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x14ac:dyDescent="0.4">
      <c r="A9" s="1"/>
      <c r="B9" s="521" t="s">
        <v>128</v>
      </c>
      <c r="C9" s="434"/>
      <c r="D9" s="434"/>
      <c r="E9" s="434"/>
      <c r="F9" s="43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x14ac:dyDescent="0.25">
      <c r="A10" s="1"/>
      <c r="B10" s="320" t="s">
        <v>57</v>
      </c>
      <c r="C10" s="321" t="s">
        <v>54</v>
      </c>
      <c r="D10" s="321" t="s">
        <v>129</v>
      </c>
      <c r="E10" s="321" t="s">
        <v>103</v>
      </c>
      <c r="F10" s="322" t="s">
        <v>130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/>
      <c r="B11" s="120" t="str">
        <f>'Costos fijos'!B11</f>
        <v>Servicio VPN</v>
      </c>
      <c r="C11" s="123">
        <v>1</v>
      </c>
      <c r="D11" s="129">
        <f>'Costos fijos'!C49</f>
        <v>4200</v>
      </c>
      <c r="E11" s="129">
        <f t="shared" ref="E11:E13" si="0">C11*D11</f>
        <v>4200</v>
      </c>
      <c r="F11" s="323" t="s">
        <v>221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</row>
    <row r="12" spans="1:26" x14ac:dyDescent="0.25">
      <c r="A12" s="1"/>
      <c r="B12" s="120" t="str">
        <f>'Costos fijos'!B12</f>
        <v>Campañas de venta</v>
      </c>
      <c r="C12" s="123">
        <v>1</v>
      </c>
      <c r="D12" s="129">
        <f>'Costos fijos'!C50</f>
        <v>200000</v>
      </c>
      <c r="E12" s="129">
        <f t="shared" si="0"/>
        <v>200000</v>
      </c>
      <c r="F12" s="323" t="s">
        <v>230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</row>
    <row r="13" spans="1:26" x14ac:dyDescent="0.25">
      <c r="A13" s="1"/>
      <c r="B13" s="120" t="str">
        <f>'Costos fijos'!B13</f>
        <v>Publicidad online</v>
      </c>
      <c r="C13" s="123">
        <v>1</v>
      </c>
      <c r="D13" s="129">
        <f>'Costos fijos'!C51</f>
        <v>75000</v>
      </c>
      <c r="E13" s="129">
        <f t="shared" si="0"/>
        <v>75000</v>
      </c>
      <c r="F13" s="323" t="s">
        <v>231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</row>
    <row r="14" spans="1:26" x14ac:dyDescent="0.25">
      <c r="A14" s="1"/>
      <c r="B14" s="120" t="str">
        <f>'Costos fijos'!B14</f>
        <v>Servicio Hosting</v>
      </c>
      <c r="C14" s="123">
        <v>1</v>
      </c>
      <c r="D14" s="129">
        <f>'Costos fijos'!C55</f>
        <v>30000</v>
      </c>
      <c r="E14" s="129">
        <f>C14*D14</f>
        <v>30000</v>
      </c>
      <c r="F14" s="324" t="s">
        <v>228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6" x14ac:dyDescent="0.25">
      <c r="A15" s="1"/>
      <c r="B15" s="120" t="str">
        <f>'Costos fijos'!B15</f>
        <v>Servicio Monitoreo</v>
      </c>
      <c r="C15" s="123">
        <v>1</v>
      </c>
      <c r="D15" s="129">
        <f>'Costos fijos'!C56</f>
        <v>14000</v>
      </c>
      <c r="E15" s="129">
        <f t="shared" ref="E15:E18" si="1">C15*D15</f>
        <v>14000</v>
      </c>
      <c r="F15" s="324" t="s">
        <v>229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6" x14ac:dyDescent="0.25">
      <c r="A16" s="1"/>
      <c r="B16" s="120" t="str">
        <f>'Costos fijos'!B16</f>
        <v>Servicio Repositorio</v>
      </c>
      <c r="C16" s="123">
        <v>1</v>
      </c>
      <c r="D16" s="129">
        <f>'Costos fijos'!C57</f>
        <v>11000</v>
      </c>
      <c r="E16" s="129">
        <f t="shared" si="1"/>
        <v>11000</v>
      </c>
      <c r="F16" s="325" t="s">
        <v>243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6" x14ac:dyDescent="0.25">
      <c r="A17" s="116"/>
      <c r="B17" s="120" t="str">
        <f>'Costos fijos'!B17</f>
        <v>Servicio CD/CI</v>
      </c>
      <c r="C17" s="123">
        <v>1</v>
      </c>
      <c r="D17" s="129">
        <f>'Costos fijos'!C58</f>
        <v>12000</v>
      </c>
      <c r="E17" s="129">
        <f t="shared" si="1"/>
        <v>12000</v>
      </c>
      <c r="F17" s="527" t="s">
        <v>229</v>
      </c>
      <c r="G17" s="116"/>
      <c r="H17" s="116"/>
      <c r="I17" s="116"/>
      <c r="J17" s="116"/>
      <c r="K17" s="116"/>
      <c r="L17" s="116"/>
      <c r="M17" s="116"/>
      <c r="N17" s="116"/>
      <c r="O17" s="116"/>
      <c r="P17" s="116"/>
      <c r="Q17" s="116"/>
      <c r="R17" s="116"/>
      <c r="S17" s="116"/>
      <c r="T17" s="116"/>
      <c r="U17" s="116"/>
      <c r="V17" s="116"/>
    </row>
    <row r="18" spans="1:26" x14ac:dyDescent="0.25">
      <c r="A18" s="116"/>
      <c r="B18" s="120" t="str">
        <f>'Costos fijos'!B18</f>
        <v>Servicio Cloud serverless</v>
      </c>
      <c r="C18" s="123">
        <v>1</v>
      </c>
      <c r="D18" s="129">
        <f>'Costos fijos'!C59</f>
        <v>50000</v>
      </c>
      <c r="E18" s="129">
        <f t="shared" si="1"/>
        <v>50000</v>
      </c>
      <c r="F18" s="527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116"/>
      <c r="R18" s="116"/>
      <c r="S18" s="116"/>
      <c r="T18" s="116"/>
      <c r="U18" s="116"/>
      <c r="V18" s="116"/>
    </row>
    <row r="19" spans="1:26" x14ac:dyDescent="0.25">
      <c r="A19" s="116"/>
      <c r="B19" s="128" t="s">
        <v>169</v>
      </c>
      <c r="C19" s="124">
        <v>1</v>
      </c>
      <c r="D19" s="129">
        <v>7000000</v>
      </c>
      <c r="E19" s="129">
        <f>C19*D19</f>
        <v>7000000</v>
      </c>
      <c r="F19" s="130"/>
      <c r="G19" s="116"/>
      <c r="H19" s="116"/>
      <c r="I19" s="116"/>
      <c r="J19" s="116"/>
      <c r="K19" s="116"/>
      <c r="L19" s="116"/>
      <c r="M19" s="116"/>
      <c r="N19" s="116"/>
      <c r="O19" s="116"/>
      <c r="P19" s="116"/>
      <c r="Q19" s="116"/>
      <c r="R19" s="116"/>
      <c r="S19" s="116"/>
      <c r="T19" s="116"/>
      <c r="U19" s="116"/>
      <c r="V19" s="116"/>
      <c r="W19" s="116"/>
      <c r="X19" s="116"/>
      <c r="Y19" s="116"/>
      <c r="Z19" s="116"/>
    </row>
    <row r="20" spans="1:26" ht="15" customHeight="1" x14ac:dyDescent="0.25">
      <c r="A20" s="1"/>
      <c r="B20" s="133" t="s">
        <v>171</v>
      </c>
      <c r="C20" s="134">
        <f>'Proy. ventas'!C43</f>
        <v>5</v>
      </c>
      <c r="D20" s="136">
        <v>183839</v>
      </c>
      <c r="E20" s="136">
        <f>C20*D20</f>
        <v>919195</v>
      </c>
      <c r="F20" s="131" t="s">
        <v>172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thickBot="1" x14ac:dyDescent="0.3">
      <c r="A21" s="1"/>
      <c r="B21" s="549" t="s">
        <v>31</v>
      </c>
      <c r="C21" s="552"/>
      <c r="D21" s="553"/>
      <c r="E21" s="88">
        <f>SUM(E11:E20)</f>
        <v>8315395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thickBot="1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45.75" customHeight="1" thickBot="1" x14ac:dyDescent="0.45">
      <c r="A23" s="1"/>
      <c r="B23" s="539" t="s">
        <v>244</v>
      </c>
      <c r="C23" s="540"/>
      <c r="D23" s="540"/>
      <c r="E23" s="540"/>
      <c r="F23" s="54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6.5" customHeight="1" x14ac:dyDescent="0.25">
      <c r="A24" s="1"/>
      <c r="B24" s="320" t="s">
        <v>57</v>
      </c>
      <c r="C24" s="321" t="s">
        <v>54</v>
      </c>
      <c r="D24" s="321" t="s">
        <v>129</v>
      </c>
      <c r="E24" s="321" t="s">
        <v>103</v>
      </c>
      <c r="F24" s="322" t="s">
        <v>130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6.5" customHeight="1" x14ac:dyDescent="0.25">
      <c r="A25" s="1"/>
      <c r="B25" s="120" t="str">
        <f t="shared" ref="B25:B32" si="2">B38</f>
        <v>Servicio VPN</v>
      </c>
      <c r="C25" s="123">
        <v>1</v>
      </c>
      <c r="D25" s="129">
        <f t="shared" ref="D25:D32" si="3">D11</f>
        <v>4200</v>
      </c>
      <c r="E25" s="129">
        <f t="shared" ref="E25:E27" si="4">C25*D25</f>
        <v>4200</v>
      </c>
      <c r="F25" s="323" t="s">
        <v>221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6.5" customHeight="1" x14ac:dyDescent="0.25">
      <c r="A26" s="1"/>
      <c r="B26" s="120" t="str">
        <f t="shared" si="2"/>
        <v>Campañas de venta</v>
      </c>
      <c r="C26" s="123">
        <v>1</v>
      </c>
      <c r="D26" s="129">
        <f t="shared" si="3"/>
        <v>200000</v>
      </c>
      <c r="E26" s="129">
        <f>C26*D26</f>
        <v>200000</v>
      </c>
      <c r="F26" s="323" t="s">
        <v>230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6.5" customHeight="1" x14ac:dyDescent="0.25">
      <c r="A27" s="1"/>
      <c r="B27" s="120" t="str">
        <f t="shared" si="2"/>
        <v>Publicidad online</v>
      </c>
      <c r="C27" s="123">
        <v>1</v>
      </c>
      <c r="D27" s="129">
        <f t="shared" si="3"/>
        <v>75000</v>
      </c>
      <c r="E27" s="129">
        <f t="shared" si="4"/>
        <v>75000</v>
      </c>
      <c r="F27" s="323" t="s">
        <v>231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/>
      <c r="B28" s="120" t="str">
        <f t="shared" si="2"/>
        <v>Servicio Hosting</v>
      </c>
      <c r="C28" s="123">
        <v>1</v>
      </c>
      <c r="D28" s="129">
        <f t="shared" si="3"/>
        <v>30000</v>
      </c>
      <c r="E28" s="129">
        <f>C28*D28</f>
        <v>30000</v>
      </c>
      <c r="F28" s="343" t="s">
        <v>228</v>
      </c>
      <c r="G28" s="554"/>
      <c r="H28" s="555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/>
      <c r="B29" s="120" t="str">
        <f t="shared" si="2"/>
        <v>Servicio Monitoreo</v>
      </c>
      <c r="C29" s="123">
        <v>1</v>
      </c>
      <c r="D29" s="129">
        <f t="shared" si="3"/>
        <v>14000</v>
      </c>
      <c r="E29" s="129">
        <f t="shared" ref="E29:E32" si="5">C29*D29</f>
        <v>14000</v>
      </c>
      <c r="F29" s="324" t="s">
        <v>229</v>
      </c>
      <c r="G29" s="556"/>
      <c r="H29" s="557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/>
      <c r="B30" s="120" t="str">
        <f t="shared" si="2"/>
        <v>Servicio Repositorio</v>
      </c>
      <c r="C30" s="123">
        <v>1</v>
      </c>
      <c r="D30" s="129">
        <f t="shared" si="3"/>
        <v>11000</v>
      </c>
      <c r="E30" s="129">
        <f t="shared" si="5"/>
        <v>11000</v>
      </c>
      <c r="F30" s="325" t="s">
        <v>243</v>
      </c>
      <c r="G30" s="554"/>
      <c r="H30" s="555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/>
      <c r="B31" s="120" t="str">
        <f t="shared" si="2"/>
        <v>Servicio CD/CI</v>
      </c>
      <c r="C31" s="123">
        <v>1</v>
      </c>
      <c r="D31" s="129">
        <f t="shared" si="3"/>
        <v>12000</v>
      </c>
      <c r="E31" s="129">
        <f t="shared" si="5"/>
        <v>12000</v>
      </c>
      <c r="F31" s="547" t="s">
        <v>229</v>
      </c>
      <c r="G31" s="556"/>
      <c r="H31" s="557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16"/>
      <c r="B32" s="120" t="str">
        <f t="shared" si="2"/>
        <v>Servicio Cloud serverless</v>
      </c>
      <c r="C32" s="338">
        <f>'Proy. ventas'!C42</f>
        <v>1</v>
      </c>
      <c r="D32" s="129">
        <f t="shared" si="3"/>
        <v>50000</v>
      </c>
      <c r="E32" s="129">
        <f t="shared" si="5"/>
        <v>50000</v>
      </c>
      <c r="F32" s="548"/>
      <c r="G32" s="135"/>
      <c r="H32" s="135"/>
      <c r="I32" s="116"/>
      <c r="J32" s="116"/>
      <c r="K32" s="116"/>
      <c r="L32" s="116"/>
      <c r="M32" s="116"/>
      <c r="N32" s="116"/>
      <c r="O32" s="116"/>
      <c r="P32" s="116"/>
      <c r="Q32" s="116"/>
      <c r="R32" s="116"/>
      <c r="S32" s="116"/>
      <c r="T32" s="116"/>
      <c r="U32" s="116"/>
      <c r="V32" s="116"/>
      <c r="W32" s="116"/>
      <c r="X32" s="116"/>
      <c r="Y32" s="116"/>
      <c r="Z32" s="116"/>
    </row>
    <row r="33" spans="1:26" ht="15.75" thickBot="1" x14ac:dyDescent="0.3">
      <c r="A33" s="116"/>
      <c r="B33" s="549" t="s">
        <v>31</v>
      </c>
      <c r="C33" s="550"/>
      <c r="D33" s="551"/>
      <c r="E33" s="88">
        <f>SUM(E25:E32)</f>
        <v>396200</v>
      </c>
      <c r="F33" s="1"/>
      <c r="G33" s="135"/>
      <c r="H33" s="135"/>
      <c r="I33" s="116"/>
      <c r="J33" s="116"/>
      <c r="K33" s="116"/>
      <c r="L33" s="116"/>
      <c r="M33" s="116"/>
      <c r="N33" s="116"/>
      <c r="O33" s="116"/>
      <c r="P33" s="116"/>
      <c r="Q33" s="116"/>
      <c r="R33" s="116"/>
      <c r="S33" s="116"/>
      <c r="T33" s="116"/>
      <c r="U33" s="116"/>
      <c r="V33" s="116"/>
      <c r="W33" s="116"/>
      <c r="X33" s="116"/>
      <c r="Y33" s="116"/>
      <c r="Z33" s="116"/>
    </row>
    <row r="34" spans="1:26" x14ac:dyDescent="0.25">
      <c r="A34" s="116"/>
      <c r="G34" s="116"/>
      <c r="H34" s="116"/>
      <c r="I34" s="116"/>
      <c r="J34" s="116"/>
      <c r="K34" s="116"/>
      <c r="L34" s="116"/>
      <c r="M34" s="116"/>
      <c r="N34" s="116"/>
      <c r="O34" s="116"/>
      <c r="P34" s="116"/>
      <c r="Q34" s="116"/>
      <c r="R34" s="116"/>
      <c r="S34" s="116"/>
      <c r="T34" s="116"/>
      <c r="U34" s="116"/>
      <c r="V34" s="116"/>
      <c r="W34" s="116"/>
      <c r="X34" s="116"/>
      <c r="Y34" s="116"/>
      <c r="Z34" s="116"/>
    </row>
    <row r="35" spans="1:26" ht="5.25" customHeight="1" thickBot="1" x14ac:dyDescent="0.3">
      <c r="A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9.25" customHeight="1" thickBot="1" x14ac:dyDescent="0.45">
      <c r="A36" s="1"/>
      <c r="B36" s="539" t="s">
        <v>245</v>
      </c>
      <c r="C36" s="540"/>
      <c r="D36" s="540"/>
      <c r="E36" s="540"/>
      <c r="F36" s="54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45.75" customHeight="1" x14ac:dyDescent="0.25">
      <c r="A37" s="1"/>
      <c r="B37" s="320" t="s">
        <v>57</v>
      </c>
      <c r="C37" s="321" t="s">
        <v>54</v>
      </c>
      <c r="D37" s="321" t="s">
        <v>129</v>
      </c>
      <c r="E37" s="321" t="s">
        <v>103</v>
      </c>
      <c r="F37" s="322" t="s">
        <v>130</v>
      </c>
      <c r="G37" s="1"/>
      <c r="H37" s="1"/>
      <c r="I37" s="1"/>
      <c r="J37" s="1"/>
      <c r="K37" s="1"/>
      <c r="L37" s="1"/>
      <c r="M37" s="1"/>
      <c r="N37" s="1"/>
      <c r="O37" s="1"/>
      <c r="P37" s="1"/>
    </row>
    <row r="38" spans="1:26" ht="15.75" customHeight="1" x14ac:dyDescent="0.25">
      <c r="A38" s="1"/>
      <c r="B38" s="120" t="str">
        <f t="shared" ref="B38:B45" si="6">B11</f>
        <v>Servicio VPN</v>
      </c>
      <c r="C38" s="123">
        <v>1</v>
      </c>
      <c r="D38" s="129">
        <f t="shared" ref="D38:D45" si="7">D11</f>
        <v>4200</v>
      </c>
      <c r="E38" s="129">
        <f t="shared" ref="E38:E40" si="8">C38*D38</f>
        <v>4200</v>
      </c>
      <c r="F38" s="323" t="s">
        <v>221</v>
      </c>
      <c r="G38" s="1"/>
      <c r="H38" s="1"/>
      <c r="I38" s="1"/>
      <c r="J38" s="1"/>
      <c r="K38" s="1"/>
      <c r="L38" s="1"/>
      <c r="M38" s="1"/>
      <c r="N38" s="1"/>
      <c r="O38" s="1"/>
      <c r="P38" s="1"/>
    </row>
    <row r="39" spans="1:26" ht="15.75" customHeight="1" x14ac:dyDescent="0.25">
      <c r="A39" s="1"/>
      <c r="B39" s="120" t="str">
        <f t="shared" si="6"/>
        <v>Campañas de venta</v>
      </c>
      <c r="C39" s="123">
        <v>1</v>
      </c>
      <c r="D39" s="129">
        <f t="shared" si="7"/>
        <v>200000</v>
      </c>
      <c r="E39" s="129">
        <f t="shared" si="8"/>
        <v>200000</v>
      </c>
      <c r="F39" s="323" t="s">
        <v>230</v>
      </c>
      <c r="G39" s="1"/>
      <c r="H39" s="1"/>
      <c r="I39" s="1"/>
      <c r="J39" s="1"/>
      <c r="K39" s="1"/>
      <c r="L39" s="1"/>
      <c r="M39" s="1"/>
      <c r="N39" s="1"/>
      <c r="O39" s="1"/>
      <c r="P39" s="1"/>
    </row>
    <row r="40" spans="1:26" ht="15.75" customHeight="1" x14ac:dyDescent="0.25">
      <c r="A40" s="1"/>
      <c r="B40" s="120" t="str">
        <f t="shared" si="6"/>
        <v>Publicidad online</v>
      </c>
      <c r="C40" s="123">
        <v>1</v>
      </c>
      <c r="D40" s="129">
        <f t="shared" si="7"/>
        <v>75000</v>
      </c>
      <c r="E40" s="129">
        <f t="shared" si="8"/>
        <v>75000</v>
      </c>
      <c r="F40" s="323" t="s">
        <v>231</v>
      </c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26" ht="16.5" customHeight="1" x14ac:dyDescent="0.25">
      <c r="A41" s="1"/>
      <c r="B41" s="120" t="str">
        <f t="shared" si="6"/>
        <v>Servicio Hosting</v>
      </c>
      <c r="C41" s="123">
        <v>1</v>
      </c>
      <c r="D41" s="129">
        <f t="shared" si="7"/>
        <v>30000</v>
      </c>
      <c r="E41" s="129">
        <f>C41*D41</f>
        <v>30000</v>
      </c>
      <c r="F41" s="324" t="s">
        <v>228</v>
      </c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26" ht="15.75" customHeight="1" x14ac:dyDescent="0.25">
      <c r="A42" s="1"/>
      <c r="B42" s="120" t="str">
        <f t="shared" si="6"/>
        <v>Servicio Monitoreo</v>
      </c>
      <c r="C42" s="123">
        <v>1</v>
      </c>
      <c r="D42" s="129">
        <f t="shared" si="7"/>
        <v>14000</v>
      </c>
      <c r="E42" s="129">
        <f t="shared" ref="E42:E45" si="9">C42*D42</f>
        <v>14000</v>
      </c>
      <c r="F42" s="324" t="s">
        <v>229</v>
      </c>
      <c r="G42" s="1"/>
      <c r="H42" s="1"/>
      <c r="I42" s="1"/>
      <c r="J42" s="1"/>
      <c r="K42" s="1"/>
      <c r="L42" s="1"/>
      <c r="M42" s="1"/>
      <c r="N42" s="1"/>
      <c r="O42" s="1"/>
      <c r="P42" s="1"/>
    </row>
    <row r="43" spans="1:26" ht="15.75" customHeight="1" x14ac:dyDescent="0.25">
      <c r="A43" s="1"/>
      <c r="B43" s="120" t="str">
        <f t="shared" si="6"/>
        <v>Servicio Repositorio</v>
      </c>
      <c r="C43" s="123">
        <v>1</v>
      </c>
      <c r="D43" s="129">
        <f t="shared" si="7"/>
        <v>11000</v>
      </c>
      <c r="E43" s="129">
        <f t="shared" si="9"/>
        <v>11000</v>
      </c>
      <c r="F43" s="325" t="s">
        <v>243</v>
      </c>
      <c r="G43" s="1"/>
      <c r="H43" s="1"/>
      <c r="I43" s="1"/>
      <c r="J43" s="1"/>
      <c r="K43" s="1"/>
      <c r="L43" s="1"/>
      <c r="M43" s="1"/>
      <c r="N43" s="1"/>
      <c r="O43" s="1"/>
      <c r="P43" s="1"/>
    </row>
    <row r="44" spans="1:26" ht="15.75" customHeight="1" x14ac:dyDescent="0.25">
      <c r="A44" s="1"/>
      <c r="B44" s="120" t="str">
        <f t="shared" si="6"/>
        <v>Servicio CD/CI</v>
      </c>
      <c r="C44" s="123">
        <v>1</v>
      </c>
      <c r="D44" s="129">
        <f t="shared" si="7"/>
        <v>12000</v>
      </c>
      <c r="E44" s="129">
        <f t="shared" si="9"/>
        <v>12000</v>
      </c>
      <c r="F44" s="547" t="s">
        <v>229</v>
      </c>
      <c r="G44" s="1"/>
      <c r="H44" s="1"/>
      <c r="I44" s="1"/>
      <c r="J44" s="1"/>
      <c r="K44" s="1"/>
      <c r="L44" s="1"/>
      <c r="M44" s="1"/>
      <c r="N44" s="1"/>
      <c r="O44" s="1"/>
      <c r="P44" s="1"/>
    </row>
    <row r="45" spans="1:26" ht="15.75" customHeight="1" x14ac:dyDescent="0.25">
      <c r="A45" s="1"/>
      <c r="B45" s="120" t="str">
        <f t="shared" si="6"/>
        <v>Servicio Cloud serverless</v>
      </c>
      <c r="C45" s="125">
        <f>'Proy. ventas'!C74</f>
        <v>2</v>
      </c>
      <c r="D45" s="129">
        <f t="shared" si="7"/>
        <v>50000</v>
      </c>
      <c r="E45" s="129">
        <f t="shared" si="9"/>
        <v>100000</v>
      </c>
      <c r="F45" s="548"/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26" ht="15.75" customHeight="1" x14ac:dyDescent="0.25">
      <c r="A46" s="116"/>
      <c r="B46" s="133" t="str">
        <f>B20</f>
        <v>Notebooks</v>
      </c>
      <c r="C46" s="330">
        <f>'Proy. ventas'!C75-C20</f>
        <v>1</v>
      </c>
      <c r="D46" s="136">
        <v>183839</v>
      </c>
      <c r="E46" s="136">
        <f>C46*D46</f>
        <v>183839</v>
      </c>
      <c r="F46" s="131" t="s">
        <v>172</v>
      </c>
      <c r="G46" s="116"/>
      <c r="H46" s="116"/>
      <c r="I46" s="116"/>
      <c r="J46" s="116"/>
      <c r="K46" s="116"/>
      <c r="L46" s="116"/>
      <c r="M46" s="116"/>
      <c r="N46" s="116"/>
      <c r="O46" s="116"/>
      <c r="P46" s="116"/>
    </row>
    <row r="47" spans="1:26" ht="15.75" customHeight="1" thickBot="1" x14ac:dyDescent="0.3">
      <c r="A47" s="1"/>
      <c r="B47" s="549" t="s">
        <v>31</v>
      </c>
      <c r="C47" s="550"/>
      <c r="D47" s="551"/>
      <c r="E47" s="88">
        <f>SUM(E38:E46)</f>
        <v>630039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26" ht="15.75" customHeight="1" thickBo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</row>
    <row r="49" spans="1:26" ht="24.75" customHeight="1" thickBot="1" x14ac:dyDescent="0.45">
      <c r="A49" s="1"/>
      <c r="B49" s="300" t="s">
        <v>246</v>
      </c>
      <c r="C49" s="301"/>
      <c r="D49" s="301"/>
      <c r="E49" s="301"/>
      <c r="F49" s="302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x14ac:dyDescent="0.25">
      <c r="A50" s="1"/>
      <c r="B50" s="320" t="s">
        <v>57</v>
      </c>
      <c r="C50" s="321" t="s">
        <v>54</v>
      </c>
      <c r="D50" s="321" t="s">
        <v>129</v>
      </c>
      <c r="E50" s="321" t="s">
        <v>103</v>
      </c>
      <c r="F50" s="322" t="s">
        <v>130</v>
      </c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</row>
    <row r="51" spans="1:26" ht="15.75" customHeight="1" x14ac:dyDescent="0.25">
      <c r="A51" s="1"/>
      <c r="B51" s="120" t="str">
        <f t="shared" ref="B51:B59" si="10">B38</f>
        <v>Servicio VPN</v>
      </c>
      <c r="C51" s="123">
        <f t="shared" ref="C51:D57" si="11">C38</f>
        <v>1</v>
      </c>
      <c r="D51" s="129">
        <f t="shared" si="11"/>
        <v>4200</v>
      </c>
      <c r="E51" s="129">
        <f>D51*C51</f>
        <v>4200</v>
      </c>
      <c r="F51" s="323" t="s">
        <v>221</v>
      </c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</row>
    <row r="52" spans="1:26" ht="15.75" customHeight="1" x14ac:dyDescent="0.25">
      <c r="A52" s="1"/>
      <c r="B52" s="120" t="str">
        <f t="shared" si="10"/>
        <v>Campañas de venta</v>
      </c>
      <c r="C52" s="123">
        <f t="shared" si="11"/>
        <v>1</v>
      </c>
      <c r="D52" s="129">
        <f t="shared" si="11"/>
        <v>200000</v>
      </c>
      <c r="E52" s="129">
        <f t="shared" ref="E52:E59" si="12">D52*C52</f>
        <v>200000</v>
      </c>
      <c r="F52" s="323" t="s">
        <v>230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</row>
    <row r="53" spans="1:26" ht="15.75" customHeight="1" x14ac:dyDescent="0.25">
      <c r="A53" s="1"/>
      <c r="B53" s="120" t="str">
        <f t="shared" si="10"/>
        <v>Publicidad online</v>
      </c>
      <c r="C53" s="123">
        <f t="shared" si="11"/>
        <v>1</v>
      </c>
      <c r="D53" s="129">
        <f t="shared" si="11"/>
        <v>75000</v>
      </c>
      <c r="E53" s="129">
        <f t="shared" si="12"/>
        <v>75000</v>
      </c>
      <c r="F53" s="323" t="s">
        <v>231</v>
      </c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</row>
    <row r="54" spans="1:26" ht="15.75" customHeight="1" x14ac:dyDescent="0.25">
      <c r="A54" s="1"/>
      <c r="B54" s="120" t="str">
        <f t="shared" si="10"/>
        <v>Servicio Hosting</v>
      </c>
      <c r="C54" s="123">
        <f t="shared" si="11"/>
        <v>1</v>
      </c>
      <c r="D54" s="129">
        <f t="shared" si="11"/>
        <v>30000</v>
      </c>
      <c r="E54" s="129">
        <f t="shared" si="12"/>
        <v>30000</v>
      </c>
      <c r="F54" s="324" t="s">
        <v>228</v>
      </c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</row>
    <row r="55" spans="1:26" ht="15.75" customHeight="1" x14ac:dyDescent="0.25">
      <c r="A55" s="1"/>
      <c r="B55" s="120" t="str">
        <f t="shared" si="10"/>
        <v>Servicio Monitoreo</v>
      </c>
      <c r="C55" s="123">
        <f t="shared" si="11"/>
        <v>1</v>
      </c>
      <c r="D55" s="129">
        <f t="shared" si="11"/>
        <v>14000</v>
      </c>
      <c r="E55" s="129">
        <f t="shared" si="12"/>
        <v>14000</v>
      </c>
      <c r="F55" s="324" t="s">
        <v>229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</row>
    <row r="56" spans="1:26" ht="15.75" customHeight="1" x14ac:dyDescent="0.25">
      <c r="A56" s="1"/>
      <c r="B56" s="120" t="str">
        <f t="shared" si="10"/>
        <v>Servicio Repositorio</v>
      </c>
      <c r="C56" s="123">
        <f t="shared" si="11"/>
        <v>1</v>
      </c>
      <c r="D56" s="129">
        <f t="shared" si="11"/>
        <v>11000</v>
      </c>
      <c r="E56" s="129">
        <f t="shared" si="12"/>
        <v>11000</v>
      </c>
      <c r="F56" s="325" t="s">
        <v>243</v>
      </c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</row>
    <row r="57" spans="1:26" ht="15.75" customHeight="1" x14ac:dyDescent="0.25">
      <c r="A57" s="1"/>
      <c r="B57" s="120" t="str">
        <f t="shared" si="10"/>
        <v>Servicio CD/CI</v>
      </c>
      <c r="C57" s="123">
        <f t="shared" si="11"/>
        <v>1</v>
      </c>
      <c r="D57" s="129">
        <f t="shared" si="11"/>
        <v>12000</v>
      </c>
      <c r="E57" s="129">
        <f t="shared" si="12"/>
        <v>12000</v>
      </c>
      <c r="F57" s="328" t="s">
        <v>229</v>
      </c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</row>
    <row r="58" spans="1:26" ht="15.75" customHeight="1" x14ac:dyDescent="0.25">
      <c r="A58" s="1"/>
      <c r="B58" s="120" t="str">
        <f t="shared" si="10"/>
        <v>Servicio Cloud serverless</v>
      </c>
      <c r="C58" s="125">
        <f>'Proy. ventas'!C106</f>
        <v>3</v>
      </c>
      <c r="D58" s="129">
        <f>D45</f>
        <v>50000</v>
      </c>
      <c r="E58" s="129">
        <f t="shared" si="12"/>
        <v>150000</v>
      </c>
      <c r="F58" s="329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</row>
    <row r="59" spans="1:26" ht="15.75" customHeight="1" x14ac:dyDescent="0.25">
      <c r="A59" s="1"/>
      <c r="B59" s="133" t="str">
        <f t="shared" si="10"/>
        <v>Notebooks</v>
      </c>
      <c r="C59" s="330">
        <f>C46</f>
        <v>1</v>
      </c>
      <c r="D59" s="136">
        <f>D46</f>
        <v>183839</v>
      </c>
      <c r="E59" s="129">
        <f t="shared" si="12"/>
        <v>183839</v>
      </c>
      <c r="F59" s="131" t="s">
        <v>172</v>
      </c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</row>
    <row r="60" spans="1:26" ht="15.75" customHeight="1" thickBot="1" x14ac:dyDescent="0.3">
      <c r="A60" s="116"/>
      <c r="B60" s="205" t="s">
        <v>31</v>
      </c>
      <c r="C60" s="326"/>
      <c r="D60" s="327"/>
      <c r="E60" s="88">
        <f>SUM(E51:E59)</f>
        <v>680039</v>
      </c>
      <c r="F60" s="1"/>
      <c r="G60" s="116"/>
      <c r="H60" s="116"/>
      <c r="I60" s="116"/>
      <c r="J60" s="116"/>
      <c r="K60" s="116"/>
      <c r="L60" s="116"/>
      <c r="M60" s="116"/>
      <c r="N60" s="116"/>
      <c r="O60" s="116"/>
      <c r="P60" s="116"/>
      <c r="Q60" s="116"/>
      <c r="R60" s="116"/>
      <c r="S60" s="116"/>
      <c r="T60" s="116"/>
      <c r="U60" s="116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</row>
    <row r="65" spans="1:2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</sheetData>
  <mergeCells count="15">
    <mergeCell ref="G3:J3"/>
    <mergeCell ref="B23:F23"/>
    <mergeCell ref="F31:F32"/>
    <mergeCell ref="B47:D47"/>
    <mergeCell ref="B33:D33"/>
    <mergeCell ref="B3:D3"/>
    <mergeCell ref="B9:F9"/>
    <mergeCell ref="B21:D21"/>
    <mergeCell ref="F17:F18"/>
    <mergeCell ref="B36:F36"/>
    <mergeCell ref="G30:H30"/>
    <mergeCell ref="G31:H31"/>
    <mergeCell ref="G28:H28"/>
    <mergeCell ref="G29:H29"/>
    <mergeCell ref="F44:F45"/>
  </mergeCells>
  <hyperlinks>
    <hyperlink ref="F20" r:id="rId1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48F3C56E-2AAB-4657-94F9-D35DF095A0CE}"/>
    <hyperlink ref="F46" r:id="rId2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6D9E6502-C538-4A01-857B-2600C2E431FA}"/>
    <hyperlink ref="F59" r:id="rId3" location="searchVariation=MLA16999023&amp;position=1&amp;search_layout=stack&amp;type=product&amp;tracking_id=443762fc-f66d-4a75-9a40-23f995bf0666" display="https://www.mercadolibre.com.ar/notebook-dell-inspiron-3505-gris-156-amd-ryzen-5-3450u-16gb-de-ram-1tb-hdd-256gb-ssd-amd-radeon-vega-8-1366x768px-windows-10-home/p/MLA16999023 - searchVariation=MLA16999023&amp;position=1&amp;search_layout=stack&amp;type=product&amp;tracking_id=443762fc-f66d-4a75-9a40-23f995bf0666" xr:uid="{496E621E-77EF-4C05-88E3-93295C1C078B}"/>
  </hyperlinks>
  <pageMargins left="0.7" right="0.7" top="0.75" bottom="0.75" header="0" footer="0"/>
  <pageSetup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75"/>
  <sheetViews>
    <sheetView tabSelected="1" workbookViewId="0">
      <pane ySplit="1" topLeftCell="A2" activePane="bottomLeft" state="frozen"/>
      <selection pane="bottomLeft" activeCell="K9" sqref="K9:M14"/>
    </sheetView>
  </sheetViews>
  <sheetFormatPr baseColWidth="10" defaultColWidth="12.625" defaultRowHeight="15" customHeight="1" x14ac:dyDescent="0.2"/>
  <cols>
    <col min="1" max="1" width="10" customWidth="1"/>
    <col min="2" max="2" width="16.875" customWidth="1"/>
    <col min="3" max="3" width="38.25" customWidth="1"/>
    <col min="4" max="4" width="13.375" customWidth="1"/>
    <col min="5" max="5" width="19.375" customWidth="1"/>
    <col min="6" max="6" width="15.375" customWidth="1"/>
    <col min="7" max="7" width="12.625" customWidth="1"/>
    <col min="8" max="8" width="11.5" bestFit="1" customWidth="1"/>
    <col min="9" max="9" width="13.375" customWidth="1"/>
    <col min="10" max="10" width="12.375" customWidth="1"/>
    <col min="11" max="11" width="13.375" customWidth="1"/>
    <col min="12" max="13" width="14.25" customWidth="1"/>
    <col min="14" max="26" width="10" customWidth="1"/>
  </cols>
  <sheetData>
    <row r="1" spans="1:26" ht="69" customHeight="1" x14ac:dyDescent="0.25">
      <c r="A1" s="201"/>
      <c r="B1" s="201"/>
      <c r="C1" s="201"/>
      <c r="D1" s="201"/>
      <c r="E1" s="201"/>
      <c r="F1" s="201"/>
      <c r="G1" s="202" t="s">
        <v>18</v>
      </c>
      <c r="H1" s="203"/>
      <c r="I1" s="201"/>
      <c r="J1" s="201"/>
      <c r="K1" s="201"/>
      <c r="L1" s="201"/>
      <c r="M1" s="201"/>
      <c r="N1" s="201"/>
      <c r="O1" s="201"/>
      <c r="P1" s="315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521" t="s">
        <v>37</v>
      </c>
      <c r="C3" s="434"/>
      <c r="D3" s="435"/>
      <c r="E3" s="21"/>
      <c r="F3" s="1"/>
      <c r="G3" s="1"/>
      <c r="H3" s="1"/>
      <c r="I3" s="521" t="s">
        <v>18</v>
      </c>
      <c r="J3" s="434"/>
      <c r="K3" s="43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204">
        <v>2022</v>
      </c>
      <c r="C4" s="204">
        <v>2023</v>
      </c>
      <c r="D4" s="204">
        <v>2024</v>
      </c>
      <c r="E4" s="64"/>
      <c r="F4" s="1"/>
      <c r="G4" s="1"/>
      <c r="H4" s="1"/>
      <c r="I4" s="317">
        <v>2022</v>
      </c>
      <c r="J4" s="318">
        <v>2023</v>
      </c>
      <c r="K4" s="319">
        <v>2024</v>
      </c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25">
        <f>Hipótesis!$C$25</f>
        <v>0.1</v>
      </c>
      <c r="C5" s="25">
        <f>Hipótesis!$C$26</f>
        <v>0.2</v>
      </c>
      <c r="D5" s="25">
        <f>Hipótesis!$C$27</f>
        <v>0.3</v>
      </c>
      <c r="E5" s="75"/>
      <c r="F5" s="1"/>
      <c r="G5" s="1"/>
      <c r="H5" s="1"/>
      <c r="I5" s="84">
        <f>K14</f>
        <v>306398.33333333331</v>
      </c>
      <c r="J5" s="85">
        <f>L14</f>
        <v>367678</v>
      </c>
      <c r="K5" s="86">
        <f>M14</f>
        <v>428957.66666666669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65">
        <f>Hipótesis!$D$25</f>
        <v>29160000</v>
      </c>
      <c r="C6" s="65">
        <f>Hipótesis!D26</f>
        <v>58320000</v>
      </c>
      <c r="D6" s="65">
        <f>Hipótesis!D27</f>
        <v>87480000</v>
      </c>
      <c r="E6" s="73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7" thickBot="1" x14ac:dyDescent="0.45">
      <c r="A8" s="1"/>
      <c r="B8" s="559" t="s">
        <v>18</v>
      </c>
      <c r="C8" s="560"/>
      <c r="D8" s="560"/>
      <c r="E8" s="560"/>
      <c r="F8" s="560"/>
      <c r="G8" s="560"/>
      <c r="H8" s="560"/>
      <c r="I8" s="560"/>
      <c r="J8" s="560"/>
      <c r="K8" s="560"/>
      <c r="L8" s="560"/>
      <c r="M8" s="56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thickBot="1" x14ac:dyDescent="0.3">
      <c r="A9" s="1"/>
      <c r="B9" s="562" t="s">
        <v>132</v>
      </c>
      <c r="C9" s="562" t="s">
        <v>57</v>
      </c>
      <c r="D9" s="562" t="s">
        <v>54</v>
      </c>
      <c r="E9" s="562" t="s">
        <v>129</v>
      </c>
      <c r="F9" s="563" t="s">
        <v>133</v>
      </c>
      <c r="G9" s="562" t="s">
        <v>134</v>
      </c>
      <c r="H9" s="464"/>
      <c r="I9" s="464"/>
      <c r="J9" s="464"/>
      <c r="K9" s="562" t="s">
        <v>135</v>
      </c>
      <c r="L9" s="464"/>
      <c r="M9" s="464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thickBot="1" x14ac:dyDescent="0.3">
      <c r="A10" s="1"/>
      <c r="B10" s="464"/>
      <c r="C10" s="464"/>
      <c r="D10" s="464"/>
      <c r="E10" s="464"/>
      <c r="F10" s="464"/>
      <c r="G10" s="331" t="s">
        <v>136</v>
      </c>
      <c r="H10" s="331" t="s">
        <v>248</v>
      </c>
      <c r="I10" s="331" t="s">
        <v>249</v>
      </c>
      <c r="J10" s="331" t="s">
        <v>250</v>
      </c>
      <c r="K10" s="331" t="s">
        <v>248</v>
      </c>
      <c r="L10" s="331" t="s">
        <v>249</v>
      </c>
      <c r="M10" s="331" t="s">
        <v>250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64" t="s">
        <v>247</v>
      </c>
      <c r="C11" s="332" t="s">
        <v>170</v>
      </c>
      <c r="D11" s="333">
        <f>'Mod. inversión'!C20</f>
        <v>5</v>
      </c>
      <c r="E11" s="334">
        <f>'Mod. inversión'!D20</f>
        <v>183839</v>
      </c>
      <c r="F11" s="333">
        <v>3</v>
      </c>
      <c r="G11" s="335">
        <f>E11*D11</f>
        <v>919195</v>
      </c>
      <c r="H11" s="341">
        <v>0</v>
      </c>
      <c r="I11" s="341">
        <v>0</v>
      </c>
      <c r="J11" s="341">
        <v>0</v>
      </c>
      <c r="K11" s="336">
        <f>$G$11/$F$11</f>
        <v>306398.33333333331</v>
      </c>
      <c r="L11" s="336">
        <f t="shared" ref="L11:M11" si="0">$G$11/$F$11</f>
        <v>306398.33333333331</v>
      </c>
      <c r="M11" s="336">
        <f t="shared" si="0"/>
        <v>306398.33333333331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116"/>
      <c r="B12" s="565"/>
      <c r="C12" s="332" t="s">
        <v>170</v>
      </c>
      <c r="D12" s="333">
        <f>'Mod. inversión'!C46</f>
        <v>1</v>
      </c>
      <c r="E12" s="334">
        <f>'Mod. inversión'!D20</f>
        <v>183839</v>
      </c>
      <c r="F12" s="333">
        <v>3</v>
      </c>
      <c r="G12" s="341">
        <f>0</f>
        <v>0</v>
      </c>
      <c r="H12" s="341">
        <f>0</f>
        <v>0</v>
      </c>
      <c r="I12" s="335">
        <f>E12*D12</f>
        <v>183839</v>
      </c>
      <c r="J12" s="341">
        <v>0</v>
      </c>
      <c r="K12" s="342">
        <v>0</v>
      </c>
      <c r="L12" s="336">
        <f>$I$12/$F$12</f>
        <v>61279.666666666664</v>
      </c>
      <c r="M12" s="336">
        <f>$I$12/$F$12</f>
        <v>61279.666666666664</v>
      </c>
      <c r="N12" s="116"/>
      <c r="O12" s="116"/>
      <c r="P12" s="116"/>
      <c r="Q12" s="116"/>
      <c r="R12" s="116"/>
      <c r="S12" s="116"/>
      <c r="T12" s="116"/>
      <c r="U12" s="116"/>
      <c r="V12" s="116"/>
      <c r="W12" s="116"/>
      <c r="X12" s="116"/>
      <c r="Y12" s="116"/>
      <c r="Z12" s="116"/>
    </row>
    <row r="13" spans="1:26" ht="15.75" thickBot="1" x14ac:dyDescent="0.3">
      <c r="A13" s="116"/>
      <c r="B13" s="565"/>
      <c r="C13" s="332" t="s">
        <v>170</v>
      </c>
      <c r="D13" s="333">
        <f>'Mod. inversión'!C59</f>
        <v>1</v>
      </c>
      <c r="E13" s="334">
        <f>'Mod. inversión'!D20</f>
        <v>183839</v>
      </c>
      <c r="F13" s="333">
        <v>3</v>
      </c>
      <c r="G13" s="341">
        <f>0</f>
        <v>0</v>
      </c>
      <c r="H13" s="341">
        <f>0</f>
        <v>0</v>
      </c>
      <c r="I13" s="341">
        <f>0</f>
        <v>0</v>
      </c>
      <c r="J13" s="335">
        <f>E13*D13</f>
        <v>183839</v>
      </c>
      <c r="K13" s="342">
        <v>0</v>
      </c>
      <c r="L13" s="342">
        <v>0</v>
      </c>
      <c r="M13" s="336">
        <f>$I$12/$F$12</f>
        <v>61279.666666666664</v>
      </c>
      <c r="N13" s="116"/>
      <c r="O13" s="116"/>
      <c r="P13" s="116"/>
      <c r="Q13" s="116"/>
      <c r="R13" s="116"/>
      <c r="S13" s="116"/>
      <c r="T13" s="116"/>
      <c r="U13" s="116"/>
      <c r="V13" s="116"/>
      <c r="W13" s="116"/>
      <c r="X13" s="116"/>
      <c r="Y13" s="116"/>
      <c r="Z13" s="116"/>
    </row>
    <row r="14" spans="1:26" ht="15.75" customHeight="1" thickBot="1" x14ac:dyDescent="0.3">
      <c r="A14" s="1"/>
      <c r="B14" s="558" t="s">
        <v>121</v>
      </c>
      <c r="C14" s="464"/>
      <c r="D14" s="464"/>
      <c r="E14" s="464"/>
      <c r="F14" s="464"/>
      <c r="G14" s="464"/>
      <c r="H14" s="464"/>
      <c r="I14" s="464"/>
      <c r="J14" s="464"/>
      <c r="K14" s="337">
        <f>SUM(K11:K13)</f>
        <v>306398.33333333331</v>
      </c>
      <c r="L14" s="337">
        <f t="shared" ref="L14:M14" si="1">SUM(L11:L13)</f>
        <v>367678</v>
      </c>
      <c r="M14" s="337">
        <f t="shared" si="1"/>
        <v>428957.66666666669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</sheetData>
  <mergeCells count="12">
    <mergeCell ref="B14:J14"/>
    <mergeCell ref="B3:D3"/>
    <mergeCell ref="I3:K3"/>
    <mergeCell ref="B8:M8"/>
    <mergeCell ref="B9:B10"/>
    <mergeCell ref="C9:C10"/>
    <mergeCell ref="D9:D10"/>
    <mergeCell ref="E9:E10"/>
    <mergeCell ref="K9:M9"/>
    <mergeCell ref="F9:F10"/>
    <mergeCell ref="G9:J9"/>
    <mergeCell ref="B11:B13"/>
  </mergeCells>
  <pageMargins left="0.7" right="0.7" top="0.75" bottom="0.75" header="0" footer="0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1000"/>
  <sheetViews>
    <sheetView workbookViewId="0">
      <pane ySplit="1" topLeftCell="A11" activePane="bottomLeft" state="frozen"/>
      <selection pane="bottomLeft" activeCell="M21" sqref="J3:M21"/>
    </sheetView>
  </sheetViews>
  <sheetFormatPr baseColWidth="10" defaultColWidth="12.625" defaultRowHeight="15" customHeight="1" x14ac:dyDescent="0.2"/>
  <cols>
    <col min="1" max="1" width="5.25" customWidth="1"/>
    <col min="2" max="2" width="13.125" customWidth="1"/>
    <col min="3" max="3" width="25.875" customWidth="1"/>
    <col min="4" max="4" width="17.25" customWidth="1"/>
    <col min="5" max="5" width="16.625" customWidth="1"/>
    <col min="6" max="6" width="13.25" customWidth="1"/>
    <col min="7" max="7" width="20.25" customWidth="1"/>
    <col min="8" max="8" width="12.375" customWidth="1"/>
    <col min="9" max="9" width="12.75" customWidth="1"/>
    <col min="10" max="12" width="13.25" customWidth="1"/>
    <col min="13" max="13" width="14" customWidth="1"/>
    <col min="14" max="26" width="10" customWidth="1"/>
  </cols>
  <sheetData>
    <row r="1" spans="1:26" ht="74.25" customHeight="1" x14ac:dyDescent="0.25">
      <c r="A1" s="201"/>
      <c r="B1" s="201"/>
      <c r="C1" s="201"/>
      <c r="D1" s="201"/>
      <c r="E1" s="202" t="s">
        <v>137</v>
      </c>
      <c r="F1" s="203"/>
      <c r="G1" s="203"/>
      <c r="H1" s="201"/>
      <c r="I1" s="201"/>
      <c r="J1" s="201"/>
      <c r="K1" s="201"/>
      <c r="L1" s="201"/>
      <c r="M1" s="201"/>
      <c r="N1" s="201"/>
      <c r="O1" s="201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6.25" x14ac:dyDescent="0.4">
      <c r="A3" s="1"/>
      <c r="B3" s="1"/>
      <c r="C3" s="1"/>
      <c r="D3" s="1"/>
      <c r="E3" s="1"/>
      <c r="F3" s="1"/>
      <c r="G3" s="1"/>
      <c r="H3" s="47"/>
      <c r="I3" s="1"/>
      <c r="J3" s="1"/>
      <c r="K3" s="521" t="s">
        <v>37</v>
      </c>
      <c r="L3" s="434"/>
      <c r="M3" s="435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/>
      <c r="B4" s="1"/>
      <c r="C4" s="1"/>
      <c r="D4" s="1"/>
      <c r="E4" s="1"/>
      <c r="F4" s="1"/>
      <c r="G4" s="1"/>
      <c r="H4" s="64"/>
      <c r="I4" s="1"/>
      <c r="J4" s="1"/>
      <c r="K4" s="204">
        <v>2022</v>
      </c>
      <c r="L4" s="204">
        <v>2023</v>
      </c>
      <c r="M4" s="204">
        <v>2024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/>
      <c r="B5" s="1"/>
      <c r="C5" s="1"/>
      <c r="D5" s="1"/>
      <c r="E5" s="1"/>
      <c r="F5" s="1"/>
      <c r="G5" s="1"/>
      <c r="H5" s="73"/>
      <c r="I5" s="1"/>
      <c r="J5" s="1"/>
      <c r="K5" s="82">
        <f>Hipótesis!$C$25</f>
        <v>0.1</v>
      </c>
      <c r="L5" s="82">
        <f>Hipótesis!$C$26</f>
        <v>0.2</v>
      </c>
      <c r="M5" s="82">
        <f>Hipótesis!$C$27</f>
        <v>0.3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65">
        <f>Hipótesis!$D$25</f>
        <v>29160000</v>
      </c>
      <c r="L6" s="65">
        <f>Hipótesis!$D$26</f>
        <v>58320000</v>
      </c>
      <c r="M6" s="65">
        <f>Hipótesis!$D$27</f>
        <v>87480000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26.25" x14ac:dyDescent="0.4">
      <c r="A8" s="1"/>
      <c r="B8" s="1"/>
      <c r="C8" s="1"/>
      <c r="D8" s="1"/>
      <c r="E8" s="1"/>
      <c r="F8" s="1"/>
      <c r="G8" s="1"/>
      <c r="H8" s="47"/>
      <c r="I8" s="1"/>
      <c r="J8" s="1"/>
      <c r="K8" s="521" t="s">
        <v>138</v>
      </c>
      <c r="L8" s="434"/>
      <c r="M8" s="435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/>
      <c r="B9" s="1"/>
      <c r="C9" s="1"/>
      <c r="D9" s="1"/>
      <c r="E9" s="1"/>
      <c r="F9" s="1"/>
      <c r="G9" s="1"/>
      <c r="H9" s="64"/>
      <c r="I9" s="1"/>
      <c r="J9" s="1"/>
      <c r="K9" s="204">
        <v>2022</v>
      </c>
      <c r="L9" s="204">
        <v>2023</v>
      </c>
      <c r="M9" s="204">
        <v>2024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27" thickBot="1" x14ac:dyDescent="0.45">
      <c r="A10" s="1"/>
      <c r="B10" s="521" t="s">
        <v>137</v>
      </c>
      <c r="C10" s="434"/>
      <c r="D10" s="434"/>
      <c r="E10" s="434"/>
      <c r="F10" s="434"/>
      <c r="G10" s="435"/>
      <c r="H10" s="73"/>
      <c r="I10" s="1"/>
      <c r="J10" s="347" t="s">
        <v>139</v>
      </c>
      <c r="K10" s="91">
        <f>'Costos fijos'!$G$5</f>
        <v>4754400</v>
      </c>
      <c r="L10" s="65">
        <f>'Costos fijos'!$H$5</f>
        <v>5522400</v>
      </c>
      <c r="M10" s="92">
        <f>'Costos fijos'!$I$5</f>
        <v>6290400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thickBot="1" x14ac:dyDescent="0.3">
      <c r="A11" s="1"/>
      <c r="B11" s="569" t="s">
        <v>140</v>
      </c>
      <c r="C11" s="435"/>
      <c r="D11" s="348" t="s">
        <v>141</v>
      </c>
      <c r="E11" s="349">
        <v>2022</v>
      </c>
      <c r="F11" s="349">
        <v>2023</v>
      </c>
      <c r="G11" s="350">
        <v>2024</v>
      </c>
      <c r="H11" s="1"/>
      <c r="I11" s="1"/>
      <c r="J11" s="579" t="s">
        <v>124</v>
      </c>
      <c r="K11" s="581">
        <f>'Costos RRHH'!$H$6</f>
        <v>16778584.655999999</v>
      </c>
      <c r="L11" s="583">
        <f>'Costos RRHH'!$I$6</f>
        <v>18678081.659600001</v>
      </c>
      <c r="M11" s="585">
        <f>'Costos RRHH'!$J$6</f>
        <v>21934362.237200003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thickBot="1" x14ac:dyDescent="0.3">
      <c r="A12" s="1"/>
      <c r="B12" s="570" t="s">
        <v>53</v>
      </c>
      <c r="C12" s="571"/>
      <c r="D12" s="93" t="s">
        <v>131</v>
      </c>
      <c r="E12" s="94">
        <f>+'Mod. ingresos'!C20</f>
        <v>21840000</v>
      </c>
      <c r="F12" s="94">
        <f>+'Mod. ingresos'!D20</f>
        <v>59120000</v>
      </c>
      <c r="G12" s="94">
        <f>+'Mod. ingresos'!E20</f>
        <v>98540000</v>
      </c>
      <c r="H12" s="1"/>
      <c r="I12" s="1"/>
      <c r="J12" s="580"/>
      <c r="K12" s="582"/>
      <c r="L12" s="584"/>
      <c r="M12" s="586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thickBot="1" x14ac:dyDescent="0.3">
      <c r="A13" s="1"/>
      <c r="B13" s="572" t="s">
        <v>142</v>
      </c>
      <c r="C13" s="587" t="s">
        <v>139</v>
      </c>
      <c r="D13" s="589" t="s">
        <v>131</v>
      </c>
      <c r="E13" s="591">
        <f>K10</f>
        <v>4754400</v>
      </c>
      <c r="F13" s="591">
        <f>L10</f>
        <v>5522400</v>
      </c>
      <c r="G13" s="591">
        <f>M10</f>
        <v>6290400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6.25" x14ac:dyDescent="0.4">
      <c r="A14" s="1"/>
      <c r="B14" s="573"/>
      <c r="C14" s="588"/>
      <c r="D14" s="590"/>
      <c r="E14" s="592"/>
      <c r="F14" s="592"/>
      <c r="G14" s="592"/>
      <c r="H14" s="1"/>
      <c r="I14" s="1"/>
      <c r="J14" s="1"/>
      <c r="K14" s="521" t="s">
        <v>18</v>
      </c>
      <c r="L14" s="434"/>
      <c r="M14" s="435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/>
      <c r="B15" s="574"/>
      <c r="C15" s="96" t="s">
        <v>124</v>
      </c>
      <c r="D15" s="97" t="s">
        <v>131</v>
      </c>
      <c r="E15" s="98">
        <f>K11</f>
        <v>16778584.655999999</v>
      </c>
      <c r="F15" s="98">
        <f>L11</f>
        <v>18678081.659600001</v>
      </c>
      <c r="G15" s="98">
        <f>M11</f>
        <v>21934362.237200003</v>
      </c>
      <c r="H15" s="1"/>
      <c r="I15" s="1"/>
      <c r="J15" s="1"/>
      <c r="K15" s="204">
        <v>2022</v>
      </c>
      <c r="L15" s="204">
        <v>2023</v>
      </c>
      <c r="M15" s="204">
        <v>2024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/>
      <c r="B16" s="566" t="s">
        <v>143</v>
      </c>
      <c r="C16" s="460"/>
      <c r="D16" s="99" t="s">
        <v>131</v>
      </c>
      <c r="E16" s="100">
        <f>E12-E13-E14-E15</f>
        <v>307015.34400000051</v>
      </c>
      <c r="F16" s="100">
        <f>F12-F13-F14-F15</f>
        <v>34919518.340399995</v>
      </c>
      <c r="G16" s="101">
        <f>G12-G13-G14-G15</f>
        <v>70315237.762799993</v>
      </c>
      <c r="H16" s="1"/>
      <c r="I16" s="1"/>
      <c r="J16" s="1"/>
      <c r="K16" s="84">
        <f>Amortizaciones!$K$14</f>
        <v>306398.33333333331</v>
      </c>
      <c r="L16" s="84">
        <f>Amortizaciones!$L$14</f>
        <v>367678</v>
      </c>
      <c r="M16" s="84">
        <f>Amortizaciones!$M$14</f>
        <v>428957.66666666669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/>
      <c r="B17" s="575" t="s">
        <v>144</v>
      </c>
      <c r="C17" s="571"/>
      <c r="D17" s="93" t="s">
        <v>131</v>
      </c>
      <c r="E17" s="94">
        <f>E12*0.03</f>
        <v>655200</v>
      </c>
      <c r="F17" s="94">
        <f>F12*0.03</f>
        <v>1773600</v>
      </c>
      <c r="G17" s="102">
        <f t="shared" ref="G17" si="0">G12*0.03</f>
        <v>2956200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6.25" x14ac:dyDescent="0.4">
      <c r="A18" s="1"/>
      <c r="B18" s="576" t="s">
        <v>145</v>
      </c>
      <c r="C18" s="422"/>
      <c r="D18" s="95"/>
      <c r="E18" s="87">
        <f>E16-E17-K16</f>
        <v>-654582.98933333275</v>
      </c>
      <c r="F18" s="87">
        <f t="shared" ref="F18:G18" si="1">F16-F17-L16</f>
        <v>32778240.340399995</v>
      </c>
      <c r="G18" s="89">
        <f t="shared" si="1"/>
        <v>66930080.096133329</v>
      </c>
      <c r="H18" s="1"/>
      <c r="I18" s="1"/>
      <c r="J18" s="521" t="s">
        <v>126</v>
      </c>
      <c r="K18" s="434"/>
      <c r="L18" s="434"/>
      <c r="M18" s="435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/>
      <c r="B19" s="577" t="s">
        <v>146</v>
      </c>
      <c r="C19" s="578"/>
      <c r="D19" s="97" t="s">
        <v>131</v>
      </c>
      <c r="E19" s="98">
        <v>0</v>
      </c>
      <c r="F19" s="90">
        <f>(E16-E17)*0.35</f>
        <v>-121864.62959999981</v>
      </c>
      <c r="G19" s="90">
        <f>(F16-F17)*0.35</f>
        <v>11601071.419139998</v>
      </c>
      <c r="H19" s="1"/>
      <c r="I19" s="1"/>
      <c r="J19" s="317" t="s">
        <v>127</v>
      </c>
      <c r="K19" s="318">
        <v>2022</v>
      </c>
      <c r="L19" s="318">
        <v>2023</v>
      </c>
      <c r="M19" s="319">
        <v>2024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/>
      <c r="B20" s="566" t="s">
        <v>147</v>
      </c>
      <c r="C20" s="460"/>
      <c r="D20" s="99" t="s">
        <v>131</v>
      </c>
      <c r="E20" s="100">
        <f>E16-E17-E19</f>
        <v>-348184.65599999949</v>
      </c>
      <c r="F20" s="100">
        <f>F16-F17-F19</f>
        <v>33267782.969999995</v>
      </c>
      <c r="G20" s="101">
        <f>G16-G17-G19</f>
        <v>55757966.343659997</v>
      </c>
      <c r="H20" s="1"/>
      <c r="I20" s="1"/>
      <c r="J20" s="84">
        <f>'Mod. inversión'!$G$5</f>
        <v>8315395</v>
      </c>
      <c r="K20" s="85">
        <f>'Mod. inversión'!$H$5</f>
        <v>396200</v>
      </c>
      <c r="L20" s="85">
        <f>'Mod. inversión'!$I$5</f>
        <v>630039</v>
      </c>
      <c r="M20" s="86">
        <f>'Mod. inversión'!J5</f>
        <v>680039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567" t="s">
        <v>148</v>
      </c>
      <c r="C21" s="568"/>
      <c r="D21" s="103">
        <f t="shared" ref="D21" si="2">-J20</f>
        <v>-8315395</v>
      </c>
      <c r="E21" s="104">
        <f>-K20</f>
        <v>-396200</v>
      </c>
      <c r="F21" s="104">
        <f t="shared" ref="F21" si="3">-L20</f>
        <v>-630039</v>
      </c>
      <c r="G21" s="104">
        <f t="shared" ref="G21" si="4">-M20</f>
        <v>-680039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566" t="s">
        <v>149</v>
      </c>
      <c r="C22" s="460"/>
      <c r="D22" s="106">
        <f>D21</f>
        <v>-8315395</v>
      </c>
      <c r="E22" s="100">
        <f t="shared" ref="E22:F22" si="5">E20+E21</f>
        <v>-744384.65599999949</v>
      </c>
      <c r="F22" s="100">
        <f t="shared" si="5"/>
        <v>32637743.969999995</v>
      </c>
      <c r="G22" s="101">
        <f>G20+G21</f>
        <v>55077927.343659997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32"/>
      <c r="K23" s="132"/>
      <c r="L23" s="132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32"/>
      <c r="K24" s="132"/>
      <c r="L24" s="132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32"/>
      <c r="K25" s="132"/>
      <c r="L25" s="132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07" t="s">
        <v>150</v>
      </c>
      <c r="G26" s="108">
        <v>1.1000000000000001</v>
      </c>
      <c r="H26" s="1"/>
      <c r="I26" s="1"/>
      <c r="J26" s="132"/>
      <c r="K26" s="132"/>
      <c r="L26" s="132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09" t="s">
        <v>151</v>
      </c>
      <c r="G27" s="110">
        <f>NPV(G26,D22:G22)</f>
        <v>2227753.8809806602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11" t="s">
        <v>152</v>
      </c>
      <c r="G28" s="112">
        <f>IRR(D22:G22,G26)</f>
        <v>1.5163384917229412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" customHeight="1" x14ac:dyDescent="0.25">
      <c r="A31" s="1"/>
      <c r="B31" s="1"/>
      <c r="C31" s="1"/>
      <c r="D31" s="132"/>
      <c r="E31" s="132"/>
      <c r="F31" s="132"/>
      <c r="G31" s="132"/>
      <c r="H31" s="1"/>
      <c r="I31" s="113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32"/>
      <c r="E32" s="1"/>
      <c r="F32" s="113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1:26" ht="15.75" customHeight="1" x14ac:dyDescent="0.25">
      <c r="A33" s="1"/>
      <c r="B33" s="1"/>
      <c r="C33" s="1"/>
      <c r="D33" s="132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31"/>
      <c r="E36" s="31"/>
      <c r="F36" s="31"/>
      <c r="G36" s="31"/>
      <c r="H36" s="1"/>
      <c r="I36" s="30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30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14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24">
    <mergeCell ref="K11:K12"/>
    <mergeCell ref="L11:L12"/>
    <mergeCell ref="M11:M12"/>
    <mergeCell ref="C13:C14"/>
    <mergeCell ref="D13:D14"/>
    <mergeCell ref="E13:E14"/>
    <mergeCell ref="F13:F14"/>
    <mergeCell ref="G13:G14"/>
    <mergeCell ref="B20:C20"/>
    <mergeCell ref="B21:C21"/>
    <mergeCell ref="B22:C22"/>
    <mergeCell ref="K3:M3"/>
    <mergeCell ref="K8:M8"/>
    <mergeCell ref="B10:G10"/>
    <mergeCell ref="B11:C11"/>
    <mergeCell ref="B12:C12"/>
    <mergeCell ref="B13:B15"/>
    <mergeCell ref="K14:M14"/>
    <mergeCell ref="B16:C16"/>
    <mergeCell ref="B17:C17"/>
    <mergeCell ref="B18:C18"/>
    <mergeCell ref="J18:M18"/>
    <mergeCell ref="B19:C19"/>
    <mergeCell ref="J11:J12"/>
  </mergeCells>
  <pageMargins left="0.7" right="0.7" top="0.75" bottom="0.75" header="0" footer="0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988"/>
  <sheetViews>
    <sheetView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F8" sqref="F8"/>
    </sheetView>
  </sheetViews>
  <sheetFormatPr baseColWidth="10" defaultColWidth="12.625" defaultRowHeight="15" customHeight="1" x14ac:dyDescent="0.2"/>
  <cols>
    <col min="1" max="1" width="10" customWidth="1"/>
    <col min="2" max="2" width="11.875" customWidth="1"/>
    <col min="3" max="3" width="48.375" customWidth="1"/>
    <col min="4" max="4" width="62.25" customWidth="1"/>
    <col min="5" max="5" width="49.375" customWidth="1"/>
    <col min="6" max="6" width="13.5" customWidth="1"/>
    <col min="7" max="7" width="11.875" customWidth="1"/>
    <col min="8" max="8" width="13.625" customWidth="1"/>
    <col min="9" max="26" width="10" customWidth="1"/>
  </cols>
  <sheetData>
    <row r="1" spans="1:26" ht="69" customHeight="1" x14ac:dyDescent="0.25">
      <c r="A1" s="201"/>
      <c r="B1" s="201"/>
      <c r="C1" s="201"/>
      <c r="D1" s="202" t="s">
        <v>20</v>
      </c>
      <c r="E1" s="201"/>
      <c r="F1" s="201"/>
      <c r="G1" s="203"/>
      <c r="H1" s="203"/>
      <c r="I1" s="201"/>
      <c r="J1" s="201"/>
      <c r="K1" s="201"/>
      <c r="L1" s="201"/>
      <c r="M1" s="201"/>
      <c r="N1" s="201"/>
      <c r="O1" s="315"/>
      <c r="P1" s="315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6.25" x14ac:dyDescent="0.4">
      <c r="A4" s="1"/>
      <c r="B4" s="593" t="s">
        <v>20</v>
      </c>
      <c r="C4" s="434"/>
      <c r="D4" s="434"/>
      <c r="E4" s="434"/>
      <c r="F4" s="434"/>
      <c r="G4" s="435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thickBot="1" x14ac:dyDescent="0.3">
      <c r="A5" s="1"/>
      <c r="B5" s="352" t="s">
        <v>153</v>
      </c>
      <c r="C5" s="353" t="s">
        <v>154</v>
      </c>
      <c r="D5" s="353" t="s">
        <v>155</v>
      </c>
      <c r="E5" s="353" t="s">
        <v>156</v>
      </c>
      <c r="F5" s="306" t="s">
        <v>157</v>
      </c>
      <c r="G5" s="354" t="s">
        <v>158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30.75" thickBot="1" x14ac:dyDescent="0.3">
      <c r="A6" s="1"/>
      <c r="B6" s="355">
        <v>1</v>
      </c>
      <c r="C6" s="357" t="s">
        <v>275</v>
      </c>
      <c r="D6" s="358" t="s">
        <v>267</v>
      </c>
      <c r="E6" s="358" t="str">
        <f>'Mi Escenario 1'!$O$11</f>
        <v>Las ventas disminuten un 20% en 2023 y un 30% en 2024.</v>
      </c>
      <c r="F6" s="359" t="s">
        <v>180</v>
      </c>
      <c r="G6" s="359" t="s">
        <v>175</v>
      </c>
      <c r="H6" s="115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45.75" thickBot="1" x14ac:dyDescent="0.3">
      <c r="A7" s="1"/>
      <c r="B7" s="356">
        <v>2</v>
      </c>
      <c r="C7" s="360" t="s">
        <v>268</v>
      </c>
      <c r="D7" s="361" t="s">
        <v>265</v>
      </c>
      <c r="E7" s="361" t="s">
        <v>270</v>
      </c>
      <c r="F7" s="362" t="s">
        <v>175</v>
      </c>
      <c r="G7" s="362" t="s">
        <v>272</v>
      </c>
      <c r="H7" s="115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45.75" thickBot="1" x14ac:dyDescent="0.3">
      <c r="A8" s="1"/>
      <c r="B8" s="331">
        <v>3</v>
      </c>
      <c r="C8" s="363" t="s">
        <v>269</v>
      </c>
      <c r="D8" s="364" t="s">
        <v>266</v>
      </c>
      <c r="E8" s="364" t="s">
        <v>271</v>
      </c>
      <c r="F8" s="365" t="s">
        <v>180</v>
      </c>
      <c r="G8" s="366" t="s">
        <v>181</v>
      </c>
      <c r="H8" s="115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 x14ac:dyDescent="0.25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 x14ac:dyDescent="0.2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 x14ac:dyDescent="0.2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</sheetData>
  <mergeCells count="1">
    <mergeCell ref="B4:G4"/>
  </mergeCells>
  <pageMargins left="0.7" right="0.7" top="0.75" bottom="0.75" header="0" footer="0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9C41A-D8B3-4E06-B9A8-F2EC27351523}">
  <dimension ref="A2:O28"/>
  <sheetViews>
    <sheetView workbookViewId="0">
      <selection activeCell="O11" sqref="O11:O12"/>
    </sheetView>
  </sheetViews>
  <sheetFormatPr baseColWidth="10" defaultColWidth="9" defaultRowHeight="14.25" x14ac:dyDescent="0.2"/>
  <cols>
    <col min="2" max="2" width="6.75" bestFit="1" customWidth="1"/>
    <col min="3" max="3" width="27.25" customWidth="1"/>
    <col min="4" max="4" width="13.125" bestFit="1" customWidth="1"/>
    <col min="5" max="7" width="12.375" bestFit="1" customWidth="1"/>
    <col min="10" max="10" width="13.5" bestFit="1" customWidth="1"/>
    <col min="11" max="13" width="12.375" bestFit="1" customWidth="1"/>
    <col min="15" max="15" width="70.25" bestFit="1" customWidth="1"/>
  </cols>
  <sheetData>
    <row r="2" spans="1:15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5" ht="27" thickBot="1" x14ac:dyDescent="0.45">
      <c r="A3" s="1"/>
      <c r="B3" s="1"/>
      <c r="C3" s="1"/>
      <c r="D3" s="1"/>
      <c r="E3" s="1"/>
      <c r="F3" s="1"/>
      <c r="G3" s="1"/>
      <c r="H3" s="47"/>
      <c r="I3" s="1"/>
      <c r="J3" s="1"/>
      <c r="K3" s="521" t="s">
        <v>37</v>
      </c>
      <c r="L3" s="434"/>
      <c r="M3" s="435"/>
      <c r="O3" s="594" t="s">
        <v>174</v>
      </c>
    </row>
    <row r="4" spans="1:15" ht="15" x14ac:dyDescent="0.25">
      <c r="A4" s="1"/>
      <c r="B4" s="1"/>
      <c r="C4" s="1"/>
      <c r="D4" s="1"/>
      <c r="E4" s="1"/>
      <c r="F4" s="1"/>
      <c r="G4" s="1"/>
      <c r="H4" s="64"/>
      <c r="I4" s="1"/>
      <c r="J4" s="1"/>
      <c r="K4" s="204">
        <v>2022</v>
      </c>
      <c r="L4" s="204">
        <v>2023</v>
      </c>
      <c r="M4" s="204">
        <v>2024</v>
      </c>
      <c r="O4" s="595"/>
    </row>
    <row r="5" spans="1:15" ht="15.75" thickBot="1" x14ac:dyDescent="0.3">
      <c r="A5" s="1"/>
      <c r="B5" s="1"/>
      <c r="C5" s="1"/>
      <c r="D5" s="1"/>
      <c r="E5" s="1"/>
      <c r="F5" s="1"/>
      <c r="G5" s="1"/>
      <c r="H5" s="73"/>
      <c r="I5" s="1"/>
      <c r="J5" s="1"/>
      <c r="K5" s="82">
        <f>Hipótesis!$C$25</f>
        <v>0.1</v>
      </c>
      <c r="L5" s="82">
        <f>Hipótesis!$C$26</f>
        <v>0.2</v>
      </c>
      <c r="M5" s="82">
        <f>Hipótesis!$C$27</f>
        <v>0.3</v>
      </c>
      <c r="O5" s="596"/>
    </row>
    <row r="6" spans="1:15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65">
        <f>Hipótesis!$D$25</f>
        <v>29160000</v>
      </c>
      <c r="L6" s="65">
        <f>Hipótesis!$D$26</f>
        <v>58320000</v>
      </c>
      <c r="M6" s="65">
        <f>Hipótesis!$D$27</f>
        <v>87480000</v>
      </c>
      <c r="O6" s="228" t="s">
        <v>155</v>
      </c>
    </row>
    <row r="7" spans="1:15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O7" s="597" t="s">
        <v>173</v>
      </c>
    </row>
    <row r="8" spans="1:15" ht="27" thickBot="1" x14ac:dyDescent="0.45">
      <c r="A8" s="1"/>
      <c r="B8" s="1"/>
      <c r="C8" s="1"/>
      <c r="D8" s="1"/>
      <c r="E8" s="1"/>
      <c r="F8" s="1"/>
      <c r="G8" s="1"/>
      <c r="H8" s="47"/>
      <c r="I8" s="1"/>
      <c r="J8" s="1"/>
      <c r="K8" s="521" t="s">
        <v>138</v>
      </c>
      <c r="L8" s="434"/>
      <c r="M8" s="435"/>
      <c r="O8" s="595"/>
    </row>
    <row r="9" spans="1:15" ht="15.75" thickBot="1" x14ac:dyDescent="0.3">
      <c r="A9" s="1"/>
      <c r="B9" s="1"/>
      <c r="C9" s="1"/>
      <c r="D9" s="1"/>
      <c r="E9" s="1"/>
      <c r="F9" s="1"/>
      <c r="G9" s="1"/>
      <c r="H9" s="64"/>
      <c r="I9" s="1"/>
      <c r="J9" s="1"/>
      <c r="K9" s="204">
        <v>2022</v>
      </c>
      <c r="L9" s="204">
        <v>2023</v>
      </c>
      <c r="M9" s="204">
        <v>2024</v>
      </c>
      <c r="O9" s="596"/>
    </row>
    <row r="10" spans="1:15" ht="27" thickBot="1" x14ac:dyDescent="0.45">
      <c r="A10" s="1"/>
      <c r="B10" s="521" t="s">
        <v>137</v>
      </c>
      <c r="C10" s="434"/>
      <c r="D10" s="434"/>
      <c r="E10" s="434"/>
      <c r="F10" s="434"/>
      <c r="G10" s="435"/>
      <c r="H10" s="73"/>
      <c r="I10" s="1"/>
      <c r="J10" s="347" t="s">
        <v>139</v>
      </c>
      <c r="K10" s="91">
        <f>'Costos fijos'!$G$5</f>
        <v>4754400</v>
      </c>
      <c r="L10" s="65">
        <f>'Costos fijos'!$H$5</f>
        <v>5522400</v>
      </c>
      <c r="M10" s="92">
        <f>'Costos fijos'!$I$5</f>
        <v>6290400</v>
      </c>
      <c r="O10" s="228" t="s">
        <v>156</v>
      </c>
    </row>
    <row r="11" spans="1:15" ht="15.75" thickBot="1" x14ac:dyDescent="0.3">
      <c r="A11" s="1"/>
      <c r="B11" s="569" t="s">
        <v>140</v>
      </c>
      <c r="C11" s="435"/>
      <c r="D11" s="348" t="s">
        <v>141</v>
      </c>
      <c r="E11" s="349">
        <v>2022</v>
      </c>
      <c r="F11" s="349">
        <v>2023</v>
      </c>
      <c r="G11" s="350">
        <v>2024</v>
      </c>
      <c r="H11" s="1"/>
      <c r="I11" s="1"/>
      <c r="J11" s="347" t="s">
        <v>124</v>
      </c>
      <c r="K11" s="27">
        <f>'Costos RRHH'!$H$6</f>
        <v>16778584.655999999</v>
      </c>
      <c r="L11" s="28">
        <f>'Costos RRHH'!$I$6</f>
        <v>18678081.659600001</v>
      </c>
      <c r="M11" s="29">
        <f>'Costos RRHH'!$J$6</f>
        <v>21934362.237200003</v>
      </c>
      <c r="O11" s="594" t="s">
        <v>273</v>
      </c>
    </row>
    <row r="12" spans="1:15" ht="15.75" thickBot="1" x14ac:dyDescent="0.3">
      <c r="A12" s="1"/>
      <c r="B12" s="570" t="s">
        <v>53</v>
      </c>
      <c r="C12" s="571"/>
      <c r="D12" s="93" t="s">
        <v>131</v>
      </c>
      <c r="E12" s="94">
        <f>+'Mod. ingresos'!C20</f>
        <v>21840000</v>
      </c>
      <c r="F12" s="154">
        <f>+'Mod. ingresos'!D20*0.8</f>
        <v>47296000</v>
      </c>
      <c r="G12" s="154">
        <f>+'Mod. ingresos'!E20*0.7</f>
        <v>68978000</v>
      </c>
      <c r="H12" s="1"/>
      <c r="I12" s="1"/>
      <c r="J12" s="1"/>
      <c r="K12" s="1"/>
      <c r="L12" s="1"/>
      <c r="M12" s="1"/>
      <c r="O12" s="633"/>
    </row>
    <row r="13" spans="1:15" ht="27" thickBot="1" x14ac:dyDescent="0.45">
      <c r="A13" s="1"/>
      <c r="B13" s="572" t="s">
        <v>142</v>
      </c>
      <c r="C13" s="587" t="s">
        <v>139</v>
      </c>
      <c r="D13" s="589" t="s">
        <v>131</v>
      </c>
      <c r="E13" s="619">
        <f>K10</f>
        <v>4754400</v>
      </c>
      <c r="F13" s="619">
        <f>L10</f>
        <v>5522400</v>
      </c>
      <c r="G13" s="621">
        <f t="shared" ref="G13" si="0">M10</f>
        <v>6290400</v>
      </c>
      <c r="H13" s="1"/>
      <c r="I13" s="1"/>
      <c r="J13" s="1"/>
      <c r="K13" s="521" t="s">
        <v>18</v>
      </c>
      <c r="L13" s="434"/>
      <c r="M13" s="435"/>
    </row>
    <row r="14" spans="1:15" ht="15" x14ac:dyDescent="0.25">
      <c r="A14" s="1"/>
      <c r="B14" s="573"/>
      <c r="C14" s="588"/>
      <c r="D14" s="590"/>
      <c r="E14" s="620"/>
      <c r="F14" s="620"/>
      <c r="G14" s="622"/>
      <c r="H14" s="1"/>
      <c r="I14" s="1"/>
      <c r="J14" s="1"/>
      <c r="K14" s="204">
        <v>2022</v>
      </c>
      <c r="L14" s="204">
        <v>2023</v>
      </c>
      <c r="M14" s="204">
        <v>2024</v>
      </c>
    </row>
    <row r="15" spans="1:15" ht="15.75" thickBot="1" x14ac:dyDescent="0.3">
      <c r="A15" s="1"/>
      <c r="B15" s="574"/>
      <c r="C15" s="96" t="s">
        <v>124</v>
      </c>
      <c r="D15" s="97" t="s">
        <v>131</v>
      </c>
      <c r="E15" s="98">
        <f>K11</f>
        <v>16778584.655999999</v>
      </c>
      <c r="F15" s="98">
        <f>L11</f>
        <v>18678081.659600001</v>
      </c>
      <c r="G15" s="98">
        <f>M11</f>
        <v>21934362.237200003</v>
      </c>
      <c r="H15" s="1"/>
      <c r="I15" s="1"/>
      <c r="J15" s="1"/>
      <c r="K15" s="84">
        <f>Amortizaciones!$K$14</f>
        <v>306398.33333333331</v>
      </c>
      <c r="L15" s="84">
        <f>Amortizaciones!$L$14</f>
        <v>367678</v>
      </c>
      <c r="M15" s="84">
        <f>Amortizaciones!$M$14</f>
        <v>428957.66666666669</v>
      </c>
    </row>
    <row r="16" spans="1:15" ht="15.75" thickBot="1" x14ac:dyDescent="0.3">
      <c r="A16" s="1"/>
      <c r="B16" s="566" t="s">
        <v>143</v>
      </c>
      <c r="C16" s="460"/>
      <c r="D16" s="99" t="s">
        <v>131</v>
      </c>
      <c r="E16" s="100">
        <f>E12-E13-E14-E15</f>
        <v>307015.34400000051</v>
      </c>
      <c r="F16" s="100">
        <f>F12-F13-F14-F15</f>
        <v>23095518.340399999</v>
      </c>
      <c r="G16" s="101">
        <f>G12-G13-G14-G15</f>
        <v>40753237.762799993</v>
      </c>
      <c r="H16" s="1"/>
      <c r="I16" s="1"/>
      <c r="J16" s="1"/>
      <c r="K16" s="1"/>
      <c r="L16" s="1"/>
      <c r="M16" s="1"/>
    </row>
    <row r="17" spans="1:13" ht="27" thickBot="1" x14ac:dyDescent="0.45">
      <c r="A17" s="1"/>
      <c r="B17" s="575" t="s">
        <v>144</v>
      </c>
      <c r="C17" s="571"/>
      <c r="D17" s="93" t="s">
        <v>131</v>
      </c>
      <c r="E17" s="94">
        <f>E12*0.03</f>
        <v>655200</v>
      </c>
      <c r="F17" s="94">
        <f>F12*0.03</f>
        <v>1418880</v>
      </c>
      <c r="G17" s="102">
        <f t="shared" ref="G17" si="1">G12*0.03</f>
        <v>2069340</v>
      </c>
      <c r="H17" s="1"/>
      <c r="I17" s="1"/>
      <c r="J17" s="521" t="s">
        <v>126</v>
      </c>
      <c r="K17" s="434"/>
      <c r="L17" s="434"/>
      <c r="M17" s="435"/>
    </row>
    <row r="18" spans="1:13" ht="15" x14ac:dyDescent="0.25">
      <c r="A18" s="1"/>
      <c r="B18" s="576" t="s">
        <v>145</v>
      </c>
      <c r="C18" s="422"/>
      <c r="D18" s="95"/>
      <c r="E18" s="87">
        <f>E16-E17-K15</f>
        <v>-654582.98933333275</v>
      </c>
      <c r="F18" s="87">
        <f>F16-F17-L15</f>
        <v>21308960.340399999</v>
      </c>
      <c r="G18" s="89">
        <f>G16-G17-M15</f>
        <v>38254940.096133329</v>
      </c>
      <c r="H18" s="1"/>
      <c r="I18" s="1"/>
      <c r="J18" s="317" t="s">
        <v>127</v>
      </c>
      <c r="K18" s="318">
        <v>2022</v>
      </c>
      <c r="L18" s="318">
        <v>2023</v>
      </c>
      <c r="M18" s="319">
        <v>2024</v>
      </c>
    </row>
    <row r="19" spans="1:13" ht="15.75" thickBot="1" x14ac:dyDescent="0.3">
      <c r="A19" s="1"/>
      <c r="B19" s="577" t="s">
        <v>146</v>
      </c>
      <c r="C19" s="578"/>
      <c r="D19" s="97" t="s">
        <v>131</v>
      </c>
      <c r="E19" s="98">
        <v>0</v>
      </c>
      <c r="F19" s="90">
        <f>(E16-E17)*0.35</f>
        <v>-121864.62959999981</v>
      </c>
      <c r="G19" s="90">
        <f>(F16-F17)*0.35</f>
        <v>7586823.419139999</v>
      </c>
      <c r="H19" s="1"/>
      <c r="I19" s="1"/>
      <c r="J19" s="84">
        <f>'Mod. inversión'!$G$5</f>
        <v>8315395</v>
      </c>
      <c r="K19" s="85">
        <f>'Mod. inversión'!$H$5</f>
        <v>396200</v>
      </c>
      <c r="L19" s="85">
        <f>'Mod. inversión'!$I$5</f>
        <v>630039</v>
      </c>
      <c r="M19" s="86">
        <f>'Mod. inversión'!J5</f>
        <v>680039</v>
      </c>
    </row>
    <row r="20" spans="1:13" ht="15.75" thickBot="1" x14ac:dyDescent="0.3">
      <c r="A20" s="1"/>
      <c r="B20" s="566" t="s">
        <v>147</v>
      </c>
      <c r="C20" s="460"/>
      <c r="D20" s="99" t="s">
        <v>131</v>
      </c>
      <c r="E20" s="100">
        <f>E16-E17-E19</f>
        <v>-348184.65599999949</v>
      </c>
      <c r="F20" s="100">
        <f>F16-F17-F19</f>
        <v>21798502.969999999</v>
      </c>
      <c r="G20" s="101">
        <f>G16-G17-G19</f>
        <v>31097074.343659993</v>
      </c>
      <c r="H20" s="1"/>
      <c r="I20" s="1"/>
      <c r="J20" s="1"/>
      <c r="K20" s="1"/>
      <c r="L20" s="1"/>
      <c r="M20" s="1"/>
    </row>
    <row r="21" spans="1:13" ht="15.75" thickBot="1" x14ac:dyDescent="0.3">
      <c r="A21" s="1"/>
      <c r="B21" s="567" t="s">
        <v>148</v>
      </c>
      <c r="C21" s="568"/>
      <c r="D21" s="103">
        <f t="shared" ref="D21:G21" si="2">-J19</f>
        <v>-8315395</v>
      </c>
      <c r="E21" s="104">
        <f t="shared" si="2"/>
        <v>-396200</v>
      </c>
      <c r="F21" s="104">
        <f t="shared" si="2"/>
        <v>-630039</v>
      </c>
      <c r="G21" s="105">
        <f t="shared" si="2"/>
        <v>-680039</v>
      </c>
      <c r="H21" s="1"/>
      <c r="I21" s="1"/>
      <c r="J21" s="1"/>
      <c r="K21" s="1"/>
      <c r="L21" s="1"/>
      <c r="M21" s="1"/>
    </row>
    <row r="22" spans="1:13" ht="15.75" thickBot="1" x14ac:dyDescent="0.3">
      <c r="A22" s="1"/>
      <c r="B22" s="566" t="s">
        <v>149</v>
      </c>
      <c r="C22" s="460"/>
      <c r="D22" s="106">
        <f>D21</f>
        <v>-8315395</v>
      </c>
      <c r="E22" s="100">
        <f t="shared" ref="E22:F22" si="3">E20+E21</f>
        <v>-744384.65599999949</v>
      </c>
      <c r="F22" s="100">
        <f t="shared" si="3"/>
        <v>21168463.969999999</v>
      </c>
      <c r="G22" s="101">
        <f>G20+G21</f>
        <v>30417035.343659993</v>
      </c>
      <c r="H22" s="1"/>
      <c r="I22" s="1"/>
      <c r="J22" s="132"/>
      <c r="K22" s="132"/>
      <c r="L22" s="132"/>
      <c r="M22" s="1"/>
    </row>
    <row r="23" spans="1:13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32"/>
      <c r="K23" s="132"/>
      <c r="L23" s="132"/>
      <c r="M23" s="1"/>
    </row>
    <row r="24" spans="1:13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32"/>
      <c r="K24" s="132"/>
      <c r="L24" s="132"/>
      <c r="M24" s="1"/>
    </row>
    <row r="25" spans="1:13" ht="15.75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32"/>
      <c r="K25" s="132"/>
      <c r="L25" s="132"/>
      <c r="M25" s="1"/>
    </row>
    <row r="26" spans="1:13" ht="15" x14ac:dyDescent="0.25">
      <c r="A26" s="1"/>
      <c r="B26" s="1"/>
      <c r="C26" s="1"/>
      <c r="D26" s="1"/>
      <c r="E26" s="1"/>
      <c r="F26" s="107" t="s">
        <v>150</v>
      </c>
      <c r="G26" s="108">
        <v>1.1000000000000001</v>
      </c>
      <c r="H26" s="1"/>
      <c r="I26" s="1"/>
      <c r="J26" s="1"/>
      <c r="K26" s="1"/>
      <c r="L26" s="1"/>
      <c r="M26" s="1"/>
    </row>
    <row r="27" spans="1:13" ht="15" x14ac:dyDescent="0.25">
      <c r="A27" s="1"/>
      <c r="B27" s="1"/>
      <c r="C27" s="1"/>
      <c r="D27" s="1"/>
      <c r="E27" s="1"/>
      <c r="F27" s="109" t="s">
        <v>151</v>
      </c>
      <c r="G27" s="110">
        <f>NPV(G26,D22:G22)</f>
        <v>-278731.58546593325</v>
      </c>
      <c r="H27" s="1"/>
      <c r="I27" s="1"/>
      <c r="J27" s="1"/>
      <c r="K27" s="1"/>
      <c r="L27" s="1"/>
      <c r="M27" s="1"/>
    </row>
    <row r="28" spans="1:13" ht="15.75" thickBot="1" x14ac:dyDescent="0.3">
      <c r="A28" s="1"/>
      <c r="B28" s="1"/>
      <c r="C28" s="1"/>
      <c r="D28" s="1"/>
      <c r="E28" s="1"/>
      <c r="F28" s="111" t="s">
        <v>152</v>
      </c>
      <c r="G28" s="112">
        <f>IRR(D22:G22,G26)</f>
        <v>1.0389251453712598</v>
      </c>
      <c r="H28" s="1"/>
      <c r="I28" s="1"/>
    </row>
  </sheetData>
  <mergeCells count="23">
    <mergeCell ref="J17:M17"/>
    <mergeCell ref="B19:C19"/>
    <mergeCell ref="B20:C20"/>
    <mergeCell ref="B21:C21"/>
    <mergeCell ref="B22:C22"/>
    <mergeCell ref="K13:M13"/>
    <mergeCell ref="O3:O5"/>
    <mergeCell ref="O7:O9"/>
    <mergeCell ref="O11:O12"/>
    <mergeCell ref="K3:M3"/>
    <mergeCell ref="K8:M8"/>
    <mergeCell ref="B16:C16"/>
    <mergeCell ref="B17:C17"/>
    <mergeCell ref="B18:C18"/>
    <mergeCell ref="B10:G10"/>
    <mergeCell ref="B11:C11"/>
    <mergeCell ref="B12:C12"/>
    <mergeCell ref="B13:B15"/>
    <mergeCell ref="C13:C14"/>
    <mergeCell ref="D13:D14"/>
    <mergeCell ref="E13:E14"/>
    <mergeCell ref="F13:F14"/>
    <mergeCell ref="G13:G1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CEA0D-D02E-4A87-AD07-4C24F62DF44F}">
  <dimension ref="A2:O28"/>
  <sheetViews>
    <sheetView workbookViewId="0">
      <selection activeCell="H16" sqref="H16"/>
    </sheetView>
  </sheetViews>
  <sheetFormatPr baseColWidth="10" defaultColWidth="9" defaultRowHeight="14.25" x14ac:dyDescent="0.2"/>
  <cols>
    <col min="2" max="2" width="6.75" bestFit="1" customWidth="1"/>
    <col min="3" max="3" width="25.375" customWidth="1"/>
    <col min="4" max="4" width="13.125" bestFit="1" customWidth="1"/>
    <col min="5" max="7" width="12.375" bestFit="1" customWidth="1"/>
    <col min="10" max="10" width="13.5" bestFit="1" customWidth="1"/>
    <col min="11" max="13" width="12.375" bestFit="1" customWidth="1"/>
    <col min="15" max="15" width="70.375" bestFit="1" customWidth="1"/>
  </cols>
  <sheetData>
    <row r="2" spans="1:15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5" ht="27" thickBot="1" x14ac:dyDescent="0.45">
      <c r="A3" s="1"/>
      <c r="B3" s="1"/>
      <c r="C3" s="1"/>
      <c r="D3" s="1"/>
      <c r="E3" s="1"/>
      <c r="F3" s="1"/>
      <c r="G3" s="1"/>
      <c r="H3" s="47"/>
      <c r="I3" s="1"/>
      <c r="J3" s="1"/>
      <c r="K3" s="521" t="s">
        <v>37</v>
      </c>
      <c r="L3" s="434"/>
      <c r="M3" s="435"/>
      <c r="O3" s="594" t="s">
        <v>176</v>
      </c>
    </row>
    <row r="4" spans="1:15" ht="15" x14ac:dyDescent="0.25">
      <c r="A4" s="1"/>
      <c r="B4" s="1"/>
      <c r="C4" s="1"/>
      <c r="D4" s="1"/>
      <c r="E4" s="1"/>
      <c r="F4" s="1"/>
      <c r="G4" s="1"/>
      <c r="H4" s="64"/>
      <c r="I4" s="1"/>
      <c r="J4" s="1"/>
      <c r="K4" s="204">
        <v>2022</v>
      </c>
      <c r="L4" s="204">
        <v>2023</v>
      </c>
      <c r="M4" s="204">
        <v>2024</v>
      </c>
      <c r="O4" s="595"/>
    </row>
    <row r="5" spans="1:15" ht="15.75" thickBot="1" x14ac:dyDescent="0.3">
      <c r="A5" s="1"/>
      <c r="B5" s="1"/>
      <c r="C5" s="1"/>
      <c r="D5" s="1"/>
      <c r="E5" s="1"/>
      <c r="F5" s="1"/>
      <c r="G5" s="1"/>
      <c r="H5" s="73"/>
      <c r="I5" s="1"/>
      <c r="J5" s="1"/>
      <c r="K5" s="82">
        <f>Hipótesis!$C$25</f>
        <v>0.1</v>
      </c>
      <c r="L5" s="82">
        <f>Hipótesis!$C$26</f>
        <v>0.2</v>
      </c>
      <c r="M5" s="82">
        <f>Hipótesis!$C$27</f>
        <v>0.3</v>
      </c>
      <c r="O5" s="596"/>
    </row>
    <row r="6" spans="1:15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65">
        <f>Hipótesis!$D$25</f>
        <v>29160000</v>
      </c>
      <c r="L6" s="65">
        <f>Hipótesis!$D$26</f>
        <v>58320000</v>
      </c>
      <c r="M6" s="65">
        <f>Hipótesis!$D$27</f>
        <v>87480000</v>
      </c>
      <c r="O6" s="228" t="s">
        <v>155</v>
      </c>
    </row>
    <row r="7" spans="1:15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O7" s="597" t="s">
        <v>177</v>
      </c>
    </row>
    <row r="8" spans="1:15" ht="27" thickBot="1" x14ac:dyDescent="0.45">
      <c r="A8" s="1"/>
      <c r="B8" s="1"/>
      <c r="C8" s="1"/>
      <c r="D8" s="1"/>
      <c r="E8" s="1"/>
      <c r="F8" s="1"/>
      <c r="G8" s="1"/>
      <c r="H8" s="47"/>
      <c r="I8" s="1"/>
      <c r="J8" s="1"/>
      <c r="K8" s="521" t="s">
        <v>138</v>
      </c>
      <c r="L8" s="434"/>
      <c r="M8" s="435"/>
      <c r="O8" s="595"/>
    </row>
    <row r="9" spans="1:15" ht="15.75" thickBot="1" x14ac:dyDescent="0.3">
      <c r="A9" s="1"/>
      <c r="B9" s="1"/>
      <c r="C9" s="1"/>
      <c r="D9" s="1"/>
      <c r="E9" s="1"/>
      <c r="F9" s="1"/>
      <c r="G9" s="1"/>
      <c r="H9" s="64"/>
      <c r="I9" s="1"/>
      <c r="J9" s="1"/>
      <c r="K9" s="204">
        <v>2022</v>
      </c>
      <c r="L9" s="204">
        <v>2023</v>
      </c>
      <c r="M9" s="204">
        <v>2024</v>
      </c>
      <c r="O9" s="596"/>
    </row>
    <row r="10" spans="1:15" ht="27" thickBot="1" x14ac:dyDescent="0.45">
      <c r="A10" s="1"/>
      <c r="B10" s="521" t="s">
        <v>137</v>
      </c>
      <c r="C10" s="434"/>
      <c r="D10" s="434"/>
      <c r="E10" s="434"/>
      <c r="F10" s="434"/>
      <c r="G10" s="435"/>
      <c r="H10" s="73"/>
      <c r="I10" s="1"/>
      <c r="J10" s="347" t="s">
        <v>139</v>
      </c>
      <c r="K10" s="91">
        <f>'Costos fijos'!$G$5</f>
        <v>4754400</v>
      </c>
      <c r="L10" s="65">
        <f>'Costos fijos'!$H$5</f>
        <v>5522400</v>
      </c>
      <c r="M10" s="92">
        <f>'Costos fijos'!$I$5</f>
        <v>6290400</v>
      </c>
      <c r="O10" s="228" t="s">
        <v>156</v>
      </c>
    </row>
    <row r="11" spans="1:15" ht="15.75" thickBot="1" x14ac:dyDescent="0.3">
      <c r="A11" s="1"/>
      <c r="B11" s="569" t="s">
        <v>140</v>
      </c>
      <c r="C11" s="435"/>
      <c r="D11" s="348" t="s">
        <v>141</v>
      </c>
      <c r="E11" s="349">
        <v>2022</v>
      </c>
      <c r="F11" s="349">
        <v>2023</v>
      </c>
      <c r="G11" s="350">
        <v>2024</v>
      </c>
      <c r="H11" s="1"/>
      <c r="I11" s="1"/>
      <c r="J11" s="347" t="s">
        <v>124</v>
      </c>
      <c r="K11" s="27">
        <f>'Costos RRHH'!$H$6</f>
        <v>16778584.655999999</v>
      </c>
      <c r="L11" s="28">
        <f>'Costos RRHH'!$I$6</f>
        <v>18678081.659600001</v>
      </c>
      <c r="M11" s="29">
        <f>'Costos RRHH'!$J$6</f>
        <v>21934362.237200003</v>
      </c>
      <c r="O11" s="594" t="s">
        <v>270</v>
      </c>
    </row>
    <row r="12" spans="1:15" ht="15.75" thickBot="1" x14ac:dyDescent="0.3">
      <c r="A12" s="1"/>
      <c r="B12" s="611" t="s">
        <v>53</v>
      </c>
      <c r="C12" s="608"/>
      <c r="D12" s="146" t="s">
        <v>131</v>
      </c>
      <c r="E12" s="147">
        <f>+'Mod. ingresos'!C20</f>
        <v>21840000</v>
      </c>
      <c r="F12" s="154">
        <f>+'Mod. ingresos'!D20*0.9</f>
        <v>53208000</v>
      </c>
      <c r="G12" s="154">
        <f>+'Mod. ingresos'!E20*0.8</f>
        <v>78832000</v>
      </c>
      <c r="H12" s="1"/>
      <c r="I12" s="1"/>
      <c r="J12" s="1"/>
      <c r="K12" s="1"/>
      <c r="L12" s="1"/>
      <c r="M12" s="1"/>
      <c r="O12" s="633"/>
    </row>
    <row r="13" spans="1:15" ht="27" thickBot="1" x14ac:dyDescent="0.45">
      <c r="A13" s="1"/>
      <c r="B13" s="604" t="s">
        <v>142</v>
      </c>
      <c r="C13" s="629" t="s">
        <v>139</v>
      </c>
      <c r="D13" s="623" t="s">
        <v>131</v>
      </c>
      <c r="E13" s="625">
        <f>K10</f>
        <v>4754400</v>
      </c>
      <c r="F13" s="625">
        <f>L10</f>
        <v>5522400</v>
      </c>
      <c r="G13" s="627">
        <f t="shared" ref="G13" si="0">M10</f>
        <v>6290400</v>
      </c>
      <c r="H13" s="1"/>
      <c r="I13" s="1"/>
      <c r="J13" s="1"/>
      <c r="K13" s="521" t="s">
        <v>18</v>
      </c>
      <c r="L13" s="434"/>
      <c r="M13" s="435"/>
    </row>
    <row r="14" spans="1:15" ht="15" x14ac:dyDescent="0.25">
      <c r="A14" s="1"/>
      <c r="B14" s="605"/>
      <c r="C14" s="630"/>
      <c r="D14" s="624"/>
      <c r="E14" s="626"/>
      <c r="F14" s="626"/>
      <c r="G14" s="628"/>
      <c r="H14" s="1"/>
      <c r="I14" s="1"/>
      <c r="J14" s="1"/>
      <c r="K14" s="204">
        <v>2022</v>
      </c>
      <c r="L14" s="204">
        <v>2023</v>
      </c>
      <c r="M14" s="204">
        <v>2024</v>
      </c>
    </row>
    <row r="15" spans="1:15" ht="15.75" thickBot="1" x14ac:dyDescent="0.3">
      <c r="A15" s="1"/>
      <c r="B15" s="606"/>
      <c r="C15" s="140" t="s">
        <v>124</v>
      </c>
      <c r="D15" s="141" t="s">
        <v>131</v>
      </c>
      <c r="E15" s="142">
        <f>K11</f>
        <v>16778584.655999999</v>
      </c>
      <c r="F15" s="142">
        <f>L11</f>
        <v>18678081.659600001</v>
      </c>
      <c r="G15" s="142">
        <f>M11</f>
        <v>21934362.237200003</v>
      </c>
      <c r="H15" s="1"/>
      <c r="I15" s="1"/>
      <c r="J15" s="1"/>
      <c r="K15" s="84">
        <f>Amortizaciones!$K$14</f>
        <v>306398.33333333331</v>
      </c>
      <c r="L15" s="84">
        <f>Amortizaciones!$L$14</f>
        <v>367678</v>
      </c>
      <c r="M15" s="84">
        <f>Amortizaciones!$M$14</f>
        <v>428957.66666666669</v>
      </c>
    </row>
    <row r="16" spans="1:15" ht="15.75" thickBot="1" x14ac:dyDescent="0.3">
      <c r="A16" s="1"/>
      <c r="B16" s="566" t="s">
        <v>143</v>
      </c>
      <c r="C16" s="631"/>
      <c r="D16" s="99" t="s">
        <v>131</v>
      </c>
      <c r="E16" s="100">
        <f>E12-E13-E14-E15</f>
        <v>307015.34400000051</v>
      </c>
      <c r="F16" s="100">
        <f>F12-F13-F14-F15</f>
        <v>29007518.340399999</v>
      </c>
      <c r="G16" s="101">
        <f>G12-G13-G14-G15</f>
        <v>50607237.762799993</v>
      </c>
      <c r="H16" s="1"/>
      <c r="I16" s="1"/>
      <c r="J16" s="1"/>
      <c r="K16" s="1"/>
      <c r="L16" s="1"/>
      <c r="M16" s="1"/>
    </row>
    <row r="17" spans="1:13" ht="27" thickBot="1" x14ac:dyDescent="0.45">
      <c r="A17" s="1"/>
      <c r="B17" s="607" t="s">
        <v>144</v>
      </c>
      <c r="C17" s="608"/>
      <c r="D17" s="146" t="s">
        <v>131</v>
      </c>
      <c r="E17" s="147">
        <f>E12*0.03</f>
        <v>655200</v>
      </c>
      <c r="F17" s="147">
        <f>F12*0.03</f>
        <v>1596240</v>
      </c>
      <c r="G17" s="148">
        <f t="shared" ref="G17" si="1">G12*0.03</f>
        <v>2364960</v>
      </c>
      <c r="H17" s="1"/>
      <c r="I17" s="1"/>
      <c r="J17" s="521" t="s">
        <v>126</v>
      </c>
      <c r="K17" s="434"/>
      <c r="L17" s="434"/>
      <c r="M17" s="435"/>
    </row>
    <row r="18" spans="1:13" ht="15" x14ac:dyDescent="0.25">
      <c r="A18" s="1"/>
      <c r="B18" s="609" t="s">
        <v>145</v>
      </c>
      <c r="C18" s="610"/>
      <c r="D18" s="137"/>
      <c r="E18" s="138">
        <f>E16-E17-K15</f>
        <v>-654582.98933333275</v>
      </c>
      <c r="F18" s="138">
        <f>F16-F17-L15</f>
        <v>27043600.340399999</v>
      </c>
      <c r="G18" s="139">
        <f>G16-G17-M15</f>
        <v>47813320.096133329</v>
      </c>
      <c r="H18" s="1"/>
      <c r="I18" s="1"/>
      <c r="J18" s="317" t="s">
        <v>127</v>
      </c>
      <c r="K18" s="318">
        <v>2022</v>
      </c>
      <c r="L18" s="318">
        <v>2023</v>
      </c>
      <c r="M18" s="319">
        <v>2024</v>
      </c>
    </row>
    <row r="19" spans="1:13" ht="15.75" thickBot="1" x14ac:dyDescent="0.3">
      <c r="A19" s="1"/>
      <c r="B19" s="598" t="s">
        <v>146</v>
      </c>
      <c r="C19" s="599"/>
      <c r="D19" s="141" t="s">
        <v>131</v>
      </c>
      <c r="E19" s="142">
        <v>0</v>
      </c>
      <c r="F19" s="149">
        <f>(E16-E17)*0.35</f>
        <v>-121864.62959999981</v>
      </c>
      <c r="G19" s="149">
        <f>(F16-F17)*0.35</f>
        <v>9593947.4191399999</v>
      </c>
      <c r="H19" s="1"/>
      <c r="I19" s="1"/>
      <c r="J19" s="84">
        <f>'Mod. inversión'!$G$5</f>
        <v>8315395</v>
      </c>
      <c r="K19" s="85">
        <f>'Mod. inversión'!$H$5</f>
        <v>396200</v>
      </c>
      <c r="L19" s="85">
        <f>'Mod. inversión'!$I$5</f>
        <v>630039</v>
      </c>
      <c r="M19" s="86">
        <f>'Mod. inversión'!J5</f>
        <v>680039</v>
      </c>
    </row>
    <row r="20" spans="1:13" ht="15.75" thickBot="1" x14ac:dyDescent="0.3">
      <c r="A20" s="1"/>
      <c r="B20" s="566" t="s">
        <v>147</v>
      </c>
      <c r="C20" s="631"/>
      <c r="D20" s="99" t="s">
        <v>131</v>
      </c>
      <c r="E20" s="100">
        <f>E16-E17-E19</f>
        <v>-348184.65599999949</v>
      </c>
      <c r="F20" s="100">
        <f>F16-F17-F19</f>
        <v>27533142.969999999</v>
      </c>
      <c r="G20" s="101">
        <f>G16-G17-G19</f>
        <v>38648330.343659997</v>
      </c>
      <c r="H20" s="1"/>
      <c r="I20" s="1"/>
      <c r="J20" s="1"/>
      <c r="K20" s="1"/>
      <c r="L20" s="1"/>
      <c r="M20" s="1"/>
    </row>
    <row r="21" spans="1:13" ht="15.75" thickBot="1" x14ac:dyDescent="0.3">
      <c r="A21" s="1"/>
      <c r="B21" s="602" t="s">
        <v>148</v>
      </c>
      <c r="C21" s="603"/>
      <c r="D21" s="150">
        <f t="shared" ref="D21:G21" si="2">-J19</f>
        <v>-8315395</v>
      </c>
      <c r="E21" s="151">
        <f t="shared" si="2"/>
        <v>-396200</v>
      </c>
      <c r="F21" s="151">
        <f t="shared" si="2"/>
        <v>-630039</v>
      </c>
      <c r="G21" s="152">
        <f t="shared" si="2"/>
        <v>-680039</v>
      </c>
      <c r="H21" s="1"/>
      <c r="I21" s="1"/>
      <c r="J21" s="1"/>
      <c r="K21" s="1"/>
      <c r="L21" s="1"/>
      <c r="M21" s="1"/>
    </row>
    <row r="22" spans="1:13" ht="15.75" thickBot="1" x14ac:dyDescent="0.3">
      <c r="A22" s="1"/>
      <c r="B22" s="566" t="s">
        <v>149</v>
      </c>
      <c r="C22" s="631"/>
      <c r="D22" s="106">
        <f>D21</f>
        <v>-8315395</v>
      </c>
      <c r="E22" s="100">
        <f t="shared" ref="E22:F22" si="3">E20+E21</f>
        <v>-744384.65599999949</v>
      </c>
      <c r="F22" s="100">
        <f t="shared" si="3"/>
        <v>26903103.969999999</v>
      </c>
      <c r="G22" s="101">
        <f>G20+G21</f>
        <v>37968291.343659997</v>
      </c>
      <c r="H22" s="1"/>
      <c r="I22" s="1"/>
      <c r="J22" s="132"/>
      <c r="K22" s="132"/>
      <c r="L22" s="132"/>
      <c r="M22" s="1"/>
    </row>
    <row r="23" spans="1:13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32"/>
      <c r="K23" s="132"/>
      <c r="L23" s="132"/>
      <c r="M23" s="1"/>
    </row>
    <row r="24" spans="1:13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32"/>
      <c r="K24" s="132"/>
      <c r="L24" s="132"/>
      <c r="M24" s="1"/>
    </row>
    <row r="25" spans="1:13" ht="15.75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32"/>
      <c r="K25" s="132"/>
      <c r="L25" s="132"/>
      <c r="M25" s="1"/>
    </row>
    <row r="26" spans="1:13" ht="15" x14ac:dyDescent="0.25">
      <c r="A26" s="1"/>
      <c r="B26" s="1"/>
      <c r="C26" s="1"/>
      <c r="D26" s="1"/>
      <c r="E26" s="1"/>
      <c r="F26" s="107" t="s">
        <v>150</v>
      </c>
      <c r="G26" s="108">
        <v>1.1000000000000001</v>
      </c>
      <c r="H26" s="1"/>
      <c r="I26" s="1"/>
      <c r="J26" s="1"/>
      <c r="K26" s="1"/>
      <c r="L26" s="1"/>
      <c r="M26" s="1"/>
    </row>
    <row r="27" spans="1:13" ht="15" x14ac:dyDescent="0.25">
      <c r="A27" s="1"/>
      <c r="B27" s="1"/>
      <c r="C27" s="1"/>
      <c r="D27" s="1"/>
      <c r="E27" s="1"/>
      <c r="F27" s="109" t="s">
        <v>151</v>
      </c>
      <c r="G27" s="110">
        <f>NPV(G26,D22:G22)</f>
        <v>728770.43272607541</v>
      </c>
      <c r="H27" s="1"/>
      <c r="I27" s="1"/>
      <c r="J27" s="1"/>
      <c r="K27" s="1"/>
      <c r="L27" s="1"/>
      <c r="M27" s="1"/>
    </row>
    <row r="28" spans="1:13" ht="15.75" thickBot="1" x14ac:dyDescent="0.3">
      <c r="A28" s="1"/>
      <c r="B28" s="1"/>
      <c r="C28" s="1"/>
      <c r="D28" s="1"/>
      <c r="E28" s="1"/>
      <c r="F28" s="111" t="s">
        <v>152</v>
      </c>
      <c r="G28" s="112">
        <f>IRR(D22:G22,G26)</f>
        <v>1.2501390027707933</v>
      </c>
      <c r="H28" s="1"/>
      <c r="I28" s="1"/>
    </row>
  </sheetData>
  <mergeCells count="23">
    <mergeCell ref="B11:C11"/>
    <mergeCell ref="O11:O12"/>
    <mergeCell ref="B12:C12"/>
    <mergeCell ref="K3:M3"/>
    <mergeCell ref="O3:O5"/>
    <mergeCell ref="O7:O9"/>
    <mergeCell ref="K8:M8"/>
    <mergeCell ref="B10:G10"/>
    <mergeCell ref="K13:M13"/>
    <mergeCell ref="B16:C16"/>
    <mergeCell ref="B17:C17"/>
    <mergeCell ref="B18:C18"/>
    <mergeCell ref="J17:M17"/>
    <mergeCell ref="D13:D14"/>
    <mergeCell ref="E13:E14"/>
    <mergeCell ref="F13:F14"/>
    <mergeCell ref="G13:G14"/>
    <mergeCell ref="C13:C14"/>
    <mergeCell ref="B19:C19"/>
    <mergeCell ref="B20:C20"/>
    <mergeCell ref="B21:C21"/>
    <mergeCell ref="B22:C22"/>
    <mergeCell ref="B13:B1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F3627-A570-453F-832B-178E5762DF5F}">
  <dimension ref="B2:O28"/>
  <sheetViews>
    <sheetView workbookViewId="0">
      <selection activeCell="G15" sqref="G15"/>
    </sheetView>
  </sheetViews>
  <sheetFormatPr baseColWidth="10" defaultColWidth="9" defaultRowHeight="14.25" x14ac:dyDescent="0.2"/>
  <cols>
    <col min="3" max="3" width="23.5" customWidth="1"/>
    <col min="4" max="4" width="13.125" bestFit="1" customWidth="1"/>
    <col min="5" max="7" width="12.375" bestFit="1" customWidth="1"/>
    <col min="10" max="10" width="13.5" bestFit="1" customWidth="1"/>
    <col min="11" max="13" width="12.375" bestFit="1" customWidth="1"/>
    <col min="15" max="15" width="89.625" bestFit="1" customWidth="1"/>
  </cols>
  <sheetData>
    <row r="2" spans="2:15" ht="15.75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2:15" ht="27" thickBot="1" x14ac:dyDescent="0.45">
      <c r="B3" s="1"/>
      <c r="C3" s="1"/>
      <c r="D3" s="1"/>
      <c r="E3" s="1"/>
      <c r="F3" s="1"/>
      <c r="G3" s="1"/>
      <c r="H3" s="47"/>
      <c r="I3" s="1"/>
      <c r="J3" s="1"/>
      <c r="K3" s="521" t="s">
        <v>37</v>
      </c>
      <c r="L3" s="434"/>
      <c r="M3" s="435"/>
      <c r="O3" s="594" t="s">
        <v>178</v>
      </c>
    </row>
    <row r="4" spans="2:15" ht="15" x14ac:dyDescent="0.25">
      <c r="B4" s="1"/>
      <c r="C4" s="1"/>
      <c r="D4" s="1"/>
      <c r="E4" s="1"/>
      <c r="F4" s="1"/>
      <c r="G4" s="1"/>
      <c r="H4" s="64"/>
      <c r="I4" s="1"/>
      <c r="J4" s="1"/>
      <c r="K4" s="318">
        <v>2022</v>
      </c>
      <c r="L4" s="318">
        <v>2023</v>
      </c>
      <c r="M4" s="319">
        <v>2024</v>
      </c>
      <c r="O4" s="595"/>
    </row>
    <row r="5" spans="2:15" ht="15.75" thickBot="1" x14ac:dyDescent="0.3">
      <c r="B5" s="1"/>
      <c r="C5" s="1"/>
      <c r="D5" s="1"/>
      <c r="E5" s="1"/>
      <c r="F5" s="1"/>
      <c r="G5" s="1"/>
      <c r="H5" s="73"/>
      <c r="I5" s="1"/>
      <c r="J5" s="1"/>
      <c r="K5" s="82">
        <f>Hipótesis!$C$25</f>
        <v>0.1</v>
      </c>
      <c r="L5" s="82">
        <f>Hipótesis!$C$26</f>
        <v>0.2</v>
      </c>
      <c r="M5" s="82">
        <f>Hipótesis!$C$27</f>
        <v>0.3</v>
      </c>
      <c r="O5" s="596"/>
    </row>
    <row r="6" spans="2:15" ht="15.75" thickBot="1" x14ac:dyDescent="0.3">
      <c r="B6" s="1"/>
      <c r="C6" s="1"/>
      <c r="D6" s="1"/>
      <c r="E6" s="1"/>
      <c r="F6" s="1"/>
      <c r="G6" s="1"/>
      <c r="H6" s="1"/>
      <c r="I6" s="1"/>
      <c r="J6" s="1"/>
      <c r="K6" s="65">
        <f>Hipótesis!$D$25</f>
        <v>29160000</v>
      </c>
      <c r="L6" s="65">
        <f>Hipótesis!$D$26</f>
        <v>58320000</v>
      </c>
      <c r="M6" s="65">
        <f>Hipótesis!$D$27</f>
        <v>87480000</v>
      </c>
      <c r="O6" s="228" t="s">
        <v>155</v>
      </c>
    </row>
    <row r="7" spans="2:15" ht="15.75" thickBot="1" x14ac:dyDescent="0.3"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O7" s="597" t="s">
        <v>179</v>
      </c>
    </row>
    <row r="8" spans="2:15" ht="27" thickBot="1" x14ac:dyDescent="0.45">
      <c r="B8" s="1"/>
      <c r="C8" s="1"/>
      <c r="D8" s="1"/>
      <c r="E8" s="1"/>
      <c r="F8" s="1"/>
      <c r="G8" s="1"/>
      <c r="H8" s="47"/>
      <c r="I8" s="1"/>
      <c r="J8" s="1"/>
      <c r="K8" s="521" t="s">
        <v>138</v>
      </c>
      <c r="L8" s="434"/>
      <c r="M8" s="435"/>
      <c r="O8" s="595"/>
    </row>
    <row r="9" spans="2:15" ht="15.75" thickBot="1" x14ac:dyDescent="0.3">
      <c r="B9" s="1"/>
      <c r="C9" s="1"/>
      <c r="D9" s="1"/>
      <c r="E9" s="1"/>
      <c r="F9" s="1"/>
      <c r="G9" s="1"/>
      <c r="H9" s="64"/>
      <c r="I9" s="1"/>
      <c r="J9" s="1"/>
      <c r="K9" s="318">
        <v>2022</v>
      </c>
      <c r="L9" s="318">
        <v>2023</v>
      </c>
      <c r="M9" s="319">
        <v>2024</v>
      </c>
      <c r="O9" s="596"/>
    </row>
    <row r="10" spans="2:15" ht="27" thickBot="1" x14ac:dyDescent="0.45">
      <c r="B10" s="521" t="s">
        <v>137</v>
      </c>
      <c r="C10" s="434"/>
      <c r="D10" s="434"/>
      <c r="E10" s="434"/>
      <c r="F10" s="434"/>
      <c r="G10" s="435"/>
      <c r="H10" s="73"/>
      <c r="I10" s="1"/>
      <c r="J10" s="347" t="s">
        <v>139</v>
      </c>
      <c r="K10" s="91">
        <f>'Costos fijos'!$G$5</f>
        <v>4754400</v>
      </c>
      <c r="L10" s="65">
        <f>'Costos fijos'!$H$5</f>
        <v>5522400</v>
      </c>
      <c r="M10" s="92">
        <f>'Costos fijos'!$I$5</f>
        <v>6290400</v>
      </c>
      <c r="O10" s="228" t="s">
        <v>156</v>
      </c>
    </row>
    <row r="11" spans="2:15" ht="15.75" thickBot="1" x14ac:dyDescent="0.3">
      <c r="B11" s="569" t="s">
        <v>140</v>
      </c>
      <c r="C11" s="435"/>
      <c r="D11" s="348" t="s">
        <v>141</v>
      </c>
      <c r="E11" s="349">
        <v>2022</v>
      </c>
      <c r="F11" s="349">
        <v>2023</v>
      </c>
      <c r="G11" s="350">
        <v>2024</v>
      </c>
      <c r="H11" s="1"/>
      <c r="I11" s="1"/>
      <c r="J11" s="347" t="s">
        <v>124</v>
      </c>
      <c r="K11" s="27">
        <f>'Costos RRHH'!$H$6</f>
        <v>16778584.655999999</v>
      </c>
      <c r="L11" s="28">
        <f>'Costos RRHH'!$I$6</f>
        <v>18678081.659600001</v>
      </c>
      <c r="M11" s="29">
        <f>'Costos RRHH'!$J$6</f>
        <v>21934362.237200003</v>
      </c>
      <c r="O11" s="594" t="s">
        <v>271</v>
      </c>
    </row>
    <row r="12" spans="2:15" ht="15.75" thickBot="1" x14ac:dyDescent="0.3">
      <c r="B12" s="611" t="s">
        <v>53</v>
      </c>
      <c r="C12" s="608"/>
      <c r="D12" s="146" t="s">
        <v>131</v>
      </c>
      <c r="E12" s="147">
        <f>+'Mod. ingresos'!C20</f>
        <v>21840000</v>
      </c>
      <c r="F12" s="154">
        <f>+'Mod. ingresos'!D20</f>
        <v>59120000</v>
      </c>
      <c r="G12" s="154">
        <f>+'Mod. ingresos'!E20</f>
        <v>98540000</v>
      </c>
      <c r="H12" s="1"/>
      <c r="I12" s="1"/>
      <c r="J12" s="1"/>
      <c r="K12" s="1"/>
      <c r="L12" s="1"/>
      <c r="M12" s="1"/>
      <c r="O12" s="633"/>
    </row>
    <row r="13" spans="2:15" ht="27" thickBot="1" x14ac:dyDescent="0.45">
      <c r="B13" s="604" t="s">
        <v>142</v>
      </c>
      <c r="C13" s="629" t="s">
        <v>139</v>
      </c>
      <c r="D13" s="623" t="s">
        <v>131</v>
      </c>
      <c r="E13" s="625">
        <f>K10</f>
        <v>4754400</v>
      </c>
      <c r="F13" s="625">
        <f>L10 * 1.2</f>
        <v>6626880</v>
      </c>
      <c r="G13" s="627">
        <f>M10 * 1.4</f>
        <v>8806560</v>
      </c>
      <c r="H13" s="1"/>
      <c r="I13" s="1"/>
      <c r="J13" s="1"/>
      <c r="K13" s="521" t="s">
        <v>18</v>
      </c>
      <c r="L13" s="434"/>
      <c r="M13" s="435"/>
    </row>
    <row r="14" spans="2:15" ht="15" x14ac:dyDescent="0.25">
      <c r="B14" s="605"/>
      <c r="C14" s="630"/>
      <c r="D14" s="624"/>
      <c r="E14" s="626"/>
      <c r="F14" s="626"/>
      <c r="G14" s="628"/>
      <c r="H14" s="1"/>
      <c r="I14" s="1"/>
      <c r="J14" s="1"/>
      <c r="K14" s="318">
        <v>2022</v>
      </c>
      <c r="L14" s="318">
        <v>2023</v>
      </c>
      <c r="M14" s="319">
        <v>2024</v>
      </c>
    </row>
    <row r="15" spans="2:15" ht="15.75" thickBot="1" x14ac:dyDescent="0.3">
      <c r="B15" s="606"/>
      <c r="C15" s="140" t="s">
        <v>124</v>
      </c>
      <c r="D15" s="141" t="s">
        <v>131</v>
      </c>
      <c r="E15" s="142">
        <f>K11</f>
        <v>16778584.655999999</v>
      </c>
      <c r="F15" s="142">
        <f>L11</f>
        <v>18678081.659600001</v>
      </c>
      <c r="G15" s="142">
        <f>M11</f>
        <v>21934362.237200003</v>
      </c>
      <c r="H15" s="1"/>
      <c r="I15" s="1"/>
      <c r="J15" s="1"/>
      <c r="K15" s="84">
        <f>Amortizaciones!$K$14</f>
        <v>306398.33333333331</v>
      </c>
      <c r="L15" s="84">
        <f>Amortizaciones!$L$14</f>
        <v>367678</v>
      </c>
      <c r="M15" s="84">
        <f>Amortizaciones!$M$14</f>
        <v>428957.66666666669</v>
      </c>
    </row>
    <row r="16" spans="2:15" ht="15.75" thickBot="1" x14ac:dyDescent="0.3">
      <c r="B16" s="566" t="s">
        <v>143</v>
      </c>
      <c r="C16" s="631"/>
      <c r="D16" s="99" t="s">
        <v>131</v>
      </c>
      <c r="E16" s="100">
        <f>E12-E13-E14-E15</f>
        <v>307015.34400000051</v>
      </c>
      <c r="F16" s="100">
        <f>F12-F13-F14-F15</f>
        <v>33815038.340399995</v>
      </c>
      <c r="G16" s="101">
        <f>G12-G13-G14-G15</f>
        <v>67799077.762799993</v>
      </c>
      <c r="H16" s="1"/>
      <c r="I16" s="1"/>
      <c r="J16" s="1"/>
      <c r="K16" s="1"/>
      <c r="L16" s="1"/>
      <c r="M16" s="1"/>
    </row>
    <row r="17" spans="2:13" ht="27" thickBot="1" x14ac:dyDescent="0.45">
      <c r="B17" s="607" t="s">
        <v>144</v>
      </c>
      <c r="C17" s="608"/>
      <c r="D17" s="146" t="s">
        <v>131</v>
      </c>
      <c r="E17" s="147">
        <f>E12*0.03</f>
        <v>655200</v>
      </c>
      <c r="F17" s="147">
        <f>F12*0.03</f>
        <v>1773600</v>
      </c>
      <c r="G17" s="148">
        <f t="shared" ref="G17" si="0">G12*0.03</f>
        <v>2956200</v>
      </c>
      <c r="H17" s="1"/>
      <c r="I17" s="1"/>
      <c r="J17" s="521" t="s">
        <v>126</v>
      </c>
      <c r="K17" s="434"/>
      <c r="L17" s="434"/>
      <c r="M17" s="435"/>
    </row>
    <row r="18" spans="2:13" ht="15" x14ac:dyDescent="0.25">
      <c r="B18" s="609" t="s">
        <v>145</v>
      </c>
      <c r="C18" s="610"/>
      <c r="D18" s="137"/>
      <c r="E18" s="138">
        <f>E16-E17-K15</f>
        <v>-654582.98933333275</v>
      </c>
      <c r="F18" s="138">
        <f>F16-F17-L15</f>
        <v>31673760.340399995</v>
      </c>
      <c r="G18" s="139">
        <f>G16-G17-M15</f>
        <v>64413920.096133329</v>
      </c>
      <c r="H18" s="1"/>
      <c r="I18" s="1"/>
      <c r="J18" s="317" t="s">
        <v>127</v>
      </c>
      <c r="K18" s="318">
        <v>2022</v>
      </c>
      <c r="L18" s="318">
        <v>2023</v>
      </c>
      <c r="M18" s="319">
        <v>2024</v>
      </c>
    </row>
    <row r="19" spans="2:13" ht="15.75" thickBot="1" x14ac:dyDescent="0.3">
      <c r="B19" s="598" t="s">
        <v>146</v>
      </c>
      <c r="C19" s="599"/>
      <c r="D19" s="141" t="s">
        <v>131</v>
      </c>
      <c r="E19" s="142">
        <v>0</v>
      </c>
      <c r="F19" s="149">
        <f>(E16-E17)*0.35</f>
        <v>-121864.62959999981</v>
      </c>
      <c r="G19" s="149">
        <f>(F16-F17)*0.35</f>
        <v>11214503.419139998</v>
      </c>
      <c r="H19" s="1"/>
      <c r="I19" s="1"/>
      <c r="J19" s="84">
        <f>'Mod. inversión'!$G$5</f>
        <v>8315395</v>
      </c>
      <c r="K19" s="85">
        <f>'Mod. inversión'!$H$5</f>
        <v>396200</v>
      </c>
      <c r="L19" s="85">
        <f>'Mod. inversión'!$I$5</f>
        <v>630039</v>
      </c>
      <c r="M19" s="86">
        <f>'Mod. inversión'!J5</f>
        <v>680039</v>
      </c>
    </row>
    <row r="20" spans="2:13" ht="15.75" thickBot="1" x14ac:dyDescent="0.3">
      <c r="B20" s="566" t="s">
        <v>147</v>
      </c>
      <c r="C20" s="631"/>
      <c r="D20" s="99" t="s">
        <v>131</v>
      </c>
      <c r="E20" s="100">
        <f>E16-E17-E19</f>
        <v>-348184.65599999949</v>
      </c>
      <c r="F20" s="100">
        <f>F16-F17-F19</f>
        <v>32163302.969999995</v>
      </c>
      <c r="G20" s="101">
        <f>G16-G17-G19</f>
        <v>53628374.343659997</v>
      </c>
      <c r="H20" s="1"/>
      <c r="I20" s="1"/>
      <c r="J20" s="1"/>
      <c r="K20" s="1"/>
      <c r="L20" s="1"/>
      <c r="M20" s="1"/>
    </row>
    <row r="21" spans="2:13" ht="15.75" thickBot="1" x14ac:dyDescent="0.3">
      <c r="B21" s="602" t="s">
        <v>148</v>
      </c>
      <c r="C21" s="603"/>
      <c r="D21" s="150">
        <f t="shared" ref="D21:G21" si="1">-J19</f>
        <v>-8315395</v>
      </c>
      <c r="E21" s="151">
        <f t="shared" si="1"/>
        <v>-396200</v>
      </c>
      <c r="F21" s="151">
        <f t="shared" si="1"/>
        <v>-630039</v>
      </c>
      <c r="G21" s="152">
        <f t="shared" si="1"/>
        <v>-680039</v>
      </c>
      <c r="H21" s="1"/>
      <c r="I21" s="1"/>
      <c r="J21" s="1"/>
      <c r="K21" s="1"/>
      <c r="L21" s="1"/>
      <c r="M21" s="1"/>
    </row>
    <row r="22" spans="2:13" ht="15.75" thickBot="1" x14ac:dyDescent="0.3">
      <c r="B22" s="566" t="s">
        <v>149</v>
      </c>
      <c r="C22" s="631"/>
      <c r="D22" s="106">
        <f>D21</f>
        <v>-8315395</v>
      </c>
      <c r="E22" s="100">
        <f t="shared" ref="E22:F22" si="2">E20+E21</f>
        <v>-744384.65599999949</v>
      </c>
      <c r="F22" s="100">
        <f t="shared" si="2"/>
        <v>31533263.969999995</v>
      </c>
      <c r="G22" s="101">
        <f>G20+G21</f>
        <v>52948335.343659997</v>
      </c>
      <c r="H22" s="1"/>
      <c r="I22" s="1"/>
      <c r="J22" s="132"/>
      <c r="K22" s="132"/>
      <c r="L22" s="132"/>
      <c r="M22" s="1"/>
    </row>
    <row r="23" spans="2:13" ht="15" x14ac:dyDescent="0.25">
      <c r="B23" s="1"/>
      <c r="C23" s="1"/>
      <c r="D23" s="1"/>
      <c r="E23" s="1"/>
      <c r="F23" s="1"/>
      <c r="G23" s="1"/>
      <c r="H23" s="1"/>
      <c r="I23" s="1"/>
      <c r="J23" s="132"/>
      <c r="K23" s="132"/>
      <c r="L23" s="132"/>
      <c r="M23" s="1"/>
    </row>
    <row r="24" spans="2:13" ht="15" x14ac:dyDescent="0.25">
      <c r="B24" s="1"/>
      <c r="C24" s="1"/>
      <c r="D24" s="1"/>
      <c r="E24" s="1"/>
      <c r="F24" s="1"/>
      <c r="G24" s="1"/>
      <c r="H24" s="1"/>
      <c r="I24" s="1"/>
      <c r="J24" s="132"/>
      <c r="K24" s="132"/>
      <c r="L24" s="132"/>
      <c r="M24" s="1"/>
    </row>
    <row r="25" spans="2:13" ht="15.75" thickBot="1" x14ac:dyDescent="0.3">
      <c r="B25" s="1"/>
      <c r="C25" s="1"/>
      <c r="D25" s="1"/>
      <c r="E25" s="1"/>
      <c r="F25" s="1"/>
      <c r="G25" s="1"/>
      <c r="H25" s="1"/>
      <c r="I25" s="1"/>
      <c r="J25" s="132"/>
      <c r="K25" s="132"/>
      <c r="L25" s="132"/>
      <c r="M25" s="1"/>
    </row>
    <row r="26" spans="2:13" ht="15" x14ac:dyDescent="0.25">
      <c r="B26" s="1"/>
      <c r="C26" s="1"/>
      <c r="D26" s="1"/>
      <c r="E26" s="1"/>
      <c r="F26" s="107" t="s">
        <v>150</v>
      </c>
      <c r="G26" s="108">
        <v>1.1000000000000001</v>
      </c>
      <c r="H26" s="1"/>
      <c r="I26" s="1"/>
      <c r="J26" s="1"/>
      <c r="K26" s="1"/>
      <c r="L26" s="1"/>
      <c r="M26" s="1"/>
    </row>
    <row r="27" spans="2:13" ht="15" x14ac:dyDescent="0.25">
      <c r="B27" s="1"/>
      <c r="C27" s="1"/>
      <c r="D27" s="1"/>
      <c r="E27" s="1"/>
      <c r="F27" s="109" t="s">
        <v>151</v>
      </c>
      <c r="G27" s="110">
        <f>NPV(G26,D22:G22)</f>
        <v>1998991.1740838424</v>
      </c>
      <c r="H27" s="1"/>
      <c r="I27" s="1"/>
      <c r="J27" s="1"/>
      <c r="K27" s="1"/>
      <c r="L27" s="1"/>
      <c r="M27" s="1"/>
    </row>
    <row r="28" spans="2:13" ht="15.75" thickBot="1" x14ac:dyDescent="0.3">
      <c r="B28" s="1"/>
      <c r="C28" s="1"/>
      <c r="D28" s="1"/>
      <c r="E28" s="1"/>
      <c r="F28" s="111" t="s">
        <v>152</v>
      </c>
      <c r="G28" s="112">
        <f>IRR(D22:G22,G26)</f>
        <v>1.4779109454165162</v>
      </c>
      <c r="H28" s="1"/>
      <c r="I28" s="1"/>
    </row>
  </sheetData>
  <mergeCells count="23">
    <mergeCell ref="B11:C11"/>
    <mergeCell ref="O11:O12"/>
    <mergeCell ref="B12:C12"/>
    <mergeCell ref="K3:M3"/>
    <mergeCell ref="O3:O5"/>
    <mergeCell ref="O7:O9"/>
    <mergeCell ref="K8:M8"/>
    <mergeCell ref="B10:G10"/>
    <mergeCell ref="K13:M13"/>
    <mergeCell ref="B16:C16"/>
    <mergeCell ref="B17:C17"/>
    <mergeCell ref="B18:C18"/>
    <mergeCell ref="J17:M17"/>
    <mergeCell ref="E13:E14"/>
    <mergeCell ref="F13:F14"/>
    <mergeCell ref="G13:G14"/>
    <mergeCell ref="C13:C14"/>
    <mergeCell ref="D13:D14"/>
    <mergeCell ref="B19:C19"/>
    <mergeCell ref="B20:C20"/>
    <mergeCell ref="B21:C21"/>
    <mergeCell ref="B22:C22"/>
    <mergeCell ref="B13:B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9E793-2082-4D11-B9FC-56832233A658}">
  <dimension ref="A2:O29"/>
  <sheetViews>
    <sheetView workbookViewId="0">
      <selection activeCell="B6" sqref="B6"/>
    </sheetView>
  </sheetViews>
  <sheetFormatPr baseColWidth="10" defaultColWidth="9" defaultRowHeight="14.25" x14ac:dyDescent="0.2"/>
  <cols>
    <col min="3" max="3" width="20" customWidth="1"/>
    <col min="4" max="4" width="13.125" bestFit="1" customWidth="1"/>
    <col min="5" max="6" width="12.375" bestFit="1" customWidth="1"/>
    <col min="7" max="7" width="13.25" bestFit="1" customWidth="1"/>
    <col min="10" max="10" width="13.5" bestFit="1" customWidth="1"/>
    <col min="11" max="13" width="12.375" bestFit="1" customWidth="1"/>
    <col min="15" max="15" width="89.625" bestFit="1" customWidth="1"/>
  </cols>
  <sheetData>
    <row r="2" spans="1:15" ht="15.75" thickBo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5" ht="27" thickBot="1" x14ac:dyDescent="0.45">
      <c r="A3" s="1"/>
      <c r="B3" s="1"/>
      <c r="C3" s="1"/>
      <c r="D3" s="1"/>
      <c r="E3" s="1"/>
      <c r="F3" s="1"/>
      <c r="G3" s="1"/>
      <c r="H3" s="47"/>
      <c r="I3" s="1"/>
      <c r="J3" s="1"/>
      <c r="K3" s="521" t="s">
        <v>37</v>
      </c>
      <c r="L3" s="434"/>
      <c r="M3" s="435"/>
      <c r="O3" s="594" t="s">
        <v>174</v>
      </c>
    </row>
    <row r="4" spans="1:15" ht="15" x14ac:dyDescent="0.25">
      <c r="A4" s="1"/>
      <c r="B4" s="1"/>
      <c r="C4" s="1"/>
      <c r="D4" s="1"/>
      <c r="E4" s="1"/>
      <c r="F4" s="1"/>
      <c r="G4" s="1"/>
      <c r="H4" s="64"/>
      <c r="I4" s="1"/>
      <c r="J4" s="1"/>
      <c r="K4" s="318">
        <v>2022</v>
      </c>
      <c r="L4" s="318">
        <v>2023</v>
      </c>
      <c r="M4" s="319">
        <v>2024</v>
      </c>
      <c r="O4" s="595"/>
    </row>
    <row r="5" spans="1:15" ht="15.75" thickBot="1" x14ac:dyDescent="0.3">
      <c r="A5" s="1"/>
      <c r="B5" s="634" t="s">
        <v>277</v>
      </c>
      <c r="C5" s="635"/>
      <c r="D5" s="636"/>
      <c r="E5" s="1"/>
      <c r="F5" s="1"/>
      <c r="G5" s="1"/>
      <c r="H5" s="73"/>
      <c r="I5" s="1"/>
      <c r="J5" s="1"/>
      <c r="K5" s="82">
        <f>Hipótesis!$C$25</f>
        <v>0.1</v>
      </c>
      <c r="L5" s="82">
        <f>Hipótesis!$C$26</f>
        <v>0.2</v>
      </c>
      <c r="M5" s="82">
        <f>Hipótesis!$C$27</f>
        <v>0.3</v>
      </c>
      <c r="O5" s="596"/>
    </row>
    <row r="6" spans="1:15" ht="15.75" thickBo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65">
        <f>Hipótesis!$D$25</f>
        <v>29160000</v>
      </c>
      <c r="L6" s="65">
        <f>Hipótesis!$D$26</f>
        <v>58320000</v>
      </c>
      <c r="M6" s="65">
        <f>Hipótesis!$D$27</f>
        <v>87480000</v>
      </c>
      <c r="O6" s="228" t="s">
        <v>155</v>
      </c>
    </row>
    <row r="7" spans="1:15" ht="15.75" thickBo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O7" s="597" t="s">
        <v>173</v>
      </c>
    </row>
    <row r="8" spans="1:15" ht="27" thickBot="1" x14ac:dyDescent="0.45">
      <c r="A8" s="1"/>
      <c r="B8" s="1"/>
      <c r="C8" s="1"/>
      <c r="D8" s="1"/>
      <c r="E8" s="1"/>
      <c r="F8" s="1"/>
      <c r="G8" s="1"/>
      <c r="H8" s="47"/>
      <c r="I8" s="1"/>
      <c r="J8" s="1"/>
      <c r="K8" s="521" t="s">
        <v>138</v>
      </c>
      <c r="L8" s="434"/>
      <c r="M8" s="435"/>
      <c r="O8" s="595"/>
    </row>
    <row r="9" spans="1:15" ht="15.75" thickBot="1" x14ac:dyDescent="0.3">
      <c r="A9" s="1"/>
      <c r="B9" s="1"/>
      <c r="C9" s="1"/>
      <c r="D9" s="1"/>
      <c r="E9" s="1"/>
      <c r="F9" s="1"/>
      <c r="G9" s="1"/>
      <c r="H9" s="64"/>
      <c r="I9" s="1"/>
      <c r="J9" s="1"/>
      <c r="K9" s="318">
        <v>2022</v>
      </c>
      <c r="L9" s="318">
        <v>2023</v>
      </c>
      <c r="M9" s="319">
        <v>2024</v>
      </c>
      <c r="O9" s="596"/>
    </row>
    <row r="10" spans="1:15" ht="27" thickBot="1" x14ac:dyDescent="0.45">
      <c r="A10" s="1"/>
      <c r="B10" s="521" t="s">
        <v>137</v>
      </c>
      <c r="C10" s="434"/>
      <c r="D10" s="434"/>
      <c r="E10" s="434"/>
      <c r="F10" s="434"/>
      <c r="G10" s="435"/>
      <c r="H10" s="73"/>
      <c r="I10" s="1"/>
      <c r="J10" s="347" t="s">
        <v>139</v>
      </c>
      <c r="K10" s="91">
        <f>'Costos fijos'!$G$5</f>
        <v>4754400</v>
      </c>
      <c r="L10" s="65">
        <f>'Costos fijos'!$H$5</f>
        <v>5522400</v>
      </c>
      <c r="M10" s="92">
        <f>'Costos fijos'!$I$5</f>
        <v>6290400</v>
      </c>
      <c r="O10" s="228" t="s">
        <v>156</v>
      </c>
    </row>
    <row r="11" spans="1:15" ht="15.75" thickBot="1" x14ac:dyDescent="0.3">
      <c r="A11" s="1"/>
      <c r="B11" s="569" t="s">
        <v>140</v>
      </c>
      <c r="C11" s="435"/>
      <c r="D11" s="348" t="s">
        <v>141</v>
      </c>
      <c r="E11" s="318">
        <v>2022</v>
      </c>
      <c r="F11" s="318">
        <v>2023</v>
      </c>
      <c r="G11" s="319">
        <v>2024</v>
      </c>
      <c r="H11" s="1"/>
      <c r="I11" s="1"/>
      <c r="J11" s="347" t="s">
        <v>124</v>
      </c>
      <c r="K11" s="27">
        <f>'Costos RRHH'!$H$6</f>
        <v>16778584.655999999</v>
      </c>
      <c r="L11" s="28">
        <f>'Costos RRHH'!$I$6</f>
        <v>18678081.659600001</v>
      </c>
      <c r="M11" s="29">
        <f>'Costos RRHH'!$J$6</f>
        <v>21934362.237200003</v>
      </c>
      <c r="O11" s="594" t="s">
        <v>273</v>
      </c>
    </row>
    <row r="12" spans="1:15" ht="15.75" thickBot="1" x14ac:dyDescent="0.3">
      <c r="A12" s="1"/>
      <c r="B12" s="570" t="s">
        <v>53</v>
      </c>
      <c r="C12" s="571"/>
      <c r="D12" s="93" t="s">
        <v>131</v>
      </c>
      <c r="E12" s="94">
        <f>+'Mod. ingresos'!C20</f>
        <v>21840000</v>
      </c>
      <c r="F12" s="154">
        <f>+'Mod. ingresos'!D20*0.8</f>
        <v>47296000</v>
      </c>
      <c r="G12" s="154">
        <f>+'Mod. ingresos'!E20*0.7</f>
        <v>68978000</v>
      </c>
      <c r="H12" s="1"/>
      <c r="I12" s="1"/>
      <c r="J12" s="1"/>
      <c r="K12" s="1"/>
      <c r="L12" s="1"/>
      <c r="M12" s="1"/>
      <c r="O12" s="633"/>
    </row>
    <row r="13" spans="1:15" ht="27" thickBot="1" x14ac:dyDescent="0.45">
      <c r="A13" s="1"/>
      <c r="B13" s="604" t="s">
        <v>142</v>
      </c>
      <c r="C13" s="629" t="s">
        <v>139</v>
      </c>
      <c r="D13" s="623" t="s">
        <v>131</v>
      </c>
      <c r="E13" s="625">
        <f>K10</f>
        <v>4754400</v>
      </c>
      <c r="F13" s="625">
        <f>L10</f>
        <v>5522400</v>
      </c>
      <c r="G13" s="625">
        <f t="shared" ref="G13" si="0">M10</f>
        <v>6290400</v>
      </c>
      <c r="H13" s="1"/>
      <c r="I13" s="1"/>
      <c r="J13" s="1"/>
      <c r="K13" s="521" t="s">
        <v>18</v>
      </c>
      <c r="L13" s="434"/>
      <c r="M13" s="435"/>
    </row>
    <row r="14" spans="1:15" ht="15" x14ac:dyDescent="0.25">
      <c r="A14" s="1"/>
      <c r="B14" s="605"/>
      <c r="C14" s="630"/>
      <c r="D14" s="624"/>
      <c r="E14" s="626"/>
      <c r="F14" s="626"/>
      <c r="G14" s="626"/>
      <c r="H14" s="1"/>
      <c r="I14" s="1"/>
      <c r="J14" s="1"/>
      <c r="K14" s="318">
        <v>2022</v>
      </c>
      <c r="L14" s="318">
        <v>2023</v>
      </c>
      <c r="M14" s="319">
        <v>2024</v>
      </c>
      <c r="O14" s="617" t="s">
        <v>159</v>
      </c>
    </row>
    <row r="15" spans="1:15" ht="15.75" thickBot="1" x14ac:dyDescent="0.3">
      <c r="A15" s="1"/>
      <c r="B15" s="606"/>
      <c r="C15" s="140" t="s">
        <v>124</v>
      </c>
      <c r="D15" s="141" t="s">
        <v>131</v>
      </c>
      <c r="E15" s="142">
        <f>K11</f>
        <v>16778584.655999999</v>
      </c>
      <c r="F15" s="155">
        <f>K11</f>
        <v>16778584.655999999</v>
      </c>
      <c r="G15" s="155">
        <f>K11</f>
        <v>16778584.655999999</v>
      </c>
      <c r="H15" s="1"/>
      <c r="I15" s="1"/>
      <c r="J15" s="1"/>
      <c r="K15" s="84">
        <f>Amortizaciones!$K$14</f>
        <v>306398.33333333331</v>
      </c>
      <c r="L15" s="84">
        <f>Amortizaciones!$L$14</f>
        <v>367678</v>
      </c>
      <c r="M15" s="84">
        <f>Amortizaciones!$M$14</f>
        <v>428957.66666666669</v>
      </c>
      <c r="O15" s="616" t="s">
        <v>276</v>
      </c>
    </row>
    <row r="16" spans="1:15" ht="15.75" thickBot="1" x14ac:dyDescent="0.3">
      <c r="A16" s="1"/>
      <c r="B16" s="600" t="s">
        <v>143</v>
      </c>
      <c r="C16" s="601"/>
      <c r="D16" s="143" t="s">
        <v>131</v>
      </c>
      <c r="E16" s="144">
        <f>E12-E13-E14-E15</f>
        <v>307015.34400000051</v>
      </c>
      <c r="F16" s="144">
        <f>F12-F13-F14-F15</f>
        <v>24995015.344000001</v>
      </c>
      <c r="G16" s="145">
        <f>G12-G13-G14-G15</f>
        <v>45909015.343999997</v>
      </c>
      <c r="H16" s="1"/>
      <c r="I16" s="1"/>
      <c r="J16" s="1"/>
      <c r="K16" s="1"/>
      <c r="L16" s="1"/>
      <c r="M16" s="1"/>
      <c r="O16" s="614"/>
    </row>
    <row r="17" spans="1:15" ht="27" thickBot="1" x14ac:dyDescent="0.45">
      <c r="A17" s="1"/>
      <c r="B17" s="607" t="s">
        <v>144</v>
      </c>
      <c r="C17" s="608"/>
      <c r="D17" s="146" t="s">
        <v>131</v>
      </c>
      <c r="E17" s="147">
        <f>E12*0.03</f>
        <v>655200</v>
      </c>
      <c r="F17" s="147">
        <f>F12*0.03</f>
        <v>1418880</v>
      </c>
      <c r="G17" s="148">
        <f t="shared" ref="G17" si="1">G12*0.03</f>
        <v>2069340</v>
      </c>
      <c r="H17" s="1"/>
      <c r="I17" s="1"/>
      <c r="J17" s="521" t="s">
        <v>126</v>
      </c>
      <c r="K17" s="434"/>
      <c r="L17" s="434"/>
      <c r="M17" s="435"/>
      <c r="O17" s="614"/>
    </row>
    <row r="18" spans="1:15" ht="15" x14ac:dyDescent="0.25">
      <c r="A18" s="1"/>
      <c r="B18" s="609" t="s">
        <v>145</v>
      </c>
      <c r="C18" s="610"/>
      <c r="D18" s="137"/>
      <c r="E18" s="138">
        <f>E16-E17-K15</f>
        <v>-654582.98933333275</v>
      </c>
      <c r="F18" s="138">
        <f>F16-F17-L15</f>
        <v>23208457.344000001</v>
      </c>
      <c r="G18" s="139">
        <f>G16-G17-M15</f>
        <v>43410717.677333333</v>
      </c>
      <c r="H18" s="1"/>
      <c r="I18" s="1"/>
      <c r="J18" s="317" t="s">
        <v>127</v>
      </c>
      <c r="K18" s="318">
        <v>2022</v>
      </c>
      <c r="L18" s="318">
        <v>2023</v>
      </c>
      <c r="M18" s="319">
        <v>2024</v>
      </c>
      <c r="O18" s="614"/>
    </row>
    <row r="19" spans="1:15" ht="15.75" thickBot="1" x14ac:dyDescent="0.3">
      <c r="A19" s="1"/>
      <c r="B19" s="598" t="s">
        <v>146</v>
      </c>
      <c r="C19" s="599"/>
      <c r="D19" s="141" t="s">
        <v>131</v>
      </c>
      <c r="E19" s="142">
        <v>0</v>
      </c>
      <c r="F19" s="149">
        <f>(E16-E17)*0.35</f>
        <v>-121864.62959999981</v>
      </c>
      <c r="G19" s="149">
        <f>(F16-F17)*0.35</f>
        <v>8251647.3703999994</v>
      </c>
      <c r="H19" s="1"/>
      <c r="I19" s="1"/>
      <c r="J19" s="84">
        <f>'Mod. inversión'!$G$5</f>
        <v>8315395</v>
      </c>
      <c r="K19" s="85">
        <f>'Mod. inversión'!$H$5</f>
        <v>396200</v>
      </c>
      <c r="L19" s="85">
        <f>'Mod. inversión'!$I$5</f>
        <v>630039</v>
      </c>
      <c r="M19" s="86">
        <f>'Mod. inversión'!J5</f>
        <v>680039</v>
      </c>
      <c r="O19" s="614"/>
    </row>
    <row r="20" spans="1:15" ht="15.75" thickBot="1" x14ac:dyDescent="0.3">
      <c r="A20" s="1"/>
      <c r="B20" s="600" t="s">
        <v>147</v>
      </c>
      <c r="C20" s="601"/>
      <c r="D20" s="143" t="s">
        <v>131</v>
      </c>
      <c r="E20" s="144">
        <f>E16-E17-E19</f>
        <v>-348184.65599999949</v>
      </c>
      <c r="F20" s="144">
        <f>F16-F17-F19</f>
        <v>23697999.9736</v>
      </c>
      <c r="G20" s="145">
        <f>G16-G17-G19</f>
        <v>35588027.9736</v>
      </c>
      <c r="H20" s="1"/>
      <c r="I20" s="1"/>
      <c r="J20" s="1"/>
      <c r="K20" s="1"/>
      <c r="L20" s="1"/>
      <c r="M20" s="1"/>
      <c r="O20" s="614"/>
    </row>
    <row r="21" spans="1:15" ht="15.75" thickBot="1" x14ac:dyDescent="0.3">
      <c r="A21" s="1"/>
      <c r="B21" s="602" t="s">
        <v>148</v>
      </c>
      <c r="C21" s="603"/>
      <c r="D21" s="150">
        <f t="shared" ref="D21:G21" si="2">-J19</f>
        <v>-8315395</v>
      </c>
      <c r="E21" s="151">
        <f t="shared" si="2"/>
        <v>-396200</v>
      </c>
      <c r="F21" s="151">
        <f t="shared" si="2"/>
        <v>-630039</v>
      </c>
      <c r="G21" s="152">
        <f t="shared" si="2"/>
        <v>-680039</v>
      </c>
      <c r="H21" s="1"/>
      <c r="I21" s="1"/>
      <c r="J21" s="1"/>
      <c r="K21" s="1"/>
      <c r="L21" s="1"/>
      <c r="M21" s="1"/>
      <c r="O21" s="614"/>
    </row>
    <row r="22" spans="1:15" ht="15.75" thickBot="1" x14ac:dyDescent="0.3">
      <c r="A22" s="1"/>
      <c r="B22" s="600" t="s">
        <v>149</v>
      </c>
      <c r="C22" s="601"/>
      <c r="D22" s="153">
        <f>D21</f>
        <v>-8315395</v>
      </c>
      <c r="E22" s="144">
        <f t="shared" ref="E22:F22" si="3">E20+E21</f>
        <v>-744384.65599999949</v>
      </c>
      <c r="F22" s="144">
        <f t="shared" si="3"/>
        <v>23067960.9736</v>
      </c>
      <c r="G22" s="145">
        <f>G20+G21</f>
        <v>34907988.9736</v>
      </c>
      <c r="H22" s="1"/>
      <c r="I22" s="1"/>
      <c r="J22" s="132"/>
      <c r="K22" s="132"/>
      <c r="L22" s="132"/>
      <c r="M22" s="1"/>
      <c r="O22" s="614"/>
    </row>
    <row r="23" spans="1:15" ht="15" x14ac:dyDescent="0.25">
      <c r="A23" s="1"/>
      <c r="B23" s="1"/>
      <c r="C23" s="1"/>
      <c r="D23" s="1"/>
      <c r="E23" s="1"/>
      <c r="F23" s="1"/>
      <c r="G23" s="1"/>
      <c r="H23" s="1"/>
      <c r="I23" s="1"/>
      <c r="J23" s="132"/>
      <c r="K23" s="132"/>
      <c r="L23" s="132"/>
      <c r="M23" s="1"/>
      <c r="O23" s="614"/>
    </row>
    <row r="24" spans="1:15" ht="15" x14ac:dyDescent="0.25">
      <c r="A24" s="1"/>
      <c r="B24" s="1"/>
      <c r="C24" s="1"/>
      <c r="D24" s="1"/>
      <c r="E24" s="1"/>
      <c r="F24" s="1"/>
      <c r="G24" s="1"/>
      <c r="H24" s="1"/>
      <c r="I24" s="1"/>
      <c r="J24" s="132"/>
      <c r="K24" s="132"/>
      <c r="L24" s="132"/>
      <c r="M24" s="1"/>
      <c r="O24" s="615"/>
    </row>
    <row r="25" spans="1:15" ht="15.75" thickBot="1" x14ac:dyDescent="0.3">
      <c r="A25" s="1"/>
      <c r="B25" s="1"/>
      <c r="C25" s="1"/>
      <c r="D25" s="1"/>
      <c r="E25" s="1"/>
      <c r="F25" s="1"/>
      <c r="G25" s="1"/>
      <c r="H25" s="1"/>
      <c r="I25" s="1"/>
      <c r="J25" s="132"/>
      <c r="K25" s="132"/>
      <c r="L25" s="132"/>
      <c r="M25" s="1"/>
      <c r="O25" s="156"/>
    </row>
    <row r="26" spans="1:15" ht="15" x14ac:dyDescent="0.25">
      <c r="A26" s="1"/>
      <c r="B26" s="1"/>
      <c r="C26" s="1"/>
      <c r="D26" s="1"/>
      <c r="E26" s="1"/>
      <c r="F26" s="107" t="s">
        <v>150</v>
      </c>
      <c r="G26" s="108">
        <v>1.1000000000000001</v>
      </c>
      <c r="H26" s="1"/>
      <c r="I26" s="1"/>
      <c r="J26" s="1"/>
      <c r="K26" s="1"/>
      <c r="L26" s="1"/>
      <c r="M26" s="1"/>
      <c r="O26" s="618" t="s">
        <v>93</v>
      </c>
    </row>
    <row r="27" spans="1:15" ht="15" x14ac:dyDescent="0.25">
      <c r="A27" s="1"/>
      <c r="B27" s="1"/>
      <c r="C27" s="1"/>
      <c r="D27" s="1"/>
      <c r="E27" s="1"/>
      <c r="F27" s="109" t="s">
        <v>151</v>
      </c>
      <c r="G27" s="110">
        <f>NPV(G26,D22:G22)</f>
        <v>157295.4473804638</v>
      </c>
      <c r="H27" s="1"/>
      <c r="I27" s="1"/>
      <c r="J27" s="1"/>
      <c r="K27" s="1"/>
      <c r="L27" s="1"/>
      <c r="M27" s="1"/>
      <c r="O27" s="632" t="s">
        <v>274</v>
      </c>
    </row>
    <row r="28" spans="1:15" ht="15.75" thickBot="1" x14ac:dyDescent="0.3">
      <c r="A28" s="1"/>
      <c r="B28" s="1"/>
      <c r="C28" s="1"/>
      <c r="D28" s="1"/>
      <c r="E28" s="1"/>
      <c r="F28" s="111" t="s">
        <v>152</v>
      </c>
      <c r="G28" s="112">
        <f>IRR(D22:G22,G26)</f>
        <v>1.1333053935991995</v>
      </c>
      <c r="H28" s="1"/>
      <c r="I28" s="1"/>
      <c r="O28" s="612"/>
    </row>
    <row r="29" spans="1:15" x14ac:dyDescent="0.2">
      <c r="O29" s="613"/>
    </row>
  </sheetData>
  <mergeCells count="26">
    <mergeCell ref="D13:D14"/>
    <mergeCell ref="B5:D5"/>
    <mergeCell ref="B11:C11"/>
    <mergeCell ref="O11:O12"/>
    <mergeCell ref="B12:C12"/>
    <mergeCell ref="K3:M3"/>
    <mergeCell ref="O3:O5"/>
    <mergeCell ref="O7:O9"/>
    <mergeCell ref="K8:M8"/>
    <mergeCell ref="B10:G10"/>
    <mergeCell ref="O27:O29"/>
    <mergeCell ref="B19:C19"/>
    <mergeCell ref="B20:C20"/>
    <mergeCell ref="B21:C21"/>
    <mergeCell ref="B22:C22"/>
    <mergeCell ref="O15:O24"/>
    <mergeCell ref="B13:B15"/>
    <mergeCell ref="K13:M13"/>
    <mergeCell ref="B16:C16"/>
    <mergeCell ref="B17:C17"/>
    <mergeCell ref="B18:C18"/>
    <mergeCell ref="J17:M17"/>
    <mergeCell ref="C13:C14"/>
    <mergeCell ref="E13:E14"/>
    <mergeCell ref="F13:F14"/>
    <mergeCell ref="G13:G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17</vt:i4>
      </vt:variant>
    </vt:vector>
  </HeadingPairs>
  <TitlesOfParts>
    <vt:vector size="17" baseType="lpstr">
      <vt:lpstr>Portada</vt:lpstr>
      <vt:lpstr>Indice</vt:lpstr>
      <vt:lpstr>Hipótesis</vt:lpstr>
      <vt:lpstr>Proy. ventas</vt:lpstr>
      <vt:lpstr>Anexo capacidad operativa</vt:lpstr>
      <vt:lpstr>Mod. ingresos</vt:lpstr>
      <vt:lpstr>Costos fijos</vt:lpstr>
      <vt:lpstr>Costos RRHH</vt:lpstr>
      <vt:lpstr>Mod. egresos</vt:lpstr>
      <vt:lpstr>Mod. inversión</vt:lpstr>
      <vt:lpstr>Amortizaciones</vt:lpstr>
      <vt:lpstr>Presupuesto financiero</vt:lpstr>
      <vt:lpstr>Matriz riesgo</vt:lpstr>
      <vt:lpstr>Mi Escenario 1</vt:lpstr>
      <vt:lpstr>Mi Escenario 2</vt:lpstr>
      <vt:lpstr>Mi Escenario 3</vt:lpstr>
      <vt:lpstr>Mi plan de contingencia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franco fazzito</dc:creator>
  <cp:lastModifiedBy>franco fazzito</cp:lastModifiedBy>
  <dcterms:created xsi:type="dcterms:W3CDTF">2022-09-25T03:41:55Z</dcterms:created>
  <dcterms:modified xsi:type="dcterms:W3CDTF">2022-09-26T18:09:09Z</dcterms:modified>
</cp:coreProperties>
</file>