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Excel\"/>
    </mc:Choice>
  </mc:AlternateContent>
  <xr:revisionPtr revIDLastSave="0" documentId="13_ncr:1_{8E0DD12B-6845-4F07-9B16-AA9D718C370C}" xr6:coauthVersionLast="47" xr6:coauthVersionMax="47" xr10:uidLastSave="{00000000-0000-0000-0000-000000000000}"/>
  <bookViews>
    <workbookView xWindow="-120" yWindow="-120" windowWidth="29040" windowHeight="15840" tabRatio="787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RRHH" sheetId="9" r:id="rId8"/>
    <sheet name="Mod. egresos" sheetId="10" r:id="rId9"/>
    <sheet name="Mod. inversión" sheetId="11" r:id="rId10"/>
    <sheet name="Amortizaciones" sheetId="12" r:id="rId11"/>
    <sheet name="Presupuesto financiero" sheetId="13" r:id="rId12"/>
    <sheet name="Matriz riesgo" sheetId="14" r:id="rId13"/>
    <sheet name="Hoja1" sheetId="24" r:id="rId14"/>
    <sheet name="Hoja2" sheetId="25" r:id="rId15"/>
    <sheet name="Hoja3" sheetId="26" r:id="rId16"/>
    <sheet name="Mi Escenario 1" sheetId="20" r:id="rId17"/>
    <sheet name="Mi Escenario 2" sheetId="21" r:id="rId18"/>
    <sheet name="Mi Escenario 3" sheetId="22" r:id="rId19"/>
    <sheet name="Mi plan de contingencia" sheetId="23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2" i="13" l="1"/>
  <c r="F32" i="13"/>
  <c r="D32" i="13"/>
  <c r="G13" i="13"/>
  <c r="M20" i="13"/>
  <c r="E21" i="13"/>
  <c r="F21" i="13"/>
  <c r="G21" i="13"/>
  <c r="E13" i="13"/>
  <c r="F13" i="13"/>
  <c r="L14" i="12"/>
  <c r="M14" i="12"/>
  <c r="K14" i="12"/>
  <c r="M13" i="12"/>
  <c r="M12" i="12"/>
  <c r="L12" i="12"/>
  <c r="J13" i="12"/>
  <c r="I12" i="12"/>
  <c r="L11" i="12"/>
  <c r="M11" i="12"/>
  <c r="I13" i="12"/>
  <c r="H12" i="12"/>
  <c r="E33" i="11"/>
  <c r="H5" i="11" s="1"/>
  <c r="J5" i="11"/>
  <c r="I5" i="11"/>
  <c r="D25" i="11"/>
  <c r="E25" i="11" s="1"/>
  <c r="D28" i="11"/>
  <c r="E28" i="11" s="1"/>
  <c r="D30" i="11"/>
  <c r="E30" i="11" s="1"/>
  <c r="D32" i="11"/>
  <c r="C32" i="11"/>
  <c r="B25" i="11"/>
  <c r="B26" i="11"/>
  <c r="B27" i="11"/>
  <c r="B30" i="11"/>
  <c r="B31" i="11"/>
  <c r="G12" i="12"/>
  <c r="H13" i="12"/>
  <c r="G13" i="12"/>
  <c r="E13" i="12"/>
  <c r="E12" i="12"/>
  <c r="E11" i="12"/>
  <c r="C58" i="11"/>
  <c r="C51" i="11"/>
  <c r="C52" i="11"/>
  <c r="C53" i="11"/>
  <c r="C54" i="11"/>
  <c r="C55" i="11"/>
  <c r="C56" i="11"/>
  <c r="C57" i="11"/>
  <c r="D59" i="11"/>
  <c r="C45" i="11"/>
  <c r="B46" i="11"/>
  <c r="B59" i="11" s="1"/>
  <c r="C20" i="11"/>
  <c r="E20" i="11" s="1"/>
  <c r="D15" i="11"/>
  <c r="E15" i="11" s="1"/>
  <c r="D16" i="11"/>
  <c r="E16" i="11" s="1"/>
  <c r="D17" i="11"/>
  <c r="E17" i="11" s="1"/>
  <c r="D18" i="11"/>
  <c r="E18" i="11" s="1"/>
  <c r="D14" i="11"/>
  <c r="E14" i="11" s="1"/>
  <c r="D12" i="11"/>
  <c r="E12" i="11" s="1"/>
  <c r="D13" i="11"/>
  <c r="E13" i="11" s="1"/>
  <c r="D11" i="11"/>
  <c r="E11" i="11" s="1"/>
  <c r="B11" i="11"/>
  <c r="B38" i="11" s="1"/>
  <c r="B51" i="11" s="1"/>
  <c r="B12" i="11"/>
  <c r="B39" i="11" s="1"/>
  <c r="B52" i="11" s="1"/>
  <c r="B13" i="11"/>
  <c r="B40" i="11" s="1"/>
  <c r="B53" i="11" s="1"/>
  <c r="B14" i="11"/>
  <c r="B41" i="11" s="1"/>
  <c r="B54" i="11" s="1"/>
  <c r="B15" i="11"/>
  <c r="B42" i="11" s="1"/>
  <c r="B55" i="11" s="1"/>
  <c r="B16" i="11"/>
  <c r="B43" i="11" s="1"/>
  <c r="B56" i="11" s="1"/>
  <c r="B17" i="11"/>
  <c r="B44" i="11" s="1"/>
  <c r="B57" i="11" s="1"/>
  <c r="B18" i="11"/>
  <c r="B45" i="11" s="1"/>
  <c r="B58" i="11" s="1"/>
  <c r="E19" i="11"/>
  <c r="C51" i="7"/>
  <c r="E13" i="7"/>
  <c r="C107" i="4"/>
  <c r="C75" i="4"/>
  <c r="C95" i="4"/>
  <c r="D95" i="4"/>
  <c r="C96" i="4"/>
  <c r="D96" i="4"/>
  <c r="C97" i="4"/>
  <c r="D97" i="4"/>
  <c r="C98" i="4"/>
  <c r="D98" i="4"/>
  <c r="C99" i="4"/>
  <c r="D99" i="4"/>
  <c r="C100" i="4"/>
  <c r="D100" i="4"/>
  <c r="C63" i="4"/>
  <c r="D63" i="4"/>
  <c r="C64" i="4"/>
  <c r="D64" i="4"/>
  <c r="C65" i="4"/>
  <c r="D65" i="4"/>
  <c r="C66" i="4"/>
  <c r="D66" i="4"/>
  <c r="C67" i="4"/>
  <c r="D67" i="4"/>
  <c r="C68" i="4"/>
  <c r="D68" i="4"/>
  <c r="C32" i="4"/>
  <c r="C43" i="4" s="1"/>
  <c r="D32" i="4"/>
  <c r="C33" i="4"/>
  <c r="D33" i="4"/>
  <c r="C34" i="4"/>
  <c r="D34" i="4"/>
  <c r="C35" i="4"/>
  <c r="D35" i="4"/>
  <c r="C36" i="4"/>
  <c r="D36" i="4"/>
  <c r="B83" i="4"/>
  <c r="P83" i="4" s="1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D44" i="7"/>
  <c r="E44" i="7"/>
  <c r="F44" i="7"/>
  <c r="G44" i="7"/>
  <c r="H44" i="7"/>
  <c r="I44" i="7"/>
  <c r="J44" i="7"/>
  <c r="K44" i="7"/>
  <c r="L44" i="7"/>
  <c r="M44" i="7"/>
  <c r="N44" i="7"/>
  <c r="O44" i="7"/>
  <c r="C63" i="9"/>
  <c r="C64" i="9"/>
  <c r="C65" i="9"/>
  <c r="C66" i="9"/>
  <c r="C67" i="9"/>
  <c r="C68" i="9"/>
  <c r="E63" i="9"/>
  <c r="G63" i="9"/>
  <c r="I63" i="9"/>
  <c r="K63" i="9"/>
  <c r="M63" i="9"/>
  <c r="O63" i="9"/>
  <c r="Q63" i="9"/>
  <c r="S63" i="9"/>
  <c r="U63" i="9"/>
  <c r="W63" i="9"/>
  <c r="Y63" i="9"/>
  <c r="E64" i="9"/>
  <c r="G64" i="9"/>
  <c r="I64" i="9"/>
  <c r="K64" i="9"/>
  <c r="M64" i="9"/>
  <c r="O64" i="9"/>
  <c r="Q64" i="9"/>
  <c r="S64" i="9"/>
  <c r="U64" i="9"/>
  <c r="W64" i="9"/>
  <c r="Y64" i="9"/>
  <c r="E65" i="9"/>
  <c r="G65" i="9"/>
  <c r="I65" i="9"/>
  <c r="K65" i="9"/>
  <c r="M65" i="9"/>
  <c r="O65" i="9"/>
  <c r="Q65" i="9"/>
  <c r="S65" i="9"/>
  <c r="U65" i="9"/>
  <c r="W65" i="9"/>
  <c r="Y65" i="9"/>
  <c r="E66" i="9"/>
  <c r="G66" i="9"/>
  <c r="I66" i="9"/>
  <c r="K66" i="9"/>
  <c r="M66" i="9"/>
  <c r="O66" i="9"/>
  <c r="Q66" i="9"/>
  <c r="S66" i="9"/>
  <c r="U66" i="9"/>
  <c r="W66" i="9"/>
  <c r="Y66" i="9"/>
  <c r="E67" i="9"/>
  <c r="G67" i="9"/>
  <c r="I67" i="9"/>
  <c r="K67" i="9"/>
  <c r="M67" i="9"/>
  <c r="O67" i="9"/>
  <c r="Q67" i="9"/>
  <c r="S67" i="9"/>
  <c r="U67" i="9"/>
  <c r="W67" i="9"/>
  <c r="Y67" i="9"/>
  <c r="E68" i="9"/>
  <c r="G68" i="9"/>
  <c r="I68" i="9"/>
  <c r="K68" i="9"/>
  <c r="M68" i="9"/>
  <c r="O68" i="9"/>
  <c r="Q68" i="9"/>
  <c r="S68" i="9"/>
  <c r="U68" i="9"/>
  <c r="W68" i="9"/>
  <c r="Y68" i="9"/>
  <c r="G50" i="9"/>
  <c r="I50" i="9"/>
  <c r="K50" i="9"/>
  <c r="M50" i="9"/>
  <c r="O50" i="9"/>
  <c r="Q50" i="9"/>
  <c r="S50" i="9"/>
  <c r="U50" i="9"/>
  <c r="W50" i="9"/>
  <c r="Y50" i="9"/>
  <c r="G51" i="9"/>
  <c r="I51" i="9"/>
  <c r="K51" i="9"/>
  <c r="M51" i="9"/>
  <c r="O51" i="9"/>
  <c r="Q51" i="9"/>
  <c r="S51" i="9"/>
  <c r="U51" i="9"/>
  <c r="W51" i="9"/>
  <c r="Y51" i="9"/>
  <c r="G52" i="9"/>
  <c r="I52" i="9"/>
  <c r="K52" i="9"/>
  <c r="M52" i="9"/>
  <c r="O52" i="9"/>
  <c r="Q52" i="9"/>
  <c r="S52" i="9"/>
  <c r="U52" i="9"/>
  <c r="W52" i="9"/>
  <c r="Y52" i="9"/>
  <c r="G53" i="9"/>
  <c r="I53" i="9"/>
  <c r="K53" i="9"/>
  <c r="M53" i="9"/>
  <c r="O53" i="9"/>
  <c r="Q53" i="9"/>
  <c r="S53" i="9"/>
  <c r="U53" i="9"/>
  <c r="W53" i="9"/>
  <c r="Y53" i="9"/>
  <c r="G54" i="9"/>
  <c r="I54" i="9"/>
  <c r="K54" i="9"/>
  <c r="M54" i="9"/>
  <c r="O54" i="9"/>
  <c r="Q54" i="9"/>
  <c r="S54" i="9"/>
  <c r="U54" i="9"/>
  <c r="W54" i="9"/>
  <c r="Y54" i="9"/>
  <c r="G55" i="9"/>
  <c r="I55" i="9"/>
  <c r="K55" i="9"/>
  <c r="M55" i="9"/>
  <c r="O55" i="9"/>
  <c r="Q55" i="9"/>
  <c r="S55" i="9"/>
  <c r="U55" i="9"/>
  <c r="W55" i="9"/>
  <c r="Y55" i="9"/>
  <c r="E50" i="9"/>
  <c r="E51" i="9"/>
  <c r="E52" i="9"/>
  <c r="E53" i="9"/>
  <c r="E54" i="9"/>
  <c r="E55" i="9"/>
  <c r="C50" i="9"/>
  <c r="C51" i="9"/>
  <c r="C52" i="9"/>
  <c r="C53" i="9"/>
  <c r="C54" i="9"/>
  <c r="C55" i="9"/>
  <c r="E36" i="9"/>
  <c r="G36" i="9"/>
  <c r="I36" i="9"/>
  <c r="K36" i="9"/>
  <c r="M36" i="9"/>
  <c r="O36" i="9"/>
  <c r="Q36" i="9"/>
  <c r="S36" i="9"/>
  <c r="U36" i="9"/>
  <c r="W36" i="9"/>
  <c r="Y36" i="9"/>
  <c r="E37" i="9"/>
  <c r="G37" i="9"/>
  <c r="I37" i="9"/>
  <c r="K37" i="9"/>
  <c r="M37" i="9"/>
  <c r="O37" i="9"/>
  <c r="Q37" i="9"/>
  <c r="S37" i="9"/>
  <c r="U37" i="9"/>
  <c r="W37" i="9"/>
  <c r="Y37" i="9"/>
  <c r="E38" i="9"/>
  <c r="G38" i="9"/>
  <c r="I38" i="9"/>
  <c r="K38" i="9"/>
  <c r="M38" i="9"/>
  <c r="O38" i="9"/>
  <c r="Q38" i="9"/>
  <c r="S38" i="9"/>
  <c r="U38" i="9"/>
  <c r="W38" i="9"/>
  <c r="Y38" i="9"/>
  <c r="E39" i="9"/>
  <c r="G39" i="9"/>
  <c r="I39" i="9"/>
  <c r="K39" i="9"/>
  <c r="M39" i="9"/>
  <c r="O39" i="9"/>
  <c r="Q39" i="9"/>
  <c r="S39" i="9"/>
  <c r="U39" i="9"/>
  <c r="W39" i="9"/>
  <c r="Y39" i="9"/>
  <c r="E40" i="9"/>
  <c r="G40" i="9"/>
  <c r="I40" i="9"/>
  <c r="K40" i="9"/>
  <c r="M40" i="9"/>
  <c r="O40" i="9"/>
  <c r="Q40" i="9"/>
  <c r="S40" i="9"/>
  <c r="U40" i="9"/>
  <c r="W40" i="9"/>
  <c r="Y40" i="9"/>
  <c r="B63" i="9"/>
  <c r="B64" i="9"/>
  <c r="B65" i="9"/>
  <c r="B66" i="9"/>
  <c r="B67" i="9"/>
  <c r="B68" i="9"/>
  <c r="B50" i="9"/>
  <c r="B51" i="9"/>
  <c r="B52" i="9"/>
  <c r="B53" i="9"/>
  <c r="B54" i="9"/>
  <c r="B55" i="9"/>
  <c r="C36" i="9"/>
  <c r="C37" i="9"/>
  <c r="C38" i="9"/>
  <c r="C39" i="9"/>
  <c r="C40" i="9"/>
  <c r="B36" i="9"/>
  <c r="B37" i="9"/>
  <c r="B38" i="9"/>
  <c r="B39" i="9"/>
  <c r="B40" i="9"/>
  <c r="C14" i="9"/>
  <c r="C18" i="9"/>
  <c r="C15" i="9"/>
  <c r="C16" i="9"/>
  <c r="C17" i="9"/>
  <c r="C19" i="9"/>
  <c r="E31" i="7"/>
  <c r="F31" i="7"/>
  <c r="G31" i="7"/>
  <c r="H31" i="7"/>
  <c r="I31" i="7"/>
  <c r="J31" i="7"/>
  <c r="K31" i="7"/>
  <c r="L31" i="7"/>
  <c r="M31" i="7"/>
  <c r="N31" i="7"/>
  <c r="O31" i="7"/>
  <c r="D31" i="7"/>
  <c r="O43" i="7"/>
  <c r="N43" i="7"/>
  <c r="M43" i="7"/>
  <c r="L43" i="7"/>
  <c r="K43" i="7"/>
  <c r="J43" i="7"/>
  <c r="I43" i="7"/>
  <c r="H43" i="7"/>
  <c r="G43" i="7"/>
  <c r="F43" i="7"/>
  <c r="E43" i="7"/>
  <c r="D43" i="7"/>
  <c r="O42" i="7"/>
  <c r="N42" i="7"/>
  <c r="M42" i="7"/>
  <c r="L42" i="7"/>
  <c r="K42" i="7"/>
  <c r="J42" i="7"/>
  <c r="I42" i="7"/>
  <c r="H42" i="7"/>
  <c r="G42" i="7"/>
  <c r="F42" i="7"/>
  <c r="E42" i="7"/>
  <c r="D42" i="7"/>
  <c r="O41" i="7"/>
  <c r="N41" i="7"/>
  <c r="M41" i="7"/>
  <c r="L41" i="7"/>
  <c r="K41" i="7"/>
  <c r="J41" i="7"/>
  <c r="I41" i="7"/>
  <c r="H41" i="7"/>
  <c r="G41" i="7"/>
  <c r="F41" i="7"/>
  <c r="E41" i="7"/>
  <c r="D41" i="7"/>
  <c r="O38" i="7"/>
  <c r="N38" i="7"/>
  <c r="M38" i="7"/>
  <c r="L38" i="7"/>
  <c r="K38" i="7"/>
  <c r="J38" i="7"/>
  <c r="I38" i="7"/>
  <c r="H38" i="7"/>
  <c r="G38" i="7"/>
  <c r="F38" i="7"/>
  <c r="E38" i="7"/>
  <c r="D38" i="7"/>
  <c r="O37" i="7"/>
  <c r="N37" i="7"/>
  <c r="M37" i="7"/>
  <c r="L37" i="7"/>
  <c r="K37" i="7"/>
  <c r="J37" i="7"/>
  <c r="I37" i="7"/>
  <c r="H37" i="7"/>
  <c r="G37" i="7"/>
  <c r="F37" i="7"/>
  <c r="E37" i="7"/>
  <c r="D37" i="7"/>
  <c r="E24" i="7"/>
  <c r="F24" i="7"/>
  <c r="G24" i="7"/>
  <c r="H24" i="7"/>
  <c r="I24" i="7"/>
  <c r="J24" i="7"/>
  <c r="K24" i="7"/>
  <c r="L24" i="7"/>
  <c r="M24" i="7"/>
  <c r="N24" i="7"/>
  <c r="O24" i="7"/>
  <c r="D24" i="7"/>
  <c r="O30" i="7"/>
  <c r="N30" i="7"/>
  <c r="M30" i="7"/>
  <c r="L30" i="7"/>
  <c r="K30" i="7"/>
  <c r="J30" i="7"/>
  <c r="I30" i="7"/>
  <c r="H30" i="7"/>
  <c r="G30" i="7"/>
  <c r="F30" i="7"/>
  <c r="E30" i="7"/>
  <c r="D30" i="7"/>
  <c r="O29" i="7"/>
  <c r="N29" i="7"/>
  <c r="M29" i="7"/>
  <c r="L29" i="7"/>
  <c r="K29" i="7"/>
  <c r="J29" i="7"/>
  <c r="I29" i="7"/>
  <c r="H29" i="7"/>
  <c r="G29" i="7"/>
  <c r="F29" i="7"/>
  <c r="E29" i="7"/>
  <c r="D29" i="7"/>
  <c r="O28" i="7"/>
  <c r="N28" i="7"/>
  <c r="M28" i="7"/>
  <c r="L28" i="7"/>
  <c r="K28" i="7"/>
  <c r="J28" i="7"/>
  <c r="I28" i="7"/>
  <c r="H28" i="7"/>
  <c r="G28" i="7"/>
  <c r="F28" i="7"/>
  <c r="E28" i="7"/>
  <c r="D28" i="7"/>
  <c r="O25" i="7"/>
  <c r="N25" i="7"/>
  <c r="M25" i="7"/>
  <c r="L25" i="7"/>
  <c r="K25" i="7"/>
  <c r="J25" i="7"/>
  <c r="I25" i="7"/>
  <c r="H25" i="7"/>
  <c r="G25" i="7"/>
  <c r="F25" i="7"/>
  <c r="E25" i="7"/>
  <c r="D25" i="7"/>
  <c r="E18" i="7"/>
  <c r="F18" i="7"/>
  <c r="G18" i="7"/>
  <c r="H18" i="7"/>
  <c r="I18" i="7"/>
  <c r="J18" i="7"/>
  <c r="K18" i="7"/>
  <c r="L18" i="7"/>
  <c r="M18" i="7"/>
  <c r="N18" i="7"/>
  <c r="O18" i="7"/>
  <c r="D18" i="7"/>
  <c r="E17" i="7"/>
  <c r="F17" i="7"/>
  <c r="G17" i="7"/>
  <c r="H17" i="7"/>
  <c r="I17" i="7"/>
  <c r="J17" i="7"/>
  <c r="K17" i="7"/>
  <c r="L17" i="7"/>
  <c r="M17" i="7"/>
  <c r="N17" i="7"/>
  <c r="O17" i="7"/>
  <c r="D17" i="7"/>
  <c r="E16" i="7"/>
  <c r="F16" i="7"/>
  <c r="G16" i="7"/>
  <c r="H16" i="7"/>
  <c r="I16" i="7"/>
  <c r="J16" i="7"/>
  <c r="K16" i="7"/>
  <c r="L16" i="7"/>
  <c r="M16" i="7"/>
  <c r="N16" i="7"/>
  <c r="O16" i="7"/>
  <c r="D16" i="7"/>
  <c r="E15" i="7"/>
  <c r="F15" i="7"/>
  <c r="G15" i="7"/>
  <c r="H15" i="7"/>
  <c r="I15" i="7"/>
  <c r="J15" i="7"/>
  <c r="K15" i="7"/>
  <c r="L15" i="7"/>
  <c r="M15" i="7"/>
  <c r="N15" i="7"/>
  <c r="O15" i="7"/>
  <c r="D15" i="7"/>
  <c r="G12" i="7"/>
  <c r="H12" i="7"/>
  <c r="I12" i="7"/>
  <c r="J12" i="7"/>
  <c r="K12" i="7"/>
  <c r="L12" i="7"/>
  <c r="M12" i="7"/>
  <c r="N12" i="7"/>
  <c r="O12" i="7"/>
  <c r="F12" i="7"/>
  <c r="E12" i="7"/>
  <c r="D12" i="7"/>
  <c r="M11" i="7"/>
  <c r="N11" i="7"/>
  <c r="O11" i="7"/>
  <c r="L11" i="7"/>
  <c r="K11" i="7"/>
  <c r="J11" i="7"/>
  <c r="I11" i="7"/>
  <c r="H11" i="7"/>
  <c r="G11" i="7"/>
  <c r="F11" i="7"/>
  <c r="D11" i="7"/>
  <c r="E11" i="7"/>
  <c r="C55" i="7"/>
  <c r="G14" i="7" s="1"/>
  <c r="B29" i="11" l="1"/>
  <c r="B28" i="11"/>
  <c r="D31" i="11"/>
  <c r="E31" i="11" s="1"/>
  <c r="D27" i="11"/>
  <c r="E27" i="11" s="1"/>
  <c r="D29" i="11"/>
  <c r="E29" i="11" s="1"/>
  <c r="D26" i="11"/>
  <c r="E26" i="11" s="1"/>
  <c r="B32" i="11"/>
  <c r="E32" i="11"/>
  <c r="D11" i="12"/>
  <c r="G11" i="12"/>
  <c r="D42" i="11"/>
  <c r="D55" i="11" s="1"/>
  <c r="E55" i="11" s="1"/>
  <c r="D40" i="11"/>
  <c r="D53" i="11" s="1"/>
  <c r="E53" i="11" s="1"/>
  <c r="D39" i="11"/>
  <c r="D52" i="11" s="1"/>
  <c r="E52" i="11" s="1"/>
  <c r="D38" i="11"/>
  <c r="D51" i="11" s="1"/>
  <c r="E51" i="11" s="1"/>
  <c r="D45" i="11"/>
  <c r="D58" i="11" s="1"/>
  <c r="E58" i="11" s="1"/>
  <c r="D44" i="11"/>
  <c r="D57" i="11" s="1"/>
  <c r="E57" i="11" s="1"/>
  <c r="D43" i="11"/>
  <c r="D56" i="11" s="1"/>
  <c r="E56" i="11" s="1"/>
  <c r="D41" i="11"/>
  <c r="D54" i="11" s="1"/>
  <c r="E54" i="11" s="1"/>
  <c r="C46" i="11"/>
  <c r="P42" i="7"/>
  <c r="F14" i="7"/>
  <c r="E14" i="7"/>
  <c r="P43" i="7"/>
  <c r="D27" i="7"/>
  <c r="E27" i="7"/>
  <c r="F27" i="7"/>
  <c r="P37" i="7"/>
  <c r="H27" i="7"/>
  <c r="I27" i="7"/>
  <c r="P29" i="7"/>
  <c r="D40" i="7"/>
  <c r="P31" i="7"/>
  <c r="G27" i="7"/>
  <c r="E40" i="7"/>
  <c r="J27" i="7"/>
  <c r="K27" i="7"/>
  <c r="F40" i="7"/>
  <c r="O14" i="7"/>
  <c r="M27" i="7"/>
  <c r="H40" i="7"/>
  <c r="N27" i="7"/>
  <c r="I40" i="7"/>
  <c r="G40" i="7"/>
  <c r="M14" i="7"/>
  <c r="O27" i="7"/>
  <c r="J40" i="7"/>
  <c r="P30" i="7"/>
  <c r="L14" i="7"/>
  <c r="K40" i="7"/>
  <c r="K14" i="7"/>
  <c r="P28" i="7"/>
  <c r="L40" i="7"/>
  <c r="J14" i="7"/>
  <c r="M40" i="7"/>
  <c r="P41" i="7"/>
  <c r="D14" i="7"/>
  <c r="L27" i="7"/>
  <c r="N14" i="7"/>
  <c r="I14" i="7"/>
  <c r="N40" i="7"/>
  <c r="H14" i="7"/>
  <c r="O40" i="7"/>
  <c r="E19" i="7"/>
  <c r="P38" i="7"/>
  <c r="L83" i="4"/>
  <c r="N83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D26" i="7"/>
  <c r="D32" i="7" s="1"/>
  <c r="E39" i="7"/>
  <c r="D13" i="7"/>
  <c r="E26" i="7"/>
  <c r="E32" i="7" s="1"/>
  <c r="F39" i="7"/>
  <c r="O13" i="7"/>
  <c r="F26" i="7"/>
  <c r="F32" i="7" s="1"/>
  <c r="G39" i="7"/>
  <c r="N13" i="7"/>
  <c r="G26" i="7"/>
  <c r="H39" i="7"/>
  <c r="M13" i="7"/>
  <c r="H26" i="7"/>
  <c r="I39" i="7"/>
  <c r="L13" i="7"/>
  <c r="I26" i="7"/>
  <c r="J39" i="7"/>
  <c r="J26" i="7"/>
  <c r="J13" i="7"/>
  <c r="K26" i="7"/>
  <c r="L39" i="7"/>
  <c r="L45" i="7" s="1"/>
  <c r="H13" i="7"/>
  <c r="N26" i="7"/>
  <c r="O39" i="7"/>
  <c r="D39" i="7"/>
  <c r="D45" i="7" s="1"/>
  <c r="K13" i="7"/>
  <c r="K19" i="7" s="1"/>
  <c r="K39" i="7"/>
  <c r="I13" i="7"/>
  <c r="L26" i="7"/>
  <c r="M39" i="7"/>
  <c r="M26" i="7"/>
  <c r="N39" i="7"/>
  <c r="G13" i="7"/>
  <c r="G19" i="7" s="1"/>
  <c r="F13" i="7"/>
  <c r="O26" i="7"/>
  <c r="P44" i="7"/>
  <c r="P24" i="7"/>
  <c r="P25" i="7"/>
  <c r="K11" i="12" l="1"/>
  <c r="C59" i="11"/>
  <c r="D12" i="12"/>
  <c r="E46" i="11"/>
  <c r="E42" i="11"/>
  <c r="E40" i="11"/>
  <c r="E41" i="11"/>
  <c r="E43" i="11"/>
  <c r="E44" i="11"/>
  <c r="E45" i="11"/>
  <c r="E38" i="11"/>
  <c r="E39" i="11"/>
  <c r="E47" i="11"/>
  <c r="F19" i="7"/>
  <c r="N45" i="7"/>
  <c r="M19" i="7"/>
  <c r="H45" i="7"/>
  <c r="J32" i="7"/>
  <c r="H32" i="7"/>
  <c r="I32" i="7"/>
  <c r="L19" i="7"/>
  <c r="F45" i="7"/>
  <c r="P27" i="7"/>
  <c r="J19" i="7"/>
  <c r="E45" i="7"/>
  <c r="J45" i="7"/>
  <c r="M32" i="7"/>
  <c r="M45" i="7"/>
  <c r="L32" i="7"/>
  <c r="I19" i="7"/>
  <c r="G32" i="7"/>
  <c r="K45" i="7"/>
  <c r="N19" i="7"/>
  <c r="G45" i="7"/>
  <c r="K32" i="7"/>
  <c r="O19" i="7"/>
  <c r="H19" i="7"/>
  <c r="P40" i="7"/>
  <c r="N32" i="7"/>
  <c r="D19" i="7"/>
  <c r="O32" i="7"/>
  <c r="I45" i="7"/>
  <c r="M24" i="4"/>
  <c r="O24" i="4" s="1"/>
  <c r="Q24" i="4" s="1"/>
  <c r="S24" i="4" s="1"/>
  <c r="U24" i="4" s="1"/>
  <c r="W24" i="4" s="1"/>
  <c r="Y24" i="4" s="1"/>
  <c r="AA24" i="4" s="1"/>
  <c r="K25" i="4"/>
  <c r="P39" i="7"/>
  <c r="O45" i="7"/>
  <c r="P26" i="7"/>
  <c r="P32" i="7" s="1"/>
  <c r="E59" i="11" l="1"/>
  <c r="E60" i="11" s="1"/>
  <c r="D13" i="12"/>
  <c r="P45" i="7"/>
  <c r="M25" i="4"/>
  <c r="O25" i="4" s="1"/>
  <c r="Q25" i="4" s="1"/>
  <c r="S25" i="4" s="1"/>
  <c r="U25" i="4" s="1"/>
  <c r="W25" i="4" s="1"/>
  <c r="Y25" i="4" s="1"/>
  <c r="AA25" i="4" s="1"/>
  <c r="Y26" i="4" l="1"/>
  <c r="P14" i="7" l="1"/>
  <c r="P15" i="7"/>
  <c r="P16" i="7"/>
  <c r="P17" i="7"/>
  <c r="P18" i="7"/>
  <c r="B84" i="4"/>
  <c r="T83" i="4"/>
  <c r="AA85" i="4"/>
  <c r="Y85" i="4"/>
  <c r="W85" i="4"/>
  <c r="U85" i="4"/>
  <c r="S85" i="4"/>
  <c r="Q85" i="4"/>
  <c r="O85" i="4"/>
  <c r="M85" i="4"/>
  <c r="K85" i="4"/>
  <c r="I85" i="4"/>
  <c r="G85" i="4"/>
  <c r="E85" i="4"/>
  <c r="C84" i="4"/>
  <c r="C83" i="4"/>
  <c r="C82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G53" i="4"/>
  <c r="E53" i="4"/>
  <c r="H5" i="7" l="1"/>
  <c r="I5" i="7"/>
  <c r="D84" i="4"/>
  <c r="C85" i="4"/>
  <c r="H83" i="4"/>
  <c r="F84" i="4"/>
  <c r="D83" i="4"/>
  <c r="H84" i="4"/>
  <c r="F83" i="4"/>
  <c r="R83" i="4"/>
  <c r="C53" i="4"/>
  <c r="E56" i="4" l="1"/>
  <c r="X83" i="4"/>
  <c r="V83" i="4"/>
  <c r="J83" i="4"/>
  <c r="L84" i="4"/>
  <c r="J84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56" i="4" s="1"/>
  <c r="E88" i="4" s="1"/>
  <c r="AA23" i="4"/>
  <c r="E54" i="4" s="1"/>
  <c r="P84" i="4"/>
  <c r="N84" i="4"/>
  <c r="Z83" i="4"/>
  <c r="AB83" i="4"/>
  <c r="F88" i="4" l="1"/>
  <c r="G88" i="4"/>
  <c r="G54" i="4"/>
  <c r="T84" i="4"/>
  <c r="R84" i="4"/>
  <c r="I88" i="4" l="1"/>
  <c r="H88" i="4"/>
  <c r="I54" i="4"/>
  <c r="X84" i="4"/>
  <c r="V84" i="4"/>
  <c r="K54" i="4" l="1"/>
  <c r="K88" i="4"/>
  <c r="J88" i="4"/>
  <c r="E55" i="4"/>
  <c r="AA26" i="4"/>
  <c r="Z84" i="4"/>
  <c r="AB84" i="4"/>
  <c r="M88" i="4" l="1"/>
  <c r="L88" i="4"/>
  <c r="G55" i="4"/>
  <c r="G57" i="4" s="1"/>
  <c r="E57" i="4"/>
  <c r="M54" i="4"/>
  <c r="I55" i="4"/>
  <c r="C19" i="4"/>
  <c r="C21" i="4"/>
  <c r="C20" i="4"/>
  <c r="A21" i="4"/>
  <c r="A20" i="4"/>
  <c r="A19" i="4"/>
  <c r="E12" i="3"/>
  <c r="E13" i="3"/>
  <c r="C14" i="3"/>
  <c r="F13" i="3"/>
  <c r="F12" i="3"/>
  <c r="M5" i="23"/>
  <c r="L5" i="23"/>
  <c r="K5" i="23"/>
  <c r="M5" i="22"/>
  <c r="L5" i="22"/>
  <c r="K5" i="22"/>
  <c r="M5" i="21"/>
  <c r="L5" i="21"/>
  <c r="K5" i="21"/>
  <c r="M5" i="20"/>
  <c r="L5" i="20"/>
  <c r="K5" i="20"/>
  <c r="Y69" i="9"/>
  <c r="W69" i="9"/>
  <c r="U69" i="9"/>
  <c r="S69" i="9"/>
  <c r="Q69" i="9"/>
  <c r="O69" i="9"/>
  <c r="M69" i="9"/>
  <c r="K69" i="9"/>
  <c r="I69" i="9"/>
  <c r="G69" i="9"/>
  <c r="E69" i="9"/>
  <c r="C69" i="9"/>
  <c r="Y56" i="9"/>
  <c r="W56" i="9"/>
  <c r="U56" i="9"/>
  <c r="S56" i="9"/>
  <c r="Q56" i="9"/>
  <c r="O56" i="9"/>
  <c r="M56" i="9"/>
  <c r="K56" i="9"/>
  <c r="I56" i="9"/>
  <c r="G56" i="9"/>
  <c r="E56" i="9"/>
  <c r="C56" i="9"/>
  <c r="C41" i="9"/>
  <c r="P12" i="7"/>
  <c r="K55" i="4" l="1"/>
  <c r="I57" i="4"/>
  <c r="O54" i="4"/>
  <c r="N88" i="4"/>
  <c r="O88" i="4"/>
  <c r="C22" i="4"/>
  <c r="C26" i="4"/>
  <c r="F14" i="3"/>
  <c r="D27" i="3" s="1"/>
  <c r="D28" i="3"/>
  <c r="M5" i="13"/>
  <c r="L5" i="13"/>
  <c r="K5" i="13"/>
  <c r="D5" i="12"/>
  <c r="C5" i="12"/>
  <c r="B5" i="12"/>
  <c r="D5" i="11"/>
  <c r="C5" i="11"/>
  <c r="B5" i="11"/>
  <c r="D5" i="10"/>
  <c r="C5" i="10"/>
  <c r="B5" i="10"/>
  <c r="Y41" i="9"/>
  <c r="W41" i="9"/>
  <c r="U41" i="9"/>
  <c r="S41" i="9"/>
  <c r="Q41" i="9"/>
  <c r="O41" i="9"/>
  <c r="M41" i="9"/>
  <c r="K41" i="9"/>
  <c r="I41" i="9"/>
  <c r="G41" i="9"/>
  <c r="E41" i="9"/>
  <c r="J19" i="9"/>
  <c r="H19" i="9"/>
  <c r="G19" i="9"/>
  <c r="F19" i="9"/>
  <c r="E19" i="9"/>
  <c r="J17" i="9"/>
  <c r="H17" i="9"/>
  <c r="G17" i="9"/>
  <c r="F17" i="9"/>
  <c r="E17" i="9"/>
  <c r="J16" i="9"/>
  <c r="H16" i="9"/>
  <c r="G16" i="9"/>
  <c r="F16" i="9"/>
  <c r="E16" i="9"/>
  <c r="J15" i="9"/>
  <c r="H15" i="9"/>
  <c r="G15" i="9"/>
  <c r="F15" i="9"/>
  <c r="E15" i="9"/>
  <c r="J18" i="9"/>
  <c r="H18" i="9"/>
  <c r="G18" i="9"/>
  <c r="F18" i="9"/>
  <c r="E18" i="9"/>
  <c r="J14" i="9"/>
  <c r="H14" i="9"/>
  <c r="G14" i="9"/>
  <c r="F14" i="9"/>
  <c r="E14" i="9"/>
  <c r="D6" i="9"/>
  <c r="C6" i="9"/>
  <c r="B6" i="9"/>
  <c r="P13" i="7"/>
  <c r="P11" i="7"/>
  <c r="E5" i="7"/>
  <c r="D5" i="7"/>
  <c r="C5" i="7"/>
  <c r="B19" i="6"/>
  <c r="B18" i="6"/>
  <c r="B17" i="6"/>
  <c r="D9" i="6"/>
  <c r="C9" i="6"/>
  <c r="B9" i="6"/>
  <c r="B10" i="5"/>
  <c r="B12" i="5" s="1"/>
  <c r="B13" i="5" s="1"/>
  <c r="B14" i="5" s="1"/>
  <c r="B21" i="4"/>
  <c r="B20" i="4"/>
  <c r="B19" i="4"/>
  <c r="D7" i="4"/>
  <c r="C7" i="4"/>
  <c r="B7" i="4"/>
  <c r="P19" i="7" l="1"/>
  <c r="Q54" i="4"/>
  <c r="P88" i="4"/>
  <c r="Q88" i="4"/>
  <c r="M55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D29" i="3"/>
  <c r="C57" i="4"/>
  <c r="C89" i="4" s="1"/>
  <c r="B52" i="4"/>
  <c r="H56" i="4" s="1"/>
  <c r="B51" i="4"/>
  <c r="H55" i="4" s="1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M6" i="21"/>
  <c r="M6" i="23"/>
  <c r="M6" i="22"/>
  <c r="M6" i="20"/>
  <c r="M16" i="13"/>
  <c r="K5" i="12"/>
  <c r="M16" i="20"/>
  <c r="M16" i="23"/>
  <c r="M16" i="21"/>
  <c r="M16" i="22"/>
  <c r="L10" i="23"/>
  <c r="F13" i="23" s="1"/>
  <c r="L10" i="22"/>
  <c r="F13" i="22" s="1"/>
  <c r="L10" i="20"/>
  <c r="F13" i="20" s="1"/>
  <c r="L10" i="21"/>
  <c r="F13" i="21" s="1"/>
  <c r="M10" i="13"/>
  <c r="M10" i="22"/>
  <c r="G13" i="22" s="1"/>
  <c r="M10" i="20"/>
  <c r="G13" i="20" s="1"/>
  <c r="M10" i="21"/>
  <c r="G13" i="21" s="1"/>
  <c r="M10" i="23"/>
  <c r="G13" i="23" s="1"/>
  <c r="K18" i="9"/>
  <c r="L18" i="9" s="1"/>
  <c r="K15" i="9"/>
  <c r="L15" i="9" s="1"/>
  <c r="K17" i="9"/>
  <c r="L17" i="9" s="1"/>
  <c r="K19" i="9"/>
  <c r="L19" i="9" s="1"/>
  <c r="K16" i="9"/>
  <c r="L16" i="9" s="1"/>
  <c r="M6" i="13"/>
  <c r="D6" i="10"/>
  <c r="D13" i="10" s="1"/>
  <c r="D7" i="9"/>
  <c r="D6" i="12"/>
  <c r="D6" i="11"/>
  <c r="D10" i="6"/>
  <c r="E6" i="7"/>
  <c r="D8" i="4"/>
  <c r="G5" i="7"/>
  <c r="K14" i="9"/>
  <c r="L14" i="9" s="1"/>
  <c r="H52" i="4" l="1"/>
  <c r="H57" i="4"/>
  <c r="F52" i="4"/>
  <c r="D22" i="4"/>
  <c r="O55" i="4"/>
  <c r="M57" i="4"/>
  <c r="S54" i="4"/>
  <c r="R88" i="4"/>
  <c r="S88" i="4"/>
  <c r="H22" i="4"/>
  <c r="F22" i="4"/>
  <c r="R19" i="4"/>
  <c r="X19" i="4" s="1"/>
  <c r="F26" i="4"/>
  <c r="L54" i="4"/>
  <c r="F54" i="4"/>
  <c r="J54" i="4"/>
  <c r="F55" i="4"/>
  <c r="J55" i="4"/>
  <c r="R67" i="9"/>
  <c r="Z67" i="9"/>
  <c r="F67" i="9"/>
  <c r="V67" i="9"/>
  <c r="D67" i="9"/>
  <c r="T67" i="9"/>
  <c r="N67" i="9"/>
  <c r="P67" i="9"/>
  <c r="X67" i="9"/>
  <c r="L67" i="9"/>
  <c r="J67" i="9"/>
  <c r="H67" i="9"/>
  <c r="J65" i="9"/>
  <c r="L65" i="9"/>
  <c r="R65" i="9"/>
  <c r="D65" i="9"/>
  <c r="F65" i="9"/>
  <c r="N65" i="9"/>
  <c r="T65" i="9"/>
  <c r="V65" i="9"/>
  <c r="P65" i="9"/>
  <c r="Z65" i="9"/>
  <c r="X65" i="9"/>
  <c r="H65" i="9"/>
  <c r="R68" i="9"/>
  <c r="X68" i="9"/>
  <c r="P68" i="9"/>
  <c r="J68" i="9"/>
  <c r="F68" i="9"/>
  <c r="H68" i="9"/>
  <c r="Z68" i="9"/>
  <c r="T68" i="9"/>
  <c r="D68" i="9"/>
  <c r="N68" i="9"/>
  <c r="L68" i="9"/>
  <c r="V68" i="9"/>
  <c r="J66" i="9"/>
  <c r="R66" i="9"/>
  <c r="H66" i="9"/>
  <c r="P66" i="9"/>
  <c r="Z66" i="9"/>
  <c r="V66" i="9"/>
  <c r="N66" i="9"/>
  <c r="F66" i="9"/>
  <c r="L66" i="9"/>
  <c r="X66" i="9"/>
  <c r="T66" i="9"/>
  <c r="D66" i="9"/>
  <c r="X63" i="9"/>
  <c r="D63" i="9"/>
  <c r="P63" i="9"/>
  <c r="Z63" i="9"/>
  <c r="V63" i="9"/>
  <c r="F63" i="9"/>
  <c r="R63" i="9"/>
  <c r="L63" i="9"/>
  <c r="H63" i="9"/>
  <c r="J63" i="9"/>
  <c r="T63" i="9"/>
  <c r="N63" i="9"/>
  <c r="D64" i="9"/>
  <c r="F64" i="9"/>
  <c r="L64" i="9"/>
  <c r="R64" i="9"/>
  <c r="X64" i="9"/>
  <c r="Z64" i="9"/>
  <c r="H64" i="9"/>
  <c r="J64" i="9"/>
  <c r="V64" i="9"/>
  <c r="T64" i="9"/>
  <c r="P64" i="9"/>
  <c r="N64" i="9"/>
  <c r="X52" i="9"/>
  <c r="Z52" i="9"/>
  <c r="N52" i="9"/>
  <c r="P52" i="9"/>
  <c r="R52" i="9"/>
  <c r="D52" i="9"/>
  <c r="L52" i="9"/>
  <c r="H52" i="9"/>
  <c r="F52" i="9"/>
  <c r="T52" i="9"/>
  <c r="V52" i="9"/>
  <c r="J52" i="9"/>
  <c r="F53" i="9"/>
  <c r="H53" i="9"/>
  <c r="N53" i="9"/>
  <c r="P53" i="9"/>
  <c r="X53" i="9"/>
  <c r="D53" i="9"/>
  <c r="Z53" i="9"/>
  <c r="L53" i="9"/>
  <c r="R53" i="9"/>
  <c r="J53" i="9"/>
  <c r="V53" i="9"/>
  <c r="T53" i="9"/>
  <c r="X51" i="9"/>
  <c r="Z51" i="9"/>
  <c r="P51" i="9"/>
  <c r="N51" i="9"/>
  <c r="L51" i="9"/>
  <c r="R51" i="9"/>
  <c r="H51" i="9"/>
  <c r="J51" i="9"/>
  <c r="D51" i="9"/>
  <c r="T51" i="9"/>
  <c r="F51" i="9"/>
  <c r="V51" i="9"/>
  <c r="F54" i="9"/>
  <c r="P54" i="9"/>
  <c r="X54" i="9"/>
  <c r="Z54" i="9"/>
  <c r="N54" i="9"/>
  <c r="T54" i="9"/>
  <c r="D54" i="9"/>
  <c r="R54" i="9"/>
  <c r="J54" i="9"/>
  <c r="H54" i="9"/>
  <c r="L54" i="9"/>
  <c r="V54" i="9"/>
  <c r="N55" i="9"/>
  <c r="X55" i="9"/>
  <c r="Z55" i="9"/>
  <c r="P55" i="9"/>
  <c r="L55" i="9"/>
  <c r="V55" i="9"/>
  <c r="H55" i="9"/>
  <c r="J55" i="9"/>
  <c r="D55" i="9"/>
  <c r="F55" i="9"/>
  <c r="T55" i="9"/>
  <c r="R55" i="9"/>
  <c r="D50" i="9"/>
  <c r="N50" i="9"/>
  <c r="P50" i="9"/>
  <c r="X50" i="9"/>
  <c r="Z50" i="9"/>
  <c r="T50" i="9"/>
  <c r="R50" i="9"/>
  <c r="J50" i="9"/>
  <c r="L50" i="9"/>
  <c r="H50" i="9"/>
  <c r="V50" i="9"/>
  <c r="F50" i="9"/>
  <c r="Z38" i="9"/>
  <c r="H38" i="9"/>
  <c r="V38" i="9"/>
  <c r="L38" i="9"/>
  <c r="R38" i="9"/>
  <c r="T38" i="9"/>
  <c r="X38" i="9"/>
  <c r="P38" i="9"/>
  <c r="F38" i="9"/>
  <c r="J38" i="9"/>
  <c r="N38" i="9"/>
  <c r="Z37" i="9"/>
  <c r="J37" i="9"/>
  <c r="L37" i="9"/>
  <c r="N37" i="9"/>
  <c r="R37" i="9"/>
  <c r="F37" i="9"/>
  <c r="V37" i="9"/>
  <c r="X37" i="9"/>
  <c r="P37" i="9"/>
  <c r="H37" i="9"/>
  <c r="T37" i="9"/>
  <c r="F40" i="9"/>
  <c r="X40" i="9"/>
  <c r="L40" i="9"/>
  <c r="P40" i="9"/>
  <c r="R40" i="9"/>
  <c r="T40" i="9"/>
  <c r="V40" i="9"/>
  <c r="Z40" i="9"/>
  <c r="D40" i="9"/>
  <c r="H40" i="9"/>
  <c r="J40" i="9"/>
  <c r="N40" i="9"/>
  <c r="J36" i="9"/>
  <c r="F36" i="9"/>
  <c r="X36" i="9"/>
  <c r="N36" i="9"/>
  <c r="P36" i="9"/>
  <c r="T36" i="9"/>
  <c r="V36" i="9"/>
  <c r="Z36" i="9"/>
  <c r="L36" i="9"/>
  <c r="R36" i="9"/>
  <c r="H36" i="9"/>
  <c r="Z39" i="9"/>
  <c r="H39" i="9"/>
  <c r="F39" i="9"/>
  <c r="J39" i="9"/>
  <c r="D39" i="9"/>
  <c r="N39" i="9"/>
  <c r="P39" i="9"/>
  <c r="R39" i="9"/>
  <c r="X39" i="9"/>
  <c r="T39" i="9"/>
  <c r="V39" i="9"/>
  <c r="L39" i="9"/>
  <c r="D38" i="9"/>
  <c r="D37" i="9"/>
  <c r="D36" i="9"/>
  <c r="D51" i="4"/>
  <c r="L55" i="4"/>
  <c r="B82" i="4"/>
  <c r="D82" i="4" s="1"/>
  <c r="F56" i="4"/>
  <c r="J56" i="4"/>
  <c r="L56" i="4"/>
  <c r="N56" i="4" s="1"/>
  <c r="P56" i="4" s="1"/>
  <c r="R56" i="4" s="1"/>
  <c r="T56" i="4" s="1"/>
  <c r="V56" i="4" s="1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J51" i="4" s="1"/>
  <c r="H51" i="4"/>
  <c r="J19" i="4"/>
  <c r="J52" i="4"/>
  <c r="L52" i="4"/>
  <c r="L20" i="4"/>
  <c r="J20" i="4"/>
  <c r="J21" i="4"/>
  <c r="L21" i="4"/>
  <c r="V20" i="4"/>
  <c r="X20" i="4"/>
  <c r="X24" i="4" s="1"/>
  <c r="Z24" i="4" s="1"/>
  <c r="M11" i="22"/>
  <c r="G14" i="22" s="1"/>
  <c r="M11" i="20"/>
  <c r="G14" i="20" s="1"/>
  <c r="M11" i="21"/>
  <c r="G14" i="21" s="1"/>
  <c r="M11" i="23"/>
  <c r="G14" i="23" s="1"/>
  <c r="M20" i="23"/>
  <c r="G21" i="23" s="1"/>
  <c r="M20" i="21"/>
  <c r="G21" i="21" s="1"/>
  <c r="M20" i="22"/>
  <c r="G21" i="22" s="1"/>
  <c r="M20" i="20"/>
  <c r="G21" i="20" s="1"/>
  <c r="L20" i="13"/>
  <c r="L20" i="23"/>
  <c r="F21" i="23" s="1"/>
  <c r="L20" i="21"/>
  <c r="F21" i="21" s="1"/>
  <c r="L20" i="22"/>
  <c r="F21" i="22" s="1"/>
  <c r="L20" i="20"/>
  <c r="F21" i="20" s="1"/>
  <c r="K6" i="20"/>
  <c r="K6" i="21"/>
  <c r="K6" i="23"/>
  <c r="K6" i="22"/>
  <c r="L6" i="21"/>
  <c r="L6" i="23"/>
  <c r="L6" i="22"/>
  <c r="L6" i="20"/>
  <c r="K20" i="13"/>
  <c r="K20" i="23"/>
  <c r="E21" i="23" s="1"/>
  <c r="K20" i="21"/>
  <c r="E21" i="21" s="1"/>
  <c r="K20" i="22"/>
  <c r="E21" i="22" s="1"/>
  <c r="K20" i="20"/>
  <c r="E21" i="20" s="1"/>
  <c r="I5" i="12"/>
  <c r="K16" i="20"/>
  <c r="K16" i="13"/>
  <c r="K16" i="23"/>
  <c r="K16" i="21"/>
  <c r="K16" i="22"/>
  <c r="K10" i="21"/>
  <c r="E13" i="21" s="1"/>
  <c r="K10" i="23"/>
  <c r="E13" i="23" s="1"/>
  <c r="K10" i="22"/>
  <c r="E13" i="22" s="1"/>
  <c r="K10" i="20"/>
  <c r="E13" i="20" s="1"/>
  <c r="L16" i="13"/>
  <c r="J5" i="12"/>
  <c r="L16" i="20"/>
  <c r="L16" i="21"/>
  <c r="L16" i="23"/>
  <c r="L16" i="22"/>
  <c r="D10" i="10"/>
  <c r="L10" i="13"/>
  <c r="C10" i="10"/>
  <c r="E21" i="11"/>
  <c r="B6" i="10"/>
  <c r="B13" i="10" s="1"/>
  <c r="B6" i="12"/>
  <c r="B7" i="9"/>
  <c r="B6" i="11"/>
  <c r="K6" i="13"/>
  <c r="C6" i="7"/>
  <c r="B10" i="6"/>
  <c r="B8" i="4"/>
  <c r="K10" i="13"/>
  <c r="B10" i="10"/>
  <c r="C6" i="12"/>
  <c r="C6" i="11"/>
  <c r="C6" i="10"/>
  <c r="C13" i="10" s="1"/>
  <c r="C7" i="9"/>
  <c r="L6" i="13"/>
  <c r="D6" i="7"/>
  <c r="C10" i="6"/>
  <c r="C8" i="4"/>
  <c r="J22" i="4" l="1"/>
  <c r="J57" i="4"/>
  <c r="T88" i="4"/>
  <c r="U88" i="4"/>
  <c r="U54" i="4"/>
  <c r="N54" i="4"/>
  <c r="L57" i="4"/>
  <c r="L22" i="4"/>
  <c r="Q55" i="4"/>
  <c r="O57" i="4"/>
  <c r="V19" i="4"/>
  <c r="Z19" i="4" s="1"/>
  <c r="X23" i="4"/>
  <c r="Z23" i="4" s="1"/>
  <c r="H26" i="4"/>
  <c r="J26" i="4" s="1"/>
  <c r="L26" i="4" s="1"/>
  <c r="F57" i="4"/>
  <c r="D53" i="4"/>
  <c r="H53" i="4"/>
  <c r="N55" i="4"/>
  <c r="P55" i="4" s="1"/>
  <c r="R55" i="4" s="1"/>
  <c r="T55" i="4" s="1"/>
  <c r="V55" i="4" s="1"/>
  <c r="X55" i="4" s="1"/>
  <c r="Z55" i="4" s="1"/>
  <c r="AB55" i="4" s="1"/>
  <c r="N82" i="4"/>
  <c r="L82" i="4"/>
  <c r="L85" i="4" s="1"/>
  <c r="P82" i="4"/>
  <c r="P85" i="4" s="1"/>
  <c r="F82" i="4"/>
  <c r="T82" i="4"/>
  <c r="T85" i="4" s="1"/>
  <c r="H82" i="4"/>
  <c r="H85" i="4" s="1"/>
  <c r="V50" i="4"/>
  <c r="AB50" i="4" s="1"/>
  <c r="D85" i="4"/>
  <c r="F53" i="4"/>
  <c r="L51" i="4"/>
  <c r="L53" i="4" s="1"/>
  <c r="V51" i="4"/>
  <c r="AB51" i="4" s="1"/>
  <c r="J53" i="4"/>
  <c r="P51" i="4"/>
  <c r="N51" i="4"/>
  <c r="N52" i="4"/>
  <c r="P52" i="4"/>
  <c r="AB20" i="4"/>
  <c r="Z20" i="4"/>
  <c r="N21" i="4"/>
  <c r="P21" i="4"/>
  <c r="N20" i="4"/>
  <c r="N22" i="4" s="1"/>
  <c r="P20" i="4"/>
  <c r="X56" i="9"/>
  <c r="J56" i="9"/>
  <c r="V56" i="9"/>
  <c r="L56" i="9"/>
  <c r="N56" i="9"/>
  <c r="H56" i="9"/>
  <c r="P56" i="9"/>
  <c r="R56" i="9"/>
  <c r="G5" i="11"/>
  <c r="T56" i="9"/>
  <c r="V69" i="9"/>
  <c r="H69" i="9"/>
  <c r="P69" i="9"/>
  <c r="X69" i="9"/>
  <c r="F69" i="9"/>
  <c r="R69" i="9"/>
  <c r="N69" i="9"/>
  <c r="L69" i="9"/>
  <c r="J69" i="9"/>
  <c r="D69" i="9"/>
  <c r="Z69" i="9"/>
  <c r="T69" i="9"/>
  <c r="AA67" i="9"/>
  <c r="D56" i="9"/>
  <c r="AA65" i="9"/>
  <c r="AA68" i="9"/>
  <c r="F56" i="9"/>
  <c r="AA66" i="9"/>
  <c r="Z56" i="9"/>
  <c r="AA63" i="9"/>
  <c r="AA64" i="9"/>
  <c r="AA52" i="9"/>
  <c r="AA51" i="9"/>
  <c r="AA55" i="9"/>
  <c r="AA53" i="9"/>
  <c r="AA54" i="9"/>
  <c r="AA50" i="9"/>
  <c r="AA37" i="9"/>
  <c r="AA40" i="9"/>
  <c r="AA39" i="9"/>
  <c r="AA38" i="9"/>
  <c r="H41" i="9"/>
  <c r="X41" i="9"/>
  <c r="T41" i="9"/>
  <c r="L41" i="9"/>
  <c r="P41" i="9"/>
  <c r="F41" i="9"/>
  <c r="J41" i="9"/>
  <c r="N41" i="9"/>
  <c r="R41" i="9"/>
  <c r="Z41" i="9"/>
  <c r="AA36" i="9"/>
  <c r="D41" i="9"/>
  <c r="V41" i="9"/>
  <c r="W54" i="4" l="1"/>
  <c r="S55" i="4"/>
  <c r="Q57" i="4"/>
  <c r="V88" i="4"/>
  <c r="W88" i="4"/>
  <c r="AB19" i="4"/>
  <c r="P54" i="4"/>
  <c r="N57" i="4"/>
  <c r="P22" i="4"/>
  <c r="N26" i="4"/>
  <c r="P26" i="4" s="1"/>
  <c r="D55" i="4"/>
  <c r="D18" i="6" s="1"/>
  <c r="Z51" i="4"/>
  <c r="Z50" i="4"/>
  <c r="F85" i="4"/>
  <c r="J82" i="4"/>
  <c r="J85" i="4" s="1"/>
  <c r="R82" i="4"/>
  <c r="N85" i="4"/>
  <c r="N53" i="4"/>
  <c r="T52" i="4"/>
  <c r="T53" i="4" s="1"/>
  <c r="R52" i="4"/>
  <c r="P53" i="4"/>
  <c r="R21" i="4"/>
  <c r="R22" i="4" s="1"/>
  <c r="T21" i="4"/>
  <c r="T22" i="4" s="1"/>
  <c r="J20" i="13"/>
  <c r="D21" i="13" s="1"/>
  <c r="D22" i="13" s="1"/>
  <c r="J20" i="23"/>
  <c r="D21" i="23" s="1"/>
  <c r="D22" i="23" s="1"/>
  <c r="J20" i="21"/>
  <c r="D21" i="21" s="1"/>
  <c r="D22" i="21" s="1"/>
  <c r="J20" i="20"/>
  <c r="D21" i="20" s="1"/>
  <c r="D22" i="20" s="1"/>
  <c r="J20" i="22"/>
  <c r="D21" i="22" s="1"/>
  <c r="D22" i="22" s="1"/>
  <c r="AA69" i="9"/>
  <c r="J6" i="9" s="1"/>
  <c r="AA56" i="9"/>
  <c r="I6" i="9" s="1"/>
  <c r="C11" i="10" s="1"/>
  <c r="AA41" i="9"/>
  <c r="H6" i="9" s="1"/>
  <c r="R54" i="4" l="1"/>
  <c r="P57" i="4"/>
  <c r="Y54" i="4"/>
  <c r="Y88" i="4"/>
  <c r="X88" i="4"/>
  <c r="U55" i="4"/>
  <c r="S57" i="4"/>
  <c r="R26" i="4"/>
  <c r="T26" i="4" s="1"/>
  <c r="X82" i="4"/>
  <c r="R85" i="4"/>
  <c r="V82" i="4"/>
  <c r="X52" i="4"/>
  <c r="V52" i="4"/>
  <c r="R53" i="4"/>
  <c r="V21" i="4"/>
  <c r="V22" i="4" s="1"/>
  <c r="X21" i="4"/>
  <c r="X22" i="4" s="1"/>
  <c r="M12" i="22"/>
  <c r="G15" i="22" s="1"/>
  <c r="M12" i="20"/>
  <c r="G15" i="20" s="1"/>
  <c r="M12" i="23"/>
  <c r="G15" i="23" s="1"/>
  <c r="M12" i="21"/>
  <c r="G15" i="21" s="1"/>
  <c r="K12" i="22"/>
  <c r="E15" i="22" s="1"/>
  <c r="K12" i="20"/>
  <c r="E15" i="20" s="1"/>
  <c r="K12" i="23"/>
  <c r="E15" i="23" s="1"/>
  <c r="K12" i="21"/>
  <c r="E15" i="21" s="1"/>
  <c r="K11" i="22"/>
  <c r="E14" i="22" s="1"/>
  <c r="K11" i="21"/>
  <c r="E14" i="21" s="1"/>
  <c r="K11" i="20"/>
  <c r="E14" i="20" s="1"/>
  <c r="K11" i="23"/>
  <c r="E14" i="23" s="1"/>
  <c r="L12" i="22"/>
  <c r="F15" i="22" s="1"/>
  <c r="L12" i="20"/>
  <c r="F15" i="20" s="1"/>
  <c r="L11" i="13"/>
  <c r="L12" i="23"/>
  <c r="F15" i="23" s="1"/>
  <c r="L12" i="21"/>
  <c r="F15" i="21" s="1"/>
  <c r="K11" i="13"/>
  <c r="E15" i="13" s="1"/>
  <c r="B11" i="10"/>
  <c r="B12" i="10" s="1"/>
  <c r="M11" i="13"/>
  <c r="D11" i="10"/>
  <c r="D12" i="10" s="1"/>
  <c r="Z88" i="4" l="1"/>
  <c r="AA88" i="4"/>
  <c r="AB88" i="4" s="1"/>
  <c r="AA54" i="4"/>
  <c r="W55" i="4"/>
  <c r="U57" i="4"/>
  <c r="T54" i="4"/>
  <c r="R57" i="4"/>
  <c r="X25" i="4"/>
  <c r="Z25" i="4" s="1"/>
  <c r="V26" i="4"/>
  <c r="X26" i="4" s="1"/>
  <c r="AB82" i="4"/>
  <c r="AB85" i="4" s="1"/>
  <c r="Z82" i="4"/>
  <c r="Z85" i="4" s="1"/>
  <c r="V85" i="4"/>
  <c r="X53" i="4"/>
  <c r="X56" i="4"/>
  <c r="X85" i="4"/>
  <c r="Z52" i="4"/>
  <c r="Z53" i="4" s="1"/>
  <c r="AB52" i="4"/>
  <c r="AB53" i="4" s="1"/>
  <c r="V53" i="4"/>
  <c r="AB21" i="4"/>
  <c r="AB22" i="4" s="1"/>
  <c r="Z21" i="4"/>
  <c r="Z22" i="4" s="1"/>
  <c r="F15" i="13"/>
  <c r="G15" i="13"/>
  <c r="D88" i="4" l="1"/>
  <c r="E19" i="6" s="1"/>
  <c r="Y55" i="4"/>
  <c r="W57" i="4"/>
  <c r="E86" i="4"/>
  <c r="V54" i="4"/>
  <c r="T57" i="4"/>
  <c r="Z26" i="4"/>
  <c r="Z56" i="4"/>
  <c r="AB56" i="4" s="1"/>
  <c r="AA55" i="4" l="1"/>
  <c r="Y57" i="4"/>
  <c r="V57" i="4"/>
  <c r="X54" i="4"/>
  <c r="G86" i="4"/>
  <c r="F86" i="4"/>
  <c r="D56" i="4"/>
  <c r="I86" i="4" l="1"/>
  <c r="H86" i="4"/>
  <c r="Z54" i="4"/>
  <c r="X57" i="4"/>
  <c r="E87" i="4"/>
  <c r="AA57" i="4"/>
  <c r="D19" i="6"/>
  <c r="L11" i="22"/>
  <c r="F14" i="22" s="1"/>
  <c r="L11" i="20"/>
  <c r="F14" i="20" s="1"/>
  <c r="L11" i="21"/>
  <c r="F14" i="21" s="1"/>
  <c r="L11" i="23"/>
  <c r="F14" i="23" s="1"/>
  <c r="C12" i="10"/>
  <c r="F87" i="4" l="1"/>
  <c r="G87" i="4"/>
  <c r="E89" i="4"/>
  <c r="AB54" i="4"/>
  <c r="AB57" i="4" s="1"/>
  <c r="F89" i="4" s="1"/>
  <c r="H89" i="4" s="1"/>
  <c r="J89" i="4" s="1"/>
  <c r="L89" i="4" s="1"/>
  <c r="N89" i="4" s="1"/>
  <c r="P89" i="4" s="1"/>
  <c r="R89" i="4" s="1"/>
  <c r="T89" i="4" s="1"/>
  <c r="V89" i="4" s="1"/>
  <c r="X89" i="4" s="1"/>
  <c r="Z89" i="4" s="1"/>
  <c r="AB89" i="4" s="1"/>
  <c r="Z57" i="4"/>
  <c r="D54" i="4"/>
  <c r="K86" i="4"/>
  <c r="J86" i="4"/>
  <c r="D17" i="6" l="1"/>
  <c r="D20" i="6" s="1"/>
  <c r="F12" i="13" s="1"/>
  <c r="D57" i="4"/>
  <c r="L86" i="4"/>
  <c r="M86" i="4"/>
  <c r="H87" i="4"/>
  <c r="I87" i="4"/>
  <c r="G89" i="4"/>
  <c r="O86" i="4" l="1"/>
  <c r="N86" i="4"/>
  <c r="J87" i="4"/>
  <c r="K87" i="4"/>
  <c r="I89" i="4"/>
  <c r="F12" i="21"/>
  <c r="F12" i="23"/>
  <c r="F12" i="20"/>
  <c r="F12" i="22"/>
  <c r="T97" i="9"/>
  <c r="F17" i="22" l="1"/>
  <c r="F16" i="22"/>
  <c r="F17" i="23"/>
  <c r="F16" i="23"/>
  <c r="L87" i="4"/>
  <c r="M87" i="4"/>
  <c r="K89" i="4"/>
  <c r="F17" i="21"/>
  <c r="F16" i="21"/>
  <c r="F17" i="20"/>
  <c r="F16" i="20"/>
  <c r="F16" i="13"/>
  <c r="F17" i="13"/>
  <c r="P86" i="4"/>
  <c r="Q86" i="4"/>
  <c r="D89" i="4"/>
  <c r="R86" i="4" l="1"/>
  <c r="S86" i="4"/>
  <c r="G19" i="13"/>
  <c r="F18" i="13"/>
  <c r="F18" i="20"/>
  <c r="G19" i="20"/>
  <c r="F18" i="21"/>
  <c r="G19" i="21"/>
  <c r="N87" i="4"/>
  <c r="O87" i="4"/>
  <c r="M89" i="4"/>
  <c r="F18" i="23"/>
  <c r="G19" i="23"/>
  <c r="F18" i="22"/>
  <c r="G19" i="22"/>
  <c r="Q87" i="4" l="1"/>
  <c r="P87" i="4"/>
  <c r="O89" i="4"/>
  <c r="U86" i="4"/>
  <c r="T86" i="4"/>
  <c r="AB26" i="4"/>
  <c r="D26" i="4" s="1"/>
  <c r="AB25" i="4"/>
  <c r="D25" i="4" s="1"/>
  <c r="C19" i="6" s="1"/>
  <c r="AB24" i="4"/>
  <c r="D24" i="4" s="1"/>
  <c r="C18" i="6" s="1"/>
  <c r="AB23" i="4"/>
  <c r="D23" i="4" s="1"/>
  <c r="C17" i="6" s="1"/>
  <c r="V86" i="4" l="1"/>
  <c r="W86" i="4"/>
  <c r="S87" i="4"/>
  <c r="R87" i="4"/>
  <c r="Q89" i="4"/>
  <c r="C20" i="6"/>
  <c r="E12" i="22"/>
  <c r="E12" i="20" l="1"/>
  <c r="E12" i="13"/>
  <c r="E12" i="21"/>
  <c r="T87" i="4"/>
  <c r="U87" i="4"/>
  <c r="S89" i="4"/>
  <c r="X86" i="4"/>
  <c r="Y86" i="4"/>
  <c r="E12" i="23"/>
  <c r="E16" i="21"/>
  <c r="E17" i="21"/>
  <c r="E16" i="22"/>
  <c r="E17" i="22"/>
  <c r="E17" i="13"/>
  <c r="E16" i="13"/>
  <c r="E17" i="23"/>
  <c r="E16" i="23"/>
  <c r="E17" i="20"/>
  <c r="E16" i="20"/>
  <c r="Z86" i="4" l="1"/>
  <c r="AA86" i="4"/>
  <c r="V87" i="4"/>
  <c r="W87" i="4"/>
  <c r="U89" i="4"/>
  <c r="E18" i="20"/>
  <c r="E20" i="20"/>
  <c r="E22" i="20" s="1"/>
  <c r="F19" i="20"/>
  <c r="F20" i="20" s="1"/>
  <c r="F22" i="20" s="1"/>
  <c r="E20" i="13"/>
  <c r="E22" i="13" s="1"/>
  <c r="E18" i="13"/>
  <c r="F19" i="13"/>
  <c r="F20" i="13" s="1"/>
  <c r="F22" i="13" s="1"/>
  <c r="F19" i="23"/>
  <c r="F20" i="23" s="1"/>
  <c r="F22" i="23" s="1"/>
  <c r="E20" i="23"/>
  <c r="E22" i="23" s="1"/>
  <c r="E18" i="23"/>
  <c r="E18" i="22"/>
  <c r="E20" i="22"/>
  <c r="E22" i="22" s="1"/>
  <c r="F19" i="22"/>
  <c r="F20" i="22" s="1"/>
  <c r="F22" i="22" s="1"/>
  <c r="E20" i="21"/>
  <c r="E22" i="21" s="1"/>
  <c r="E18" i="21"/>
  <c r="F19" i="21"/>
  <c r="F20" i="21" s="1"/>
  <c r="F22" i="21" s="1"/>
  <c r="AB86" i="4" l="1"/>
  <c r="D86" i="4" s="1"/>
  <c r="E17" i="6" s="1"/>
  <c r="X87" i="4"/>
  <c r="Y87" i="4"/>
  <c r="W89" i="4"/>
  <c r="G27" i="23"/>
  <c r="G28" i="23"/>
  <c r="G27" i="22"/>
  <c r="G28" i="22"/>
  <c r="G27" i="20"/>
  <c r="G28" i="20"/>
  <c r="G28" i="21"/>
  <c r="G27" i="21"/>
  <c r="AA87" i="4" l="1"/>
  <c r="Z87" i="4"/>
  <c r="Y89" i="4"/>
  <c r="AB87" i="4" l="1"/>
  <c r="D87" i="4" s="1"/>
  <c r="E18" i="6" s="1"/>
  <c r="E20" i="6" s="1"/>
  <c r="G12" i="13" s="1"/>
  <c r="AA89" i="4"/>
  <c r="G12" i="23" l="1"/>
  <c r="G12" i="20"/>
  <c r="G12" i="21"/>
  <c r="G12" i="22"/>
  <c r="G17" i="22" l="1"/>
  <c r="G16" i="22"/>
  <c r="G17" i="21"/>
  <c r="G16" i="21"/>
  <c r="G16" i="23"/>
  <c r="G17" i="23"/>
  <c r="G17" i="20"/>
  <c r="G16" i="20"/>
  <c r="G17" i="13"/>
  <c r="G16" i="13"/>
  <c r="G18" i="13" l="1"/>
  <c r="G20" i="13"/>
  <c r="G22" i="13" s="1"/>
  <c r="G18" i="23"/>
  <c r="G20" i="23"/>
  <c r="G22" i="23" s="1"/>
  <c r="G18" i="20"/>
  <c r="G20" i="20"/>
  <c r="G22" i="20" s="1"/>
  <c r="G18" i="21"/>
  <c r="G20" i="21"/>
  <c r="G22" i="21" s="1"/>
  <c r="G18" i="22"/>
  <c r="G20" i="22"/>
  <c r="G22" i="22" s="1"/>
  <c r="G28" i="13" l="1"/>
  <c r="G27" i="13"/>
</calcChain>
</file>

<file path=xl/sharedStrings.xml><?xml version="1.0" encoding="utf-8"?>
<sst xmlns="http://schemas.openxmlformats.org/spreadsheetml/2006/main" count="1492" uniqueCount="273">
  <si>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</si>
  <si>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</si>
  <si>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</si>
  <si>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</si>
  <si>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</si>
  <si>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</si>
  <si>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</si>
  <si>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</si>
  <si>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</si>
  <si>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</si>
  <si>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</si>
  <si>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</si>
  <si>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</si>
  <si>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</si>
  <si>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variables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</si>
  <si>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</si>
  <si>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</si>
  <si>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</si>
  <si>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</si>
  <si>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</si>
  <si>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</si>
  <si>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</si>
  <si>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</si>
  <si>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</si>
  <si>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</si>
  <si>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</si>
  <si>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</si>
  <si>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Total mercado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</si>
  <si>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</si>
  <si>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</si>
  <si>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</si>
  <si>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</si>
  <si>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</si>
  <si>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</si>
  <si>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</si>
  <si>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</si>
  <si>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</si>
  <si>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</si>
  <si>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Evolución de la participación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</si>
  <si>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</si>
  <si>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</si>
  <si>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</si>
  <si>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</si>
  <si>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</si>
  <si>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</si>
  <si>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</si>
  <si>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</si>
  <si>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</si>
  <si>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</si>
  <si>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</si>
  <si>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</si>
  <si>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</si>
  <si>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</si>
  <si>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</si>
  <si>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</si>
  <si>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</si>
  <si>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</si>
  <si>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</si>
  <si>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</si>
  <si>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</si>
  <si>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Año 2021</t>
  </si>
  <si>
    <t>RRHH</t>
  </si>
  <si>
    <t>Gerente general</t>
  </si>
  <si>
    <t>Sin cambios</t>
  </si>
  <si>
    <t>Gerente de tecnologia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</si>
  <si>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</si>
  <si>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</si>
  <si>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</si>
  <si>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</si>
  <si>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</si>
  <si>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</si>
  <si>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</si>
  <si>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</si>
  <si>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</si>
  <si>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</si>
  <si>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</si>
  <si>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</si>
  <si>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</si>
  <si>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</si>
  <si>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</si>
  <si>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</si>
  <si>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</si>
  <si>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</si>
  <si>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</si>
  <si>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</si>
  <si>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</si>
  <si>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</si>
  <si>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</si>
  <si>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</si>
  <si>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</si>
  <si>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</si>
  <si>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</si>
  <si>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</si>
  <si>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</si>
  <si>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</si>
  <si>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</si>
  <si>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2021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</si>
  <si>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</si>
  <si>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</si>
  <si>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</si>
  <si>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</si>
  <si>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</si>
  <si>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</si>
  <si>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</si>
  <si>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</si>
  <si>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</si>
  <si>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</si>
  <si>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</si>
  <si>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</si>
  <si>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</si>
  <si>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</si>
  <si>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</si>
  <si>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</si>
  <si>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</si>
  <si>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</si>
  <si>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</si>
  <si>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</si>
  <si>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</si>
  <si>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</si>
  <si>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</si>
  <si>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</si>
  <si>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</si>
  <si>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Costos de RRHH - Año 2021</t>
  </si>
  <si>
    <t>Junio + SAC</t>
  </si>
  <si>
    <t>Diciembre + SAC</t>
  </si>
  <si>
    <t>Totales</t>
  </si>
  <si>
    <t>Costos totales</t>
  </si>
  <si>
    <t>Costos Fijos</t>
  </si>
  <si>
    <t>Costos variables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</si>
  <si>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</si>
  <si>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</si>
  <si>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</si>
  <si>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</si>
  <si>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</si>
  <si>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</si>
  <si>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</si>
  <si>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</si>
  <si>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</si>
  <si>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</si>
  <si>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</si>
  <si>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</si>
  <si>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</si>
  <si>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</si>
  <si>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</si>
  <si>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</si>
  <si>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</si>
  <si>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</si>
  <si>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</si>
  <si>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</si>
  <si>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</si>
  <si>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Monto Imponible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</si>
  <si>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</si>
  <si>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</si>
  <si>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</si>
  <si>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</si>
  <si>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</si>
  <si>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</si>
  <si>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</si>
  <si>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</si>
  <si>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</si>
  <si>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</si>
  <si>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</si>
  <si>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</si>
  <si>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</si>
  <si>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</si>
  <si>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</si>
  <si>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</si>
  <si>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</si>
  <si>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</si>
  <si>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</si>
  <si>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</si>
  <si>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</si>
  <si>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</si>
  <si>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</si>
  <si>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</si>
  <si>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</si>
  <si>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</si>
  <si>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</si>
  <si>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</si>
  <si>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Durante el 2022, aparecen nuevos competidores que logran reducir los costos en un 25%</t>
  </si>
  <si>
    <t>Las ventas disminuten un 20% en 2022 y un 27% en 2023</t>
  </si>
  <si>
    <t xml:space="preserve">Alta </t>
  </si>
  <si>
    <t>Rotación de personal</t>
  </si>
  <si>
    <t>La aparecicion de competidores y el amplio mercado de IT, hace que la rotación de rercursos aumente en un 26%</t>
  </si>
  <si>
    <t>La capacidad de administrar clientes disminuye en un 10% el año 2 y un 17% el año 3.</t>
  </si>
  <si>
    <t>Aumentan los costos de proveedores cloud</t>
  </si>
  <si>
    <t>Los costos de servicios cloud, se ven afectados por la creciente cantidad de usuarios que lo consumen</t>
  </si>
  <si>
    <t>Gasto en servicios aumenta un 21% en 2022 y un 27% en 2023</t>
  </si>
  <si>
    <t>Media</t>
  </si>
  <si>
    <t>Baja</t>
  </si>
  <si>
    <t>Como se puede observar, aplicando el plan de contingencia pasamos de un escenario de pérdidas, con VAN negativo y TIR menor a la tasa de corte requerida, a una situación favorable superando levemente misma y convirtiendo el VAN a valores positivos.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</si>
  <si>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</t>
    </r>
    <r>
      <rPr>
        <sz val="11"/>
        <color theme="1"/>
        <rFont val="Calibri"/>
        <family val="2"/>
        <scheme val="minor"/>
      </rPr>
      <t xml:space="preserve">: Se reduce el porcentaje de contratación en un 10% el año 2022.
Medida nº2: Se reduce el porcentaje de contratación en un 13% el año 2023.
</t>
    </r>
  </si>
  <si>
    <t>Franco Fazzito</t>
  </si>
  <si>
    <t>5A</t>
  </si>
  <si>
    <t>B00019358</t>
  </si>
  <si>
    <t>francofazzito7@gmail.com</t>
  </si>
  <si>
    <r>
      <t xml:space="preserve">Nuestro mercado está compuesto por medianos y grandes locales de venta minoristas dedicados a la venta de hardware.
Además, nos estamos centrando en Ciudad de Buenos Aires en principio debido a que es la zona de mayor demanda de hardware y a su vez en la que más creció durante el último tiempo.
A su vez identificamos que según el tamaño del local de venta gastan en mayor o menor medidas en este tipo de servicios, siendo unos </t>
    </r>
    <r>
      <rPr>
        <b/>
        <sz val="14"/>
        <color theme="1"/>
        <rFont val="Calibri"/>
        <family val="2"/>
      </rPr>
      <t>$30000 mensuales</t>
    </r>
    <r>
      <rPr>
        <sz val="14"/>
        <color theme="1"/>
        <rFont val="Calibri"/>
        <family val="2"/>
      </rPr>
      <t xml:space="preserve"> </t>
    </r>
    <r>
      <rPr>
        <b/>
        <sz val="14"/>
        <color theme="1"/>
        <rFont val="Calibri"/>
        <family val="2"/>
      </rPr>
      <t>para los locales de venta medianos</t>
    </r>
    <r>
      <rPr>
        <sz val="14"/>
        <color theme="1"/>
        <rFont val="Calibri"/>
        <family val="2"/>
      </rPr>
      <t xml:space="preserve"> y </t>
    </r>
    <r>
      <rPr>
        <b/>
        <sz val="14"/>
        <color theme="1"/>
        <rFont val="Calibri"/>
        <family val="2"/>
      </rPr>
      <t>$50000 mensuales para los locales de venta grandes.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144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77 locales medianos</t>
    </r>
    <r>
      <rPr>
        <sz val="14"/>
        <color theme="1"/>
        <rFont val="Calibri"/>
        <family val="2"/>
      </rPr>
      <t xml:space="preserve"> y </t>
    </r>
    <r>
      <rPr>
        <b/>
        <sz val="14"/>
        <color theme="1"/>
        <rFont val="Calibri"/>
        <family val="2"/>
      </rPr>
      <t>67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$5,660,000.00 de pesos mensuales</t>
    </r>
    <r>
      <rPr>
        <sz val="14"/>
        <color theme="1"/>
        <rFont val="Calibri"/>
        <family val="2"/>
      </rPr>
      <t xml:space="preserve"> y realizando el cálculo anual quedaría en unos </t>
    </r>
    <r>
      <rPr>
        <b/>
        <sz val="14"/>
        <color theme="1"/>
        <rFont val="Calibri"/>
        <family val="2"/>
      </rPr>
      <t>$67,920,000.00 anuales.</t>
    </r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</si>
  <si>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Ciudad Autónoma de Buenos Aires.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</si>
  <si>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Gasto promedio mensual</t>
  </si>
  <si>
    <t>Gasto promedio annual</t>
  </si>
  <si>
    <t>Numero clientes</t>
  </si>
  <si>
    <t>Medianos</t>
  </si>
  <si>
    <t>Grandes</t>
  </si>
  <si>
    <t>#</t>
  </si>
  <si>
    <r>
      <t>El objetivo estratégico de nuestro emprendimiento es el de alcanzar el 35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$23.772.000.
</t>
    </r>
  </si>
  <si>
    <t>Inicial</t>
  </si>
  <si>
    <t>Normal</t>
  </si>
  <si>
    <t>Este plan está orientado hacia locales medianos en crecimiento e incluye las siguientes funcionalidades:
•	Asistente de armado.
•	Asistente de entrega.
•	Gestión de stock.</t>
  </si>
  <si>
    <t xml:space="preserve">Este plan está orientado hacia locales medianos más consolidados y pasando a ser grandes e incluye las siguientes funcionalidades:
•	Asistente de armado.
•	Asistente de entrega.
•	Gestión de stock.
•	Gestión de empleados.
•	Facturación y entrega de documentos. </t>
  </si>
  <si>
    <t>Este plan está orientado hacia locales grandes más consolidados e incluye las siguientes funcionalidades:
•	Asistente de armado.
•	Asistente de entrega.
•	Gestión de stock.
•	Gestión de empleados.
•	Facturación y entrega de documentos.
•	Gestión de proveedores.
•	Reporting.
•	Soporte especializado.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</si>
  <si>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</si>
  <si>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</si>
  <si>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</si>
  <si>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Gerente de administracion</t>
  </si>
  <si>
    <t>Gerente de comuinicacion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</si>
  <si>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</si>
  <si>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</si>
  <si>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</si>
  <si>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</si>
  <si>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</si>
  <si>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</si>
  <si>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</si>
  <si>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</si>
  <si>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</si>
  <si>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Campañas</t>
  </si>
  <si>
    <t>Costos fijos - Año 2024</t>
  </si>
  <si>
    <t>Servicio VPN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</si>
  <si>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</si>
  <si>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</si>
  <si>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</si>
  <si>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</si>
  <si>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</si>
  <si>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</si>
  <si>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</si>
  <si>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</si>
  <si>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</si>
  <si>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</si>
  <si>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</si>
  <si>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campana interna de venta</t>
  </si>
  <si>
    <t>publicdad online</t>
  </si>
  <si>
    <t>link: https://www.perimeter81.com/pricing</t>
  </si>
  <si>
    <t>servicio hosting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</si>
  <si>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</si>
  <si>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numero de hostings nonprod</t>
  </si>
  <si>
    <t>costo final servicio hosting</t>
  </si>
  <si>
    <t>servicio monitoreo</t>
  </si>
  <si>
    <t>servicio de repositorio</t>
  </si>
  <si>
    <t>servicio CD/CI</t>
  </si>
  <si>
    <t>servidor cloud serverless</t>
  </si>
  <si>
    <t>numero de hostings prod</t>
  </si>
  <si>
    <t>link: https://www.hostinger.com.ar/?ppc_campaign=google_search_brand&amp;bidkw=hostinger</t>
  </si>
  <si>
    <t>link: https://azure.microsoft.com/en-us/pricing/calculator/</t>
  </si>
  <si>
    <t>link : https://sendpulse.com/latam/prices</t>
  </si>
  <si>
    <t>link: https://pencilspeech.com/publicidad-en-internet/</t>
  </si>
  <si>
    <t>costo VPN</t>
  </si>
  <si>
    <t>Nombre</t>
  </si>
  <si>
    <t>Fuente</t>
  </si>
  <si>
    <t>se agrego un nuevo servidor cloud serverless para poder manejar una mayor cantidad de datos correspondiente a nuestros clientes</t>
  </si>
  <si>
    <t>Gerente de comunicacion</t>
  </si>
  <si>
    <t>comunicacion</t>
  </si>
  <si>
    <t>tecnologia</t>
  </si>
  <si>
    <t>gerencia general</t>
  </si>
  <si>
    <t>Desarrollador</t>
  </si>
  <si>
    <t>administracion y finanzas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</si>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</sst>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1" formatCode="_-* #,##0_-;\-* #,##0_-;_-* &quot;-&quot;??_-;_-@_-"/>
  </numFmts>
  <fonts count="4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u/>
      <sz val="11"/>
      <color theme="1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B6D6D"/>
        <bgColor rgb="FFFB6D6D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B6D6D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0"/>
        <bgColor rgb="FFFB6D6D"/>
      </patternFill>
    </fill>
    <fill>
      <patternFill patternType="solid">
        <fgColor theme="9" tint="0.79998168889431442"/>
        <bgColor rgb="FFFFFF00"/>
      </patternFill>
    </fill>
  </fills>
  <borders count="141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21">
    <xf numFmtId="0" fontId="0" fillId="0" borderId="0"/>
    <xf numFmtId="0" fontId="27" fillId="0" borderId="76"/>
    <xf numFmtId="0" fontId="20" fillId="0" borderId="0" applyNumberFormat="0" applyFill="0" applyBorder="0" applyAlignment="0" applyProtection="0"/>
    <xf numFmtId="0" fontId="4" fillId="0" borderId="76"/>
    <xf numFmtId="176" fontId="4" fillId="0" borderId="76" applyFont="0" applyFill="0" applyBorder="0" applyAlignment="0" applyProtection="0"/>
    <xf numFmtId="0" fontId="32" fillId="0" borderId="76" applyNumberFormat="0" applyFill="0" applyBorder="0" applyAlignment="0" applyProtection="0"/>
    <xf numFmtId="176" fontId="4" fillId="0" borderId="76" applyFont="0" applyFill="0" applyBorder="0" applyAlignment="0" applyProtection="0"/>
    <xf numFmtId="0" fontId="4" fillId="0" borderId="76"/>
    <xf numFmtId="177" fontId="33" fillId="0" borderId="76" applyFont="0" applyFill="0" applyBorder="0" applyAlignment="0" applyProtection="0"/>
    <xf numFmtId="9" fontId="4" fillId="0" borderId="76" applyFont="0" applyFill="0" applyBorder="0" applyAlignment="0" applyProtection="0"/>
    <xf numFmtId="0" fontId="3" fillId="0" borderId="76"/>
    <xf numFmtId="0" fontId="3" fillId="20" borderId="76" applyNumberFormat="0" applyBorder="0" applyAlignment="0" applyProtection="0"/>
    <xf numFmtId="166" fontId="3" fillId="0" borderId="76" applyFont="0" applyFill="0" applyBorder="0" applyAlignment="0" applyProtection="0"/>
    <xf numFmtId="178" fontId="3" fillId="0" borderId="76" applyFont="0" applyFill="0" applyBorder="0" applyAlignment="0" applyProtection="0"/>
    <xf numFmtId="179" fontId="35" fillId="0" borderId="76"/>
    <xf numFmtId="179" fontId="35" fillId="0" borderId="76"/>
    <xf numFmtId="44" fontId="3" fillId="0" borderId="76" applyFont="0" applyFill="0" applyBorder="0" applyAlignment="0" applyProtection="0"/>
    <xf numFmtId="9" fontId="3" fillId="0" borderId="76" applyFont="0" applyFill="0" applyBorder="0" applyAlignment="0" applyProtection="0"/>
    <xf numFmtId="165" fontId="3" fillId="0" borderId="76" applyFont="0" applyFill="0" applyBorder="0" applyAlignment="0" applyProtection="0"/>
    <xf numFmtId="44" fontId="36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653">
    <xf numFmtId="0" fontId="0" fillId="0" borderId="0" xfId="0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/>
    </xf>
    <xf numFmtId="0" fontId="8" fillId="2" borderId="1" xfId="0" applyFont="1" applyFill="1" applyBorder="1"/>
    <xf numFmtId="0" fontId="9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5" fillId="3" borderId="1" xfId="0" applyFont="1" applyFill="1" applyBorder="1"/>
    <xf numFmtId="0" fontId="13" fillId="0" borderId="0" xfId="0" applyFont="1"/>
    <xf numFmtId="0" fontId="5" fillId="2" borderId="1" xfId="0" applyFont="1" applyFill="1" applyBorder="1" applyAlignment="1">
      <alignment vertical="center" wrapText="1"/>
    </xf>
    <xf numFmtId="0" fontId="16" fillId="2" borderId="1" xfId="0" applyFont="1" applyFill="1" applyBorder="1" applyAlignment="1">
      <alignment horizontal="left" vertical="top" wrapText="1"/>
    </xf>
    <xf numFmtId="168" fontId="5" fillId="2" borderId="1" xfId="0" applyNumberFormat="1" applyFont="1" applyFill="1" applyBorder="1"/>
    <xf numFmtId="0" fontId="19" fillId="2" borderId="1" xfId="0" applyFont="1" applyFill="1" applyBorder="1" applyAlignment="1">
      <alignment horizontal="left" vertical="top" wrapText="1"/>
    </xf>
    <xf numFmtId="0" fontId="19" fillId="2" borderId="15" xfId="0" applyFont="1" applyFill="1" applyBorder="1" applyAlignment="1">
      <alignment horizontal="center" vertical="top" wrapText="1"/>
    </xf>
    <xf numFmtId="170" fontId="19" fillId="2" borderId="15" xfId="0" applyNumberFormat="1" applyFont="1" applyFill="1" applyBorder="1" applyAlignment="1">
      <alignment horizontal="center" vertical="top" wrapText="1"/>
    </xf>
    <xf numFmtId="169" fontId="19" fillId="2" borderId="15" xfId="0" applyNumberFormat="1" applyFont="1" applyFill="1" applyBorder="1" applyAlignment="1">
      <alignment horizontal="left" vertical="top" wrapText="1"/>
    </xf>
    <xf numFmtId="9" fontId="19" fillId="2" borderId="1" xfId="0" applyNumberFormat="1" applyFont="1" applyFill="1" applyBorder="1" applyAlignment="1">
      <alignment horizontal="left" vertical="top" wrapText="1"/>
    </xf>
    <xf numFmtId="169" fontId="19" fillId="2" borderId="1" xfId="0" applyNumberFormat="1" applyFont="1" applyFill="1" applyBorder="1" applyAlignment="1">
      <alignment horizontal="left" vertical="top" wrapText="1"/>
    </xf>
    <xf numFmtId="171" fontId="19" fillId="2" borderId="1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wrapText="1"/>
    </xf>
    <xf numFmtId="0" fontId="1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top" wrapText="1"/>
    </xf>
    <xf numFmtId="170" fontId="5" fillId="2" borderId="29" xfId="0" applyNumberFormat="1" applyFont="1" applyFill="1" applyBorder="1" applyAlignment="1">
      <alignment horizontal="center"/>
    </xf>
    <xf numFmtId="170" fontId="5" fillId="2" borderId="15" xfId="0" applyNumberFormat="1" applyFont="1" applyFill="1" applyBorder="1" applyAlignment="1">
      <alignment horizontal="center"/>
    </xf>
    <xf numFmtId="170" fontId="5" fillId="2" borderId="30" xfId="0" applyNumberFormat="1" applyFont="1" applyFill="1" applyBorder="1" applyAlignment="1">
      <alignment horizontal="center"/>
    </xf>
    <xf numFmtId="173" fontId="5" fillId="2" borderId="19" xfId="0" applyNumberFormat="1" applyFont="1" applyFill="1" applyBorder="1" applyAlignment="1">
      <alignment horizontal="center"/>
    </xf>
    <xf numFmtId="173" fontId="5" fillId="2" borderId="20" xfId="0" applyNumberFormat="1" applyFont="1" applyFill="1" applyBorder="1" applyAlignment="1">
      <alignment horizontal="center"/>
    </xf>
    <xf numFmtId="173" fontId="5" fillId="2" borderId="35" xfId="0" applyNumberFormat="1" applyFont="1" applyFill="1" applyBorder="1" applyAlignment="1">
      <alignment horizontal="center"/>
    </xf>
    <xf numFmtId="169" fontId="5" fillId="2" borderId="1" xfId="0" applyNumberFormat="1" applyFont="1" applyFill="1" applyBorder="1"/>
    <xf numFmtId="173" fontId="5" fillId="2" borderId="1" xfId="0" applyNumberFormat="1" applyFont="1" applyFill="1" applyBorder="1"/>
    <xf numFmtId="167" fontId="5" fillId="2" borderId="1" xfId="0" applyNumberFormat="1" applyFont="1" applyFill="1" applyBorder="1"/>
    <xf numFmtId="0" fontId="21" fillId="0" borderId="38" xfId="0" applyFont="1" applyBorder="1" applyAlignment="1">
      <alignment horizontal="center" vertical="center"/>
    </xf>
    <xf numFmtId="0" fontId="5" fillId="0" borderId="55" xfId="0" applyFont="1" applyBorder="1" applyAlignment="1">
      <alignment horizontal="left" wrapText="1"/>
    </xf>
    <xf numFmtId="0" fontId="21" fillId="0" borderId="43" xfId="0" applyFont="1" applyBorder="1" applyAlignment="1">
      <alignment horizontal="center" vertical="center"/>
    </xf>
    <xf numFmtId="173" fontId="5" fillId="0" borderId="56" xfId="0" applyNumberFormat="1" applyFont="1" applyBorder="1" applyAlignment="1">
      <alignment horizontal="left" wrapText="1"/>
    </xf>
    <xf numFmtId="0" fontId="21" fillId="0" borderId="10" xfId="0" applyFont="1" applyBorder="1" applyAlignment="1">
      <alignment horizontal="center" vertical="center"/>
    </xf>
    <xf numFmtId="173" fontId="5" fillId="0" borderId="38" xfId="0" applyNumberFormat="1" applyFont="1" applyBorder="1" applyAlignment="1">
      <alignment horizontal="left" wrapText="1"/>
    </xf>
    <xf numFmtId="0" fontId="21" fillId="0" borderId="63" xfId="0" applyFont="1" applyBorder="1" applyAlignment="1">
      <alignment horizontal="center" vertical="center"/>
    </xf>
    <xf numFmtId="173" fontId="5" fillId="0" borderId="43" xfId="0" applyNumberFormat="1" applyFont="1" applyBorder="1" applyAlignment="1">
      <alignment horizontal="left" wrapText="1"/>
    </xf>
    <xf numFmtId="0" fontId="1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center" vertical="center"/>
    </xf>
    <xf numFmtId="0" fontId="5" fillId="7" borderId="1" xfId="0" applyFont="1" applyFill="1" applyBorder="1"/>
    <xf numFmtId="173" fontId="5" fillId="7" borderId="1" xfId="0" applyNumberFormat="1" applyFont="1" applyFill="1" applyBorder="1"/>
    <xf numFmtId="0" fontId="5" fillId="7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vertical="center"/>
    </xf>
    <xf numFmtId="0" fontId="14" fillId="2" borderId="1" xfId="0" applyFont="1" applyFill="1" applyBorder="1"/>
    <xf numFmtId="0" fontId="5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5" fillId="2" borderId="15" xfId="0" applyFont="1" applyFill="1" applyBorder="1"/>
    <xf numFmtId="0" fontId="5" fillId="2" borderId="69" xfId="0" applyFont="1" applyFill="1" applyBorder="1" applyAlignment="1">
      <alignment wrapText="1"/>
    </xf>
    <xf numFmtId="0" fontId="5" fillId="2" borderId="69" xfId="0" applyFont="1" applyFill="1" applyBorder="1" applyAlignment="1">
      <alignment horizontal="center" wrapText="1"/>
    </xf>
    <xf numFmtId="0" fontId="5" fillId="2" borderId="69" xfId="0" applyFont="1" applyFill="1" applyBorder="1"/>
    <xf numFmtId="0" fontId="21" fillId="2" borderId="71" xfId="0" applyFont="1" applyFill="1" applyBorder="1" applyAlignment="1">
      <alignment horizontal="center" vertical="center" wrapText="1"/>
    </xf>
    <xf numFmtId="0" fontId="21" fillId="2" borderId="50" xfId="0" applyFont="1" applyFill="1" applyBorder="1" applyAlignment="1">
      <alignment horizontal="center" vertical="center" wrapText="1"/>
    </xf>
    <xf numFmtId="1" fontId="21" fillId="0" borderId="73" xfId="0" applyNumberFormat="1" applyFont="1" applyBorder="1" applyAlignment="1">
      <alignment horizontal="center" vertical="center" wrapText="1"/>
    </xf>
    <xf numFmtId="0" fontId="21" fillId="0" borderId="74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wrapText="1"/>
    </xf>
    <xf numFmtId="0" fontId="5" fillId="7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0" fontId="23" fillId="3" borderId="1" xfId="0" applyFont="1" applyFill="1" applyBorder="1" applyAlignment="1">
      <alignment vertical="center"/>
    </xf>
    <xf numFmtId="0" fontId="21" fillId="3" borderId="15" xfId="0" applyFont="1" applyFill="1" applyBorder="1" applyAlignment="1">
      <alignment horizontal="center"/>
    </xf>
    <xf numFmtId="173" fontId="5" fillId="2" borderId="15" xfId="0" applyNumberFormat="1" applyFont="1" applyFill="1" applyBorder="1" applyAlignment="1">
      <alignment horizontal="center"/>
    </xf>
    <xf numFmtId="171" fontId="17" fillId="5" borderId="23" xfId="0" applyNumberFormat="1" applyFont="1" applyFill="1" applyBorder="1" applyAlignment="1">
      <alignment horizontal="left" wrapText="1"/>
    </xf>
    <xf numFmtId="169" fontId="5" fillId="5" borderId="24" xfId="0" applyNumberFormat="1" applyFont="1" applyFill="1" applyBorder="1" applyAlignment="1">
      <alignment wrapText="1"/>
    </xf>
    <xf numFmtId="171" fontId="17" fillId="8" borderId="23" xfId="0" applyNumberFormat="1" applyFont="1" applyFill="1" applyBorder="1" applyAlignment="1">
      <alignment horizontal="left" wrapText="1"/>
    </xf>
    <xf numFmtId="169" fontId="5" fillId="8" borderId="24" xfId="0" applyNumberFormat="1" applyFont="1" applyFill="1" applyBorder="1" applyAlignment="1">
      <alignment wrapText="1"/>
    </xf>
    <xf numFmtId="0" fontId="21" fillId="9" borderId="19" xfId="0" applyFont="1" applyFill="1" applyBorder="1" applyAlignment="1">
      <alignment wrapText="1"/>
    </xf>
    <xf numFmtId="169" fontId="21" fillId="9" borderId="20" xfId="0" applyNumberFormat="1" applyFont="1" applyFill="1" applyBorder="1" applyAlignment="1">
      <alignment wrapText="1"/>
    </xf>
    <xf numFmtId="169" fontId="21" fillId="9" borderId="35" xfId="0" applyNumberFormat="1" applyFont="1" applyFill="1" applyBorder="1" applyAlignment="1">
      <alignment wrapText="1"/>
    </xf>
    <xf numFmtId="173" fontId="5" fillId="2" borderId="1" xfId="0" applyNumberFormat="1" applyFont="1" applyFill="1" applyBorder="1" applyAlignment="1">
      <alignment horizontal="center"/>
    </xf>
    <xf numFmtId="0" fontId="21" fillId="3" borderId="81" xfId="0" applyFont="1" applyFill="1" applyBorder="1" applyAlignment="1">
      <alignment horizontal="center"/>
    </xf>
    <xf numFmtId="0" fontId="21" fillId="3" borderId="82" xfId="0" applyFont="1" applyFill="1" applyBorder="1" applyAlignment="1">
      <alignment horizontal="center"/>
    </xf>
    <xf numFmtId="0" fontId="21" fillId="3" borderId="2" xfId="0" applyFont="1" applyFill="1" applyBorder="1" applyAlignment="1">
      <alignment horizontal="center"/>
    </xf>
    <xf numFmtId="169" fontId="21" fillId="6" borderId="2" xfId="0" applyNumberFormat="1" applyFont="1" applyFill="1" applyBorder="1" applyAlignment="1">
      <alignment horizontal="center"/>
    </xf>
    <xf numFmtId="9" fontId="5" fillId="2" borderId="1" xfId="0" applyNumberFormat="1" applyFont="1" applyFill="1" applyBorder="1" applyAlignment="1">
      <alignment horizontal="center"/>
    </xf>
    <xf numFmtId="169" fontId="5" fillId="0" borderId="2" xfId="0" applyNumberFormat="1" applyFont="1" applyBorder="1" applyAlignment="1">
      <alignment horizontal="center"/>
    </xf>
    <xf numFmtId="175" fontId="5" fillId="0" borderId="15" xfId="0" applyNumberFormat="1" applyFont="1" applyBorder="1" applyAlignment="1">
      <alignment horizontal="center"/>
    </xf>
    <xf numFmtId="0" fontId="21" fillId="3" borderId="20" xfId="0" applyFont="1" applyFill="1" applyBorder="1" applyAlignment="1">
      <alignment horizontal="center"/>
    </xf>
    <xf numFmtId="173" fontId="21" fillId="6" borderId="35" xfId="0" applyNumberFormat="1" applyFont="1" applyFill="1" applyBorder="1"/>
    <xf numFmtId="173" fontId="5" fillId="2" borderId="15" xfId="0" applyNumberFormat="1" applyFont="1" applyFill="1" applyBorder="1" applyAlignment="1">
      <alignment horizontal="right"/>
    </xf>
    <xf numFmtId="173" fontId="21" fillId="6" borderId="15" xfId="0" applyNumberFormat="1" applyFont="1" applyFill="1" applyBorder="1" applyAlignment="1">
      <alignment horizontal="right"/>
    </xf>
    <xf numFmtId="0" fontId="21" fillId="3" borderId="88" xfId="0" applyFont="1" applyFill="1" applyBorder="1" applyAlignment="1">
      <alignment horizontal="center"/>
    </xf>
    <xf numFmtId="0" fontId="21" fillId="3" borderId="89" xfId="0" applyFont="1" applyFill="1" applyBorder="1" applyAlignment="1">
      <alignment horizontal="center"/>
    </xf>
    <xf numFmtId="0" fontId="21" fillId="3" borderId="90" xfId="0" applyFont="1" applyFill="1" applyBorder="1" applyAlignment="1">
      <alignment horizontal="center"/>
    </xf>
    <xf numFmtId="9" fontId="5" fillId="2" borderId="29" xfId="0" applyNumberFormat="1" applyFont="1" applyFill="1" applyBorder="1" applyAlignment="1">
      <alignment horizontal="center"/>
    </xf>
    <xf numFmtId="9" fontId="5" fillId="2" borderId="15" xfId="0" applyNumberFormat="1" applyFont="1" applyFill="1" applyBorder="1" applyAlignment="1">
      <alignment horizontal="center"/>
    </xf>
    <xf numFmtId="9" fontId="5" fillId="2" borderId="30" xfId="0" applyNumberFormat="1" applyFont="1" applyFill="1" applyBorder="1" applyAlignment="1">
      <alignment horizontal="center"/>
    </xf>
    <xf numFmtId="173" fontId="5" fillId="0" borderId="19" xfId="0" applyNumberFormat="1" applyFont="1" applyBorder="1" applyAlignment="1">
      <alignment horizontal="center"/>
    </xf>
    <xf numFmtId="173" fontId="5" fillId="0" borderId="20" xfId="0" applyNumberFormat="1" applyFont="1" applyBorder="1" applyAlignment="1">
      <alignment horizontal="center"/>
    </xf>
    <xf numFmtId="173" fontId="5" fillId="0" borderId="35" xfId="0" applyNumberFormat="1" applyFont="1" applyBorder="1" applyAlignment="1">
      <alignment horizontal="center"/>
    </xf>
    <xf numFmtId="173" fontId="5" fillId="0" borderId="15" xfId="0" applyNumberFormat="1" applyFont="1" applyBorder="1" applyAlignment="1">
      <alignment horizontal="center"/>
    </xf>
    <xf numFmtId="173" fontId="21" fillId="6" borderId="5" xfId="0" applyNumberFormat="1" applyFont="1" applyFill="1" applyBorder="1" applyAlignment="1">
      <alignment horizontal="center"/>
    </xf>
    <xf numFmtId="173" fontId="5" fillId="0" borderId="30" xfId="0" applyNumberFormat="1" applyFont="1" applyBorder="1" applyAlignment="1">
      <alignment horizontal="center"/>
    </xf>
    <xf numFmtId="173" fontId="5" fillId="0" borderId="42" xfId="0" applyNumberFormat="1" applyFont="1" applyBorder="1" applyAlignment="1">
      <alignment horizontal="center"/>
    </xf>
    <xf numFmtId="0" fontId="21" fillId="3" borderId="75" xfId="0" applyFont="1" applyFill="1" applyBorder="1"/>
    <xf numFmtId="173" fontId="5" fillId="2" borderId="29" xfId="0" applyNumberFormat="1" applyFont="1" applyFill="1" applyBorder="1" applyAlignment="1">
      <alignment horizontal="center"/>
    </xf>
    <xf numFmtId="173" fontId="5" fillId="2" borderId="30" xfId="0" applyNumberFormat="1" applyFont="1" applyFill="1" applyBorder="1" applyAlignment="1">
      <alignment horizontal="center"/>
    </xf>
    <xf numFmtId="0" fontId="21" fillId="3" borderId="74" xfId="0" applyFont="1" applyFill="1" applyBorder="1" applyAlignment="1">
      <alignment horizontal="center"/>
    </xf>
    <xf numFmtId="0" fontId="5" fillId="0" borderId="80" xfId="0" applyFont="1" applyBorder="1" applyAlignment="1">
      <alignment horizontal="center"/>
    </xf>
    <xf numFmtId="173" fontId="5" fillId="0" borderId="96" xfId="0" applyNumberFormat="1" applyFont="1" applyBorder="1" applyAlignment="1">
      <alignment horizontal="center"/>
    </xf>
    <xf numFmtId="0" fontId="5" fillId="0" borderId="30" xfId="0" applyFont="1" applyBorder="1"/>
    <xf numFmtId="0" fontId="5" fillId="0" borderId="57" xfId="0" applyFont="1" applyBorder="1" applyAlignment="1">
      <alignment horizontal="center"/>
    </xf>
    <xf numFmtId="0" fontId="5" fillId="0" borderId="42" xfId="0" applyFont="1" applyBorder="1"/>
    <xf numFmtId="0" fontId="5" fillId="0" borderId="78" xfId="0" applyFont="1" applyBorder="1" applyAlignment="1">
      <alignment horizontal="center"/>
    </xf>
    <xf numFmtId="173" fontId="5" fillId="0" borderId="107" xfId="0" applyNumberFormat="1" applyFont="1" applyBorder="1" applyAlignment="1">
      <alignment horizontal="center"/>
    </xf>
    <xf numFmtId="0" fontId="5" fillId="6" borderId="81" xfId="0" applyFont="1" applyFill="1" applyBorder="1" applyAlignment="1">
      <alignment horizontal="center"/>
    </xf>
    <xf numFmtId="173" fontId="5" fillId="6" borderId="82" xfId="0" applyNumberFormat="1" applyFont="1" applyFill="1" applyBorder="1" applyAlignment="1">
      <alignment horizontal="center"/>
    </xf>
    <xf numFmtId="173" fontId="5" fillId="6" borderId="74" xfId="0" applyNumberFormat="1" applyFont="1" applyFill="1" applyBorder="1" applyAlignment="1">
      <alignment horizontal="center"/>
    </xf>
    <xf numFmtId="173" fontId="5" fillId="0" borderId="95" xfId="0" applyNumberFormat="1" applyFont="1" applyBorder="1" applyAlignment="1">
      <alignment horizontal="center"/>
    </xf>
    <xf numFmtId="173" fontId="5" fillId="0" borderId="108" xfId="0" applyNumberFormat="1" applyFont="1" applyBorder="1" applyAlignment="1">
      <alignment horizontal="center"/>
    </xf>
    <xf numFmtId="173" fontId="5" fillId="0" borderId="39" xfId="0" applyNumberFormat="1" applyFont="1" applyBorder="1" applyAlignment="1">
      <alignment horizontal="center"/>
    </xf>
    <xf numFmtId="173" fontId="5" fillId="0" borderId="40" xfId="0" applyNumberFormat="1" applyFont="1" applyBorder="1" applyAlignment="1">
      <alignment horizontal="center"/>
    </xf>
    <xf numFmtId="173" fontId="5" fillId="6" borderId="81" xfId="0" applyNumberFormat="1" applyFont="1" applyFill="1" applyBorder="1" applyAlignment="1">
      <alignment horizontal="center"/>
    </xf>
    <xf numFmtId="173" fontId="21" fillId="6" borderId="23" xfId="0" applyNumberFormat="1" applyFont="1" applyFill="1" applyBorder="1"/>
    <xf numFmtId="9" fontId="21" fillId="4" borderId="48" xfId="0" applyNumberFormat="1" applyFont="1" applyFill="1" applyBorder="1" applyAlignment="1">
      <alignment horizontal="center"/>
    </xf>
    <xf numFmtId="173" fontId="21" fillId="6" borderId="29" xfId="0" applyNumberFormat="1" applyFont="1" applyFill="1" applyBorder="1"/>
    <xf numFmtId="164" fontId="21" fillId="4" borderId="30" xfId="0" applyNumberFormat="1" applyFont="1" applyFill="1" applyBorder="1" applyAlignment="1">
      <alignment horizontal="center"/>
    </xf>
    <xf numFmtId="173" fontId="21" fillId="6" borderId="19" xfId="0" applyNumberFormat="1" applyFont="1" applyFill="1" applyBorder="1"/>
    <xf numFmtId="9" fontId="21" fillId="4" borderId="35" xfId="0" applyNumberFormat="1" applyFont="1" applyFill="1" applyBorder="1" applyAlignment="1">
      <alignment horizontal="center"/>
    </xf>
    <xf numFmtId="169" fontId="21" fillId="2" borderId="1" xfId="0" applyNumberFormat="1" applyFont="1" applyFill="1" applyBorder="1" applyAlignment="1">
      <alignment horizontal="center"/>
    </xf>
    <xf numFmtId="8" fontId="5" fillId="2" borderId="1" xfId="0" applyNumberFormat="1" applyFont="1" applyFill="1" applyBorder="1"/>
    <xf numFmtId="0" fontId="21" fillId="3" borderId="19" xfId="0" applyFont="1" applyFill="1" applyBorder="1" applyAlignment="1">
      <alignment horizontal="center"/>
    </xf>
    <xf numFmtId="0" fontId="21" fillId="3" borderId="20" xfId="0" applyFont="1" applyFill="1" applyBorder="1" applyAlignment="1">
      <alignment horizontal="center" vertical="center" wrapText="1"/>
    </xf>
    <xf numFmtId="0" fontId="21" fillId="3" borderId="35" xfId="0" applyFont="1" applyFill="1" applyBorder="1" applyAlignment="1">
      <alignment horizontal="center"/>
    </xf>
    <xf numFmtId="0" fontId="21" fillId="3" borderId="55" xfId="0" applyFont="1" applyFill="1" applyBorder="1" applyAlignment="1">
      <alignment horizontal="center" vertical="center"/>
    </xf>
    <xf numFmtId="0" fontId="5" fillId="10" borderId="73" xfId="0" applyFont="1" applyFill="1" applyBorder="1" applyAlignment="1">
      <alignment horizontal="left" vertical="center" wrapText="1"/>
    </xf>
    <xf numFmtId="0" fontId="5" fillId="10" borderId="82" xfId="0" applyFont="1" applyFill="1" applyBorder="1" applyAlignment="1">
      <alignment horizontal="left" vertical="center" wrapText="1"/>
    </xf>
    <xf numFmtId="0" fontId="5" fillId="10" borderId="82" xfId="0" applyFont="1" applyFill="1" applyBorder="1" applyAlignment="1">
      <alignment horizontal="center" vertical="center"/>
    </xf>
    <xf numFmtId="0" fontId="5" fillId="10" borderId="74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 wrapText="1"/>
    </xf>
    <xf numFmtId="0" fontId="21" fillId="3" borderId="87" xfId="0" applyFont="1" applyFill="1" applyBorder="1" applyAlignment="1">
      <alignment horizontal="center" vertical="center"/>
    </xf>
    <xf numFmtId="0" fontId="5" fillId="2" borderId="109" xfId="0" applyFont="1" applyFill="1" applyBorder="1" applyAlignment="1">
      <alignment horizontal="left" vertical="center" wrapText="1"/>
    </xf>
    <xf numFmtId="0" fontId="5" fillId="2" borderId="64" xfId="0" applyFont="1" applyFill="1" applyBorder="1" applyAlignment="1">
      <alignment horizontal="left" vertical="center" wrapText="1"/>
    </xf>
    <xf numFmtId="0" fontId="5" fillId="2" borderId="64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5" fillId="10" borderId="81" xfId="0" applyFont="1" applyFill="1" applyBorder="1" applyAlignment="1">
      <alignment horizontal="left" vertical="center" wrapText="1"/>
    </xf>
    <xf numFmtId="0" fontId="5" fillId="2" borderId="76" xfId="0" applyFont="1" applyFill="1" applyBorder="1"/>
    <xf numFmtId="0" fontId="21" fillId="11" borderId="43" xfId="0" applyFont="1" applyFill="1" applyBorder="1" applyAlignment="1">
      <alignment horizontal="center" vertical="center"/>
    </xf>
    <xf numFmtId="0" fontId="5" fillId="2" borderId="114" xfId="0" applyFont="1" applyFill="1" applyBorder="1"/>
    <xf numFmtId="1" fontId="5" fillId="2" borderId="114" xfId="0" applyNumberFormat="1" applyFont="1" applyFill="1" applyBorder="1"/>
    <xf numFmtId="173" fontId="5" fillId="0" borderId="114" xfId="0" applyNumberFormat="1" applyFont="1" applyBorder="1" applyAlignment="1">
      <alignment horizontal="left" wrapText="1"/>
    </xf>
    <xf numFmtId="1" fontId="5" fillId="12" borderId="114" xfId="0" applyNumberFormat="1" applyFont="1" applyFill="1" applyBorder="1"/>
    <xf numFmtId="0" fontId="5" fillId="12" borderId="114" xfId="0" applyFont="1" applyFill="1" applyBorder="1"/>
    <xf numFmtId="0" fontId="21" fillId="11" borderId="68" xfId="0" applyFont="1" applyFill="1" applyBorder="1" applyAlignment="1">
      <alignment horizontal="center" vertical="center"/>
    </xf>
    <xf numFmtId="0" fontId="28" fillId="0" borderId="114" xfId="0" applyFont="1" applyBorder="1" applyAlignment="1">
      <alignment horizontal="center" vertical="center"/>
    </xf>
    <xf numFmtId="0" fontId="28" fillId="0" borderId="114" xfId="0" applyFont="1" applyBorder="1" applyAlignment="1">
      <alignment horizontal="center"/>
    </xf>
    <xf numFmtId="0" fontId="28" fillId="11" borderId="114" xfId="0" applyFont="1" applyFill="1" applyBorder="1" applyAlignment="1">
      <alignment horizontal="center" vertical="center"/>
    </xf>
    <xf numFmtId="0" fontId="5" fillId="13" borderId="1" xfId="0" applyFont="1" applyFill="1" applyBorder="1"/>
    <xf numFmtId="173" fontId="21" fillId="6" borderId="114" xfId="0" applyNumberFormat="1" applyFont="1" applyFill="1" applyBorder="1"/>
    <xf numFmtId="0" fontId="5" fillId="0" borderId="114" xfId="0" applyFont="1" applyBorder="1" applyAlignment="1">
      <alignment vertical="center"/>
    </xf>
    <xf numFmtId="173" fontId="5" fillId="0" borderId="114" xfId="0" applyNumberFormat="1" applyFont="1" applyBorder="1" applyAlignment="1">
      <alignment horizontal="center"/>
    </xf>
    <xf numFmtId="0" fontId="26" fillId="0" borderId="114" xfId="0" applyFont="1" applyBorder="1"/>
    <xf numFmtId="0" fontId="20" fillId="0" borderId="0" xfId="2" applyAlignment="1"/>
    <xf numFmtId="10" fontId="5" fillId="2" borderId="1" xfId="0" applyNumberFormat="1" applyFont="1" applyFill="1" applyBorder="1"/>
    <xf numFmtId="173" fontId="28" fillId="0" borderId="118" xfId="0" applyNumberFormat="1" applyFont="1" applyBorder="1" applyAlignment="1">
      <alignment horizontal="left" wrapText="1"/>
    </xf>
    <xf numFmtId="0" fontId="28" fillId="0" borderId="118" xfId="0" applyFont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173" fontId="28" fillId="0" borderId="118" xfId="0" applyNumberFormat="1" applyFont="1" applyBorder="1" applyAlignment="1">
      <alignment horizontal="center"/>
    </xf>
    <xf numFmtId="0" fontId="5" fillId="18" borderId="30" xfId="0" applyFont="1" applyFill="1" applyBorder="1"/>
    <xf numFmtId="0" fontId="5" fillId="18" borderId="57" xfId="0" applyFont="1" applyFill="1" applyBorder="1" applyAlignment="1">
      <alignment horizontal="center"/>
    </xf>
    <xf numFmtId="173" fontId="5" fillId="18" borderId="15" xfId="0" applyNumberFormat="1" applyFont="1" applyFill="1" applyBorder="1" applyAlignment="1">
      <alignment horizontal="center"/>
    </xf>
    <xf numFmtId="173" fontId="5" fillId="18" borderId="30" xfId="0" applyNumberFormat="1" applyFont="1" applyFill="1" applyBorder="1" applyAlignment="1">
      <alignment horizontal="center"/>
    </xf>
    <xf numFmtId="0" fontId="5" fillId="18" borderId="42" xfId="0" applyFont="1" applyFill="1" applyBorder="1"/>
    <xf numFmtId="0" fontId="5" fillId="18" borderId="78" xfId="0" applyFont="1" applyFill="1" applyBorder="1" applyAlignment="1">
      <alignment horizontal="center"/>
    </xf>
    <xf numFmtId="173" fontId="5" fillId="18" borderId="107" xfId="0" applyNumberFormat="1" applyFont="1" applyFill="1" applyBorder="1" applyAlignment="1">
      <alignment horizontal="center"/>
    </xf>
    <xf numFmtId="0" fontId="5" fillId="17" borderId="81" xfId="0" applyFont="1" applyFill="1" applyBorder="1" applyAlignment="1">
      <alignment horizontal="center"/>
    </xf>
    <xf numFmtId="173" fontId="5" fillId="17" borderId="82" xfId="0" applyNumberFormat="1" applyFont="1" applyFill="1" applyBorder="1" applyAlignment="1">
      <alignment horizontal="center"/>
    </xf>
    <xf numFmtId="173" fontId="5" fillId="17" borderId="74" xfId="0" applyNumberFormat="1" applyFont="1" applyFill="1" applyBorder="1" applyAlignment="1">
      <alignment horizontal="center"/>
    </xf>
    <xf numFmtId="0" fontId="5" fillId="18" borderId="80" xfId="0" applyFont="1" applyFill="1" applyBorder="1" applyAlignment="1">
      <alignment horizontal="center"/>
    </xf>
    <xf numFmtId="173" fontId="5" fillId="18" borderId="96" xfId="0" applyNumberFormat="1" applyFont="1" applyFill="1" applyBorder="1" applyAlignment="1">
      <alignment horizontal="center"/>
    </xf>
    <xf numFmtId="173" fontId="5" fillId="18" borderId="95" xfId="0" applyNumberFormat="1" applyFont="1" applyFill="1" applyBorder="1" applyAlignment="1">
      <alignment horizontal="center"/>
    </xf>
    <xf numFmtId="173" fontId="5" fillId="18" borderId="42" xfId="0" applyNumberFormat="1" applyFont="1" applyFill="1" applyBorder="1" applyAlignment="1">
      <alignment horizontal="center"/>
    </xf>
    <xf numFmtId="173" fontId="5" fillId="18" borderId="108" xfId="0" applyNumberFormat="1" applyFont="1" applyFill="1" applyBorder="1" applyAlignment="1">
      <alignment horizontal="center"/>
    </xf>
    <xf numFmtId="173" fontId="5" fillId="18" borderId="39" xfId="0" applyNumberFormat="1" applyFont="1" applyFill="1" applyBorder="1" applyAlignment="1">
      <alignment horizontal="center"/>
    </xf>
    <xf numFmtId="173" fontId="5" fillId="18" borderId="40" xfId="0" applyNumberFormat="1" applyFont="1" applyFill="1" applyBorder="1" applyAlignment="1">
      <alignment horizontal="center"/>
    </xf>
    <xf numFmtId="173" fontId="5" fillId="17" borderId="81" xfId="0" applyNumberFormat="1" applyFont="1" applyFill="1" applyBorder="1" applyAlignment="1">
      <alignment horizontal="center"/>
    </xf>
    <xf numFmtId="173" fontId="5" fillId="11" borderId="96" xfId="0" applyNumberFormat="1" applyFont="1" applyFill="1" applyBorder="1" applyAlignment="1">
      <alignment horizontal="center"/>
    </xf>
    <xf numFmtId="173" fontId="5" fillId="11" borderId="107" xfId="0" applyNumberFormat="1" applyFont="1" applyFill="1" applyBorder="1" applyAlignment="1">
      <alignment horizontal="center"/>
    </xf>
    <xf numFmtId="0" fontId="3" fillId="18" borderId="76" xfId="10" applyFill="1"/>
    <xf numFmtId="0" fontId="34" fillId="19" borderId="114" xfId="10" applyFont="1" applyFill="1" applyBorder="1" applyAlignment="1">
      <alignment horizontal="center" vertical="center" wrapText="1"/>
    </xf>
    <xf numFmtId="0" fontId="34" fillId="19" borderId="114" xfId="10" applyFont="1" applyFill="1" applyBorder="1" applyAlignment="1">
      <alignment horizontal="center"/>
    </xf>
    <xf numFmtId="0" fontId="37" fillId="2" borderId="1" xfId="2" applyFont="1" applyFill="1" applyBorder="1" applyAlignment="1">
      <alignment horizontal="left"/>
    </xf>
    <xf numFmtId="0" fontId="5" fillId="21" borderId="1" xfId="0" applyFont="1" applyFill="1" applyBorder="1"/>
    <xf numFmtId="0" fontId="40" fillId="21" borderId="15" xfId="0" applyFont="1" applyFill="1" applyBorder="1" applyAlignment="1">
      <alignment horizontal="center" vertical="top" wrapText="1"/>
    </xf>
    <xf numFmtId="0" fontId="40" fillId="21" borderId="15" xfId="0" applyFont="1" applyFill="1" applyBorder="1" applyAlignment="1">
      <alignment horizontal="left" vertical="top" wrapText="1"/>
    </xf>
    <xf numFmtId="0" fontId="16" fillId="2" borderId="76" xfId="0" applyFont="1" applyFill="1" applyBorder="1" applyAlignment="1">
      <alignment horizontal="left" vertical="top" wrapText="1"/>
    </xf>
    <xf numFmtId="168" fontId="5" fillId="2" borderId="76" xfId="0" applyNumberFormat="1" applyFont="1" applyFill="1" applyBorder="1"/>
    <xf numFmtId="167" fontId="16" fillId="2" borderId="76" xfId="0" applyNumberFormat="1" applyFont="1" applyFill="1" applyBorder="1" applyAlignment="1">
      <alignment horizontal="left" vertical="top" wrapText="1"/>
    </xf>
    <xf numFmtId="168" fontId="16" fillId="2" borderId="76" xfId="0" applyNumberFormat="1" applyFont="1" applyFill="1" applyBorder="1" applyAlignment="1">
      <alignment horizontal="left" vertical="top" wrapText="1"/>
    </xf>
    <xf numFmtId="169" fontId="18" fillId="23" borderId="76" xfId="0" applyNumberFormat="1" applyFont="1" applyFill="1" applyBorder="1" applyAlignment="1">
      <alignment horizontal="left" vertical="top" wrapText="1"/>
    </xf>
    <xf numFmtId="0" fontId="17" fillId="21" borderId="114" xfId="0" applyFont="1" applyFill="1" applyBorder="1" applyAlignment="1">
      <alignment horizontal="center" vertical="center" wrapText="1"/>
    </xf>
    <xf numFmtId="167" fontId="16" fillId="2" borderId="114" xfId="0" applyNumberFormat="1" applyFont="1" applyFill="1" applyBorder="1" applyAlignment="1">
      <alignment horizontal="left" vertical="top" wrapText="1"/>
    </xf>
    <xf numFmtId="168" fontId="16" fillId="2" borderId="114" xfId="0" applyNumberFormat="1" applyFont="1" applyFill="1" applyBorder="1" applyAlignment="1">
      <alignment horizontal="left" vertical="top" wrapText="1"/>
    </xf>
    <xf numFmtId="169" fontId="18" fillId="4" borderId="114" xfId="0" applyNumberFormat="1" applyFont="1" applyFill="1" applyBorder="1" applyAlignment="1">
      <alignment horizontal="left" vertical="top" wrapText="1"/>
    </xf>
    <xf numFmtId="0" fontId="17" fillId="21" borderId="116" xfId="0" applyFont="1" applyFill="1" applyBorder="1" applyAlignment="1">
      <alignment horizontal="center" vertical="center" wrapText="1"/>
    </xf>
    <xf numFmtId="0" fontId="0" fillId="0" borderId="76" xfId="0" applyBorder="1"/>
    <xf numFmtId="0" fontId="18" fillId="21" borderId="19" xfId="0" applyFont="1" applyFill="1" applyBorder="1" applyAlignment="1">
      <alignment horizontal="left" vertical="top" wrapText="1"/>
    </xf>
    <xf numFmtId="0" fontId="18" fillId="21" borderId="20" xfId="0" applyFont="1" applyFill="1" applyBorder="1" applyAlignment="1">
      <alignment horizontal="left" vertical="top" wrapText="1"/>
    </xf>
    <xf numFmtId="0" fontId="17" fillId="24" borderId="23" xfId="0" applyFont="1" applyFill="1" applyBorder="1" applyAlignment="1">
      <alignment vertical="center"/>
    </xf>
    <xf numFmtId="172" fontId="17" fillId="24" borderId="24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72" fontId="17" fillId="25" borderId="24" xfId="0" applyNumberFormat="1" applyFont="1" applyFill="1" applyBorder="1" applyAlignment="1">
      <alignment vertical="center"/>
    </xf>
    <xf numFmtId="0" fontId="5" fillId="27" borderId="1" xfId="0" applyFont="1" applyFill="1" applyBorder="1"/>
    <xf numFmtId="0" fontId="11" fillId="27" borderId="1" xfId="0" applyFont="1" applyFill="1" applyBorder="1" applyAlignment="1">
      <alignment vertical="center"/>
    </xf>
    <xf numFmtId="0" fontId="12" fillId="27" borderId="1" xfId="0" applyFont="1" applyFill="1" applyBorder="1" applyAlignment="1">
      <alignment vertical="center"/>
    </xf>
    <xf numFmtId="173" fontId="28" fillId="0" borderId="38" xfId="0" applyNumberFormat="1" applyFont="1" applyBorder="1" applyAlignment="1">
      <alignment vertical="center"/>
    </xf>
    <xf numFmtId="0" fontId="5" fillId="21" borderId="1" xfId="0" applyFont="1" applyFill="1" applyBorder="1" applyAlignment="1">
      <alignment wrapText="1"/>
    </xf>
    <xf numFmtId="0" fontId="11" fillId="21" borderId="1" xfId="0" applyFont="1" applyFill="1" applyBorder="1" applyAlignment="1">
      <alignment vertical="center"/>
    </xf>
    <xf numFmtId="0" fontId="30" fillId="21" borderId="107" xfId="0" applyFont="1" applyFill="1" applyBorder="1" applyAlignment="1">
      <alignment horizontal="center" vertical="center" wrapText="1"/>
    </xf>
    <xf numFmtId="0" fontId="21" fillId="21" borderId="107" xfId="0" applyFont="1" applyFill="1" applyBorder="1" applyAlignment="1">
      <alignment horizontal="center" vertical="center" wrapText="1"/>
    </xf>
    <xf numFmtId="0" fontId="17" fillId="38" borderId="23" xfId="0" applyFont="1" applyFill="1" applyBorder="1" applyAlignment="1">
      <alignment vertical="center"/>
    </xf>
    <xf numFmtId="0" fontId="14" fillId="33" borderId="2" xfId="0" applyFont="1" applyFill="1" applyBorder="1" applyAlignment="1">
      <alignment horizontal="center" vertical="center"/>
    </xf>
    <xf numFmtId="0" fontId="21" fillId="35" borderId="54" xfId="0" applyFont="1" applyFill="1" applyBorder="1" applyAlignment="1">
      <alignment horizontal="center"/>
    </xf>
    <xf numFmtId="0" fontId="21" fillId="35" borderId="2" xfId="0" applyFont="1" applyFill="1" applyBorder="1" applyAlignment="1">
      <alignment horizontal="center"/>
    </xf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14" borderId="0" xfId="0" applyFill="1"/>
    <xf numFmtId="0" fontId="0" fillId="18" borderId="0" xfId="0" applyFill="1"/>
    <xf numFmtId="173" fontId="5" fillId="11" borderId="56" xfId="0" applyNumberFormat="1" applyFont="1" applyFill="1" applyBorder="1" applyAlignment="1">
      <alignment horizontal="left" wrapText="1"/>
    </xf>
    <xf numFmtId="0" fontId="21" fillId="18" borderId="112" xfId="0" applyFont="1" applyFill="1" applyBorder="1" applyAlignment="1">
      <alignment horizontal="center" vertical="center"/>
    </xf>
    <xf numFmtId="173" fontId="5" fillId="0" borderId="76" xfId="0" applyNumberFormat="1" applyFont="1" applyBorder="1" applyAlignment="1">
      <alignment horizontal="left" wrapText="1"/>
    </xf>
    <xf numFmtId="0" fontId="27" fillId="0" borderId="0" xfId="0" applyFont="1"/>
    <xf numFmtId="0" fontId="21" fillId="33" borderId="29" xfId="0" applyFont="1" applyFill="1" applyBorder="1" applyAlignment="1">
      <alignment horizontal="center"/>
    </xf>
    <xf numFmtId="0" fontId="21" fillId="33" borderId="15" xfId="0" applyFont="1" applyFill="1" applyBorder="1" applyAlignment="1">
      <alignment horizontal="center"/>
    </xf>
    <xf numFmtId="0" fontId="21" fillId="33" borderId="30" xfId="0" applyFont="1" applyFill="1" applyBorder="1" applyAlignment="1">
      <alignment horizontal="center"/>
    </xf>
    <xf numFmtId="0" fontId="5" fillId="45" borderId="1" xfId="0" applyFont="1" applyFill="1" applyBorder="1"/>
    <xf numFmtId="0" fontId="11" fillId="45" borderId="1" xfId="0" applyFont="1" applyFill="1" applyBorder="1" applyAlignment="1">
      <alignment vertical="center"/>
    </xf>
    <xf numFmtId="0" fontId="23" fillId="45" borderId="1" xfId="0" applyFont="1" applyFill="1" applyBorder="1" applyAlignment="1">
      <alignment vertical="center"/>
    </xf>
    <xf numFmtId="0" fontId="21" fillId="45" borderId="15" xfId="0" applyFont="1" applyFill="1" applyBorder="1" applyAlignment="1">
      <alignment horizontal="center"/>
    </xf>
    <xf numFmtId="0" fontId="21" fillId="8" borderId="102" xfId="0" applyFont="1" applyFill="1" applyBorder="1" applyAlignment="1">
      <alignment horizontal="center"/>
    </xf>
    <xf numFmtId="0" fontId="21" fillId="33" borderId="2" xfId="0" applyFont="1" applyFill="1" applyBorder="1" applyAlignment="1">
      <alignment horizontal="center" vertical="center" wrapText="1"/>
    </xf>
    <xf numFmtId="0" fontId="17" fillId="38" borderId="2" xfId="0" applyFont="1" applyFill="1" applyBorder="1" applyAlignment="1">
      <alignment vertical="center"/>
    </xf>
    <xf numFmtId="169" fontId="5" fillId="38" borderId="2" xfId="0" applyNumberFormat="1" applyFont="1" applyFill="1" applyBorder="1"/>
    <xf numFmtId="0" fontId="17" fillId="24" borderId="2" xfId="0" applyFont="1" applyFill="1" applyBorder="1" applyAlignment="1">
      <alignment vertical="center"/>
    </xf>
    <xf numFmtId="169" fontId="5" fillId="24" borderId="2" xfId="0" applyNumberFormat="1" applyFont="1" applyFill="1" applyBorder="1"/>
    <xf numFmtId="0" fontId="17" fillId="25" borderId="2" xfId="0" applyFont="1" applyFill="1" applyBorder="1" applyAlignment="1">
      <alignment vertical="center"/>
    </xf>
    <xf numFmtId="169" fontId="5" fillId="25" borderId="2" xfId="0" applyNumberFormat="1" applyFont="1" applyFill="1" applyBorder="1"/>
    <xf numFmtId="169" fontId="5" fillId="52" borderId="24" xfId="0" applyNumberFormat="1" applyFont="1" applyFill="1" applyBorder="1" applyAlignment="1">
      <alignment wrapText="1"/>
    </xf>
    <xf numFmtId="169" fontId="5" fillId="53" borderId="24" xfId="0" applyNumberFormat="1" applyFont="1" applyFill="1" applyBorder="1" applyAlignment="1">
      <alignment wrapText="1"/>
    </xf>
    <xf numFmtId="169" fontId="5" fillId="52" borderId="48" xfId="0" applyNumberFormat="1" applyFont="1" applyFill="1" applyBorder="1" applyAlignment="1">
      <alignment wrapText="1"/>
    </xf>
    <xf numFmtId="169" fontId="5" fillId="53" borderId="48" xfId="0" applyNumberFormat="1" applyFont="1" applyFill="1" applyBorder="1" applyAlignment="1">
      <alignment wrapText="1"/>
    </xf>
    <xf numFmtId="171" fontId="17" fillId="54" borderId="23" xfId="0" applyNumberFormat="1" applyFont="1" applyFill="1" applyBorder="1" applyAlignment="1">
      <alignment horizontal="left" wrapText="1"/>
    </xf>
    <xf numFmtId="169" fontId="5" fillId="54" borderId="24" xfId="0" applyNumberFormat="1" applyFont="1" applyFill="1" applyBorder="1" applyAlignment="1">
      <alignment wrapText="1"/>
    </xf>
    <xf numFmtId="169" fontId="5" fillId="54" borderId="48" xfId="0" applyNumberFormat="1" applyFont="1" applyFill="1" applyBorder="1" applyAlignment="1">
      <alignment wrapText="1"/>
    </xf>
    <xf numFmtId="171" fontId="17" fillId="45" borderId="51" xfId="0" applyNumberFormat="1" applyFont="1" applyFill="1" applyBorder="1" applyAlignment="1">
      <alignment horizontal="center" wrapText="1"/>
    </xf>
    <xf numFmtId="171" fontId="22" fillId="45" borderId="64" xfId="0" applyNumberFormat="1" applyFont="1" applyFill="1" applyBorder="1" applyAlignment="1">
      <alignment horizontal="center" vertical="center" wrapText="1"/>
    </xf>
    <xf numFmtId="171" fontId="22" fillId="45" borderId="52" xfId="0" applyNumberFormat="1" applyFont="1" applyFill="1" applyBorder="1" applyAlignment="1">
      <alignment horizontal="center" vertical="center" wrapText="1"/>
    </xf>
    <xf numFmtId="0" fontId="5" fillId="33" borderId="1" xfId="0" applyFont="1" applyFill="1" applyBorder="1"/>
    <xf numFmtId="0" fontId="11" fillId="33" borderId="1" xfId="0" applyFont="1" applyFill="1" applyBorder="1" applyAlignment="1">
      <alignment vertical="center"/>
    </xf>
    <xf numFmtId="0" fontId="23" fillId="33" borderId="1" xfId="0" applyFont="1" applyFill="1" applyBorder="1" applyAlignment="1">
      <alignment vertical="center"/>
    </xf>
    <xf numFmtId="0" fontId="21" fillId="45" borderId="29" xfId="0" applyFont="1" applyFill="1" applyBorder="1" applyAlignment="1">
      <alignment horizontal="center"/>
    </xf>
    <xf numFmtId="0" fontId="21" fillId="45" borderId="30" xfId="0" applyFont="1" applyFill="1" applyBorder="1" applyAlignment="1">
      <alignment horizontal="center"/>
    </xf>
    <xf numFmtId="0" fontId="21" fillId="45" borderId="2" xfId="0" applyFont="1" applyFill="1" applyBorder="1" applyAlignment="1">
      <alignment horizontal="center"/>
    </xf>
    <xf numFmtId="169" fontId="21" fillId="45" borderId="2" xfId="0" applyNumberFormat="1" applyFont="1" applyFill="1" applyBorder="1" applyAlignment="1">
      <alignment horizontal="center"/>
    </xf>
    <xf numFmtId="0" fontId="46" fillId="45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2" borderId="2" xfId="0" applyFont="1" applyFill="1" applyBorder="1" applyAlignment="1">
      <alignment horizontal="left"/>
    </xf>
    <xf numFmtId="0" fontId="46" fillId="45" borderId="2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left"/>
    </xf>
    <xf numFmtId="0" fontId="21" fillId="45" borderId="2" xfId="0" applyFont="1" applyFill="1" applyBorder="1"/>
    <xf numFmtId="172" fontId="17" fillId="38" borderId="24" xfId="0" applyNumberFormat="1" applyFont="1" applyFill="1" applyBorder="1" applyAlignment="1">
      <alignment vertical="center"/>
    </xf>
    <xf numFmtId="0" fontId="11" fillId="45" borderId="1" xfId="0" applyFont="1" applyFill="1" applyBorder="1" applyAlignment="1">
      <alignment horizontal="center" vertical="center"/>
    </xf>
    <xf numFmtId="0" fontId="12" fillId="45" borderId="1" xfId="0" applyFont="1" applyFill="1" applyBorder="1" applyAlignment="1">
      <alignment horizontal="center" vertical="center"/>
    </xf>
    <xf numFmtId="0" fontId="25" fillId="45" borderId="1" xfId="0" applyFont="1" applyFill="1" applyBorder="1" applyAlignment="1">
      <alignment vertical="center"/>
    </xf>
    <xf numFmtId="0" fontId="10" fillId="34" borderId="2" xfId="0" applyFont="1" applyFill="1" applyBorder="1" applyAlignment="1">
      <alignment horizontal="center"/>
    </xf>
    <xf numFmtId="169" fontId="5" fillId="38" borderId="2" xfId="0" applyNumberFormat="1" applyFont="1" applyFill="1" applyBorder="1" applyAlignment="1">
      <alignment horizontal="center" vertical="center"/>
    </xf>
    <xf numFmtId="167" fontId="5" fillId="39" borderId="2" xfId="0" applyNumberFormat="1" applyFont="1" applyFill="1" applyBorder="1" applyAlignment="1">
      <alignment horizontal="center" vertical="center"/>
    </xf>
    <xf numFmtId="167" fontId="5" fillId="38" borderId="2" xfId="0" applyNumberFormat="1" applyFont="1" applyFill="1" applyBorder="1" applyAlignment="1">
      <alignment horizontal="center" vertical="center"/>
    </xf>
    <xf numFmtId="169" fontId="5" fillId="24" borderId="2" xfId="0" applyNumberFormat="1" applyFont="1" applyFill="1" applyBorder="1" applyAlignment="1">
      <alignment horizontal="center" vertical="center"/>
    </xf>
    <xf numFmtId="167" fontId="5" fillId="24" borderId="2" xfId="0" applyNumberFormat="1" applyFont="1" applyFill="1" applyBorder="1" applyAlignment="1">
      <alignment horizontal="center" vertical="center"/>
    </xf>
    <xf numFmtId="169" fontId="5" fillId="30" borderId="2" xfId="0" applyNumberFormat="1" applyFont="1" applyFill="1" applyBorder="1" applyAlignment="1">
      <alignment horizontal="center" vertical="center"/>
    </xf>
    <xf numFmtId="169" fontId="5" fillId="25" borderId="2" xfId="0" applyNumberFormat="1" applyFont="1" applyFill="1" applyBorder="1" applyAlignment="1">
      <alignment horizontal="center" vertical="center"/>
    </xf>
    <xf numFmtId="167" fontId="5" fillId="32" borderId="2" xfId="0" applyNumberFormat="1" applyFont="1" applyFill="1" applyBorder="1" applyAlignment="1">
      <alignment horizontal="center" vertical="center"/>
    </xf>
    <xf numFmtId="167" fontId="5" fillId="25" borderId="2" xfId="0" applyNumberFormat="1" applyFont="1" applyFill="1" applyBorder="1" applyAlignment="1">
      <alignment horizontal="center" vertical="center"/>
    </xf>
    <xf numFmtId="169" fontId="5" fillId="31" borderId="2" xfId="0" applyNumberFormat="1" applyFont="1" applyFill="1" applyBorder="1" applyAlignment="1">
      <alignment horizontal="center" vertical="center"/>
    </xf>
    <xf numFmtId="167" fontId="5" fillId="37" borderId="2" xfId="0" applyNumberFormat="1" applyFont="1" applyFill="1" applyBorder="1" applyAlignment="1">
      <alignment horizontal="center" vertical="center"/>
    </xf>
    <xf numFmtId="169" fontId="21" fillId="51" borderId="2" xfId="0" applyNumberFormat="1" applyFont="1" applyFill="1" applyBorder="1" applyAlignment="1">
      <alignment horizontal="center" vertical="center"/>
    </xf>
    <xf numFmtId="167" fontId="21" fillId="37" borderId="2" xfId="0" applyNumberFormat="1" applyFont="1" applyFill="1" applyBorder="1" applyAlignment="1">
      <alignment horizontal="center" vertical="center"/>
    </xf>
    <xf numFmtId="169" fontId="21" fillId="41" borderId="2" xfId="0" applyNumberFormat="1" applyFont="1" applyFill="1" applyBorder="1" applyAlignment="1">
      <alignment horizontal="center" vertical="center"/>
    </xf>
    <xf numFmtId="174" fontId="17" fillId="38" borderId="2" xfId="0" applyNumberFormat="1" applyFont="1" applyFill="1" applyBorder="1" applyAlignment="1">
      <alignment horizontal="center" vertical="center"/>
    </xf>
    <xf numFmtId="44" fontId="19" fillId="46" borderId="2" xfId="19" applyFont="1" applyFill="1" applyBorder="1" applyAlignment="1">
      <alignment horizontal="center" vertical="center"/>
    </xf>
    <xf numFmtId="44" fontId="17" fillId="38" borderId="2" xfId="19" applyFont="1" applyFill="1" applyBorder="1" applyAlignment="1">
      <alignment horizontal="center" vertical="center"/>
    </xf>
    <xf numFmtId="169" fontId="21" fillId="47" borderId="2" xfId="0" applyNumberFormat="1" applyFont="1" applyFill="1" applyBorder="1" applyAlignment="1">
      <alignment horizontal="center" vertical="center"/>
    </xf>
    <xf numFmtId="174" fontId="17" fillId="30" borderId="2" xfId="0" applyNumberFormat="1" applyFont="1" applyFill="1" applyBorder="1" applyAlignment="1">
      <alignment horizontal="center" vertical="center"/>
    </xf>
    <xf numFmtId="44" fontId="19" fillId="48" borderId="2" xfId="19" applyFont="1" applyFill="1" applyBorder="1" applyAlignment="1">
      <alignment horizontal="center" vertical="center"/>
    </xf>
    <xf numFmtId="44" fontId="17" fillId="30" borderId="2" xfId="19" applyFont="1" applyFill="1" applyBorder="1" applyAlignment="1">
      <alignment horizontal="center" vertical="center"/>
    </xf>
    <xf numFmtId="169" fontId="21" fillId="49" borderId="2" xfId="0" applyNumberFormat="1" applyFont="1" applyFill="1" applyBorder="1" applyAlignment="1">
      <alignment horizontal="center" vertical="center"/>
    </xf>
    <xf numFmtId="174" fontId="17" fillId="31" borderId="2" xfId="0" applyNumberFormat="1" applyFont="1" applyFill="1" applyBorder="1" applyAlignment="1">
      <alignment horizontal="center" vertical="center"/>
    </xf>
    <xf numFmtId="44" fontId="19" fillId="50" borderId="2" xfId="19" applyFont="1" applyFill="1" applyBorder="1" applyAlignment="1">
      <alignment horizontal="center" vertical="center"/>
    </xf>
    <xf numFmtId="44" fontId="17" fillId="31" borderId="2" xfId="19" applyFont="1" applyFill="1" applyBorder="1" applyAlignment="1">
      <alignment horizontal="center" vertical="center"/>
    </xf>
    <xf numFmtId="174" fontId="17" fillId="28" borderId="2" xfId="0" applyNumberFormat="1" applyFont="1" applyFill="1" applyBorder="1" applyAlignment="1">
      <alignment horizontal="center" vertical="center"/>
    </xf>
    <xf numFmtId="169" fontId="21" fillId="2" borderId="2" xfId="0" applyNumberFormat="1" applyFont="1" applyFill="1" applyBorder="1" applyAlignment="1">
      <alignment horizontal="center" vertical="center"/>
    </xf>
    <xf numFmtId="174" fontId="17" fillId="15" borderId="2" xfId="0" applyNumberFormat="1" applyFont="1" applyFill="1" applyBorder="1" applyAlignment="1">
      <alignment horizontal="center" vertical="center"/>
    </xf>
    <xf numFmtId="171" fontId="17" fillId="29" borderId="2" xfId="0" applyNumberFormat="1" applyFont="1" applyFill="1" applyBorder="1" applyAlignment="1">
      <alignment horizontal="center" vertical="center"/>
    </xf>
    <xf numFmtId="171" fontId="19" fillId="29" borderId="2" xfId="0" applyNumberFormat="1" applyFont="1" applyFill="1" applyBorder="1" applyAlignment="1">
      <alignment horizontal="center" vertical="center"/>
    </xf>
    <xf numFmtId="0" fontId="17" fillId="38" borderId="2" xfId="0" applyFont="1" applyFill="1" applyBorder="1" applyAlignment="1">
      <alignment horizontal="left" vertical="center"/>
    </xf>
    <xf numFmtId="169" fontId="5" fillId="38" borderId="2" xfId="0" applyNumberFormat="1" applyFont="1" applyFill="1" applyBorder="1" applyAlignment="1">
      <alignment horizontal="left" vertical="center"/>
    </xf>
    <xf numFmtId="0" fontId="17" fillId="24" borderId="2" xfId="0" applyFont="1" applyFill="1" applyBorder="1" applyAlignment="1">
      <alignment horizontal="left" vertical="center"/>
    </xf>
    <xf numFmtId="169" fontId="5" fillId="24" borderId="2" xfId="0" applyNumberFormat="1" applyFont="1" applyFill="1" applyBorder="1" applyAlignment="1">
      <alignment horizontal="left" vertical="center"/>
    </xf>
    <xf numFmtId="0" fontId="17" fillId="25" borderId="2" xfId="0" applyFont="1" applyFill="1" applyBorder="1" applyAlignment="1">
      <alignment horizontal="left" vertical="center"/>
    </xf>
    <xf numFmtId="169" fontId="5" fillId="25" borderId="2" xfId="0" applyNumberFormat="1" applyFont="1" applyFill="1" applyBorder="1" applyAlignment="1">
      <alignment horizontal="left" vertical="center"/>
    </xf>
    <xf numFmtId="167" fontId="21" fillId="34" borderId="2" xfId="0" applyNumberFormat="1" applyFont="1" applyFill="1" applyBorder="1" applyAlignment="1">
      <alignment horizontal="center" vertical="center"/>
    </xf>
    <xf numFmtId="167" fontId="5" fillId="34" borderId="2" xfId="0" applyNumberFormat="1" applyFont="1" applyFill="1" applyBorder="1" applyAlignment="1">
      <alignment horizontal="center" vertical="center"/>
    </xf>
    <xf numFmtId="169" fontId="21" fillId="40" borderId="2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wrapText="1"/>
    </xf>
    <xf numFmtId="173" fontId="5" fillId="0" borderId="2" xfId="0" applyNumberFormat="1" applyFont="1" applyBorder="1" applyAlignment="1">
      <alignment horizontal="left" wrapText="1"/>
    </xf>
    <xf numFmtId="0" fontId="21" fillId="11" borderId="2" xfId="0" applyFont="1" applyFill="1" applyBorder="1" applyAlignment="1">
      <alignment horizontal="center" vertical="center"/>
    </xf>
    <xf numFmtId="173" fontId="5" fillId="11" borderId="2" xfId="0" applyNumberFormat="1" applyFont="1" applyFill="1" applyBorder="1" applyAlignment="1">
      <alignment horizontal="left" wrapText="1"/>
    </xf>
    <xf numFmtId="173" fontId="28" fillId="0" borderId="2" xfId="0" applyNumberFormat="1" applyFont="1" applyBorder="1" applyAlignment="1">
      <alignment vertical="center"/>
    </xf>
    <xf numFmtId="0" fontId="5" fillId="26" borderId="47" xfId="0" applyFont="1" applyFill="1" applyBorder="1" applyAlignment="1">
      <alignment horizontal="left" vertical="center" wrapText="1"/>
    </xf>
    <xf numFmtId="0" fontId="5" fillId="26" borderId="83" xfId="0" applyFont="1" applyFill="1" applyBorder="1" applyAlignment="1">
      <alignment horizontal="left" vertical="center" wrapText="1"/>
    </xf>
    <xf numFmtId="0" fontId="14" fillId="21" borderId="6" xfId="0" applyFont="1" applyFill="1" applyBorder="1" applyAlignment="1">
      <alignment horizontal="left"/>
    </xf>
    <xf numFmtId="0" fontId="15" fillId="22" borderId="7" xfId="0" applyFont="1" applyFill="1" applyBorder="1"/>
    <xf numFmtId="0" fontId="15" fillId="22" borderId="8" xfId="0" applyFont="1" applyFill="1" applyBorder="1"/>
    <xf numFmtId="0" fontId="16" fillId="2" borderId="9" xfId="0" applyFont="1" applyFill="1" applyBorder="1" applyAlignment="1">
      <alignment horizontal="left" vertical="top" wrapText="1"/>
    </xf>
    <xf numFmtId="0" fontId="15" fillId="0" borderId="10" xfId="0" applyFont="1" applyBorder="1"/>
    <xf numFmtId="0" fontId="15" fillId="0" borderId="11" xfId="0" applyFont="1" applyBorder="1"/>
    <xf numFmtId="0" fontId="16" fillId="2" borderId="12" xfId="0" applyFont="1" applyFill="1" applyBorder="1" applyAlignment="1">
      <alignment horizontal="left" vertical="top" wrapText="1"/>
    </xf>
    <xf numFmtId="0" fontId="15" fillId="0" borderId="13" xfId="0" applyFont="1" applyBorder="1"/>
    <xf numFmtId="0" fontId="15" fillId="0" borderId="14" xfId="0" applyFont="1" applyBorder="1"/>
    <xf numFmtId="0" fontId="14" fillId="21" borderId="54" xfId="0" applyFont="1" applyFill="1" applyBorder="1" applyAlignment="1">
      <alignment horizontal="left"/>
    </xf>
    <xf numFmtId="0" fontId="14" fillId="21" borderId="7" xfId="0" applyFont="1" applyFill="1" applyBorder="1" applyAlignment="1">
      <alignment horizontal="left"/>
    </xf>
    <xf numFmtId="0" fontId="14" fillId="21" borderId="53" xfId="0" applyFont="1" applyFill="1" applyBorder="1" applyAlignment="1">
      <alignment horizontal="left"/>
    </xf>
    <xf numFmtId="0" fontId="16" fillId="2" borderId="47" xfId="0" applyFont="1" applyFill="1" applyBorder="1" applyAlignment="1">
      <alignment horizontal="left" vertical="top" wrapText="1"/>
    </xf>
    <xf numFmtId="0" fontId="16" fillId="2" borderId="66" xfId="0" applyFont="1" applyFill="1" applyBorder="1" applyAlignment="1">
      <alignment horizontal="left" vertical="top" wrapText="1"/>
    </xf>
    <xf numFmtId="0" fontId="16" fillId="2" borderId="49" xfId="0" applyFont="1" applyFill="1" applyBorder="1" applyAlignment="1">
      <alignment horizontal="left" vertical="top" wrapText="1"/>
    </xf>
    <xf numFmtId="0" fontId="39" fillId="21" borderId="54" xfId="0" applyFont="1" applyFill="1" applyBorder="1" applyAlignment="1">
      <alignment horizontal="left"/>
    </xf>
    <xf numFmtId="0" fontId="39" fillId="21" borderId="7" xfId="0" applyFont="1" applyFill="1" applyBorder="1" applyAlignment="1">
      <alignment horizontal="left"/>
    </xf>
    <xf numFmtId="0" fontId="39" fillId="21" borderId="53" xfId="0" applyFont="1" applyFill="1" applyBorder="1" applyAlignment="1">
      <alignment horizontal="left"/>
    </xf>
    <xf numFmtId="0" fontId="14" fillId="21" borderId="67" xfId="0" applyFont="1" applyFill="1" applyBorder="1" applyAlignment="1">
      <alignment horizontal="center"/>
    </xf>
    <xf numFmtId="0" fontId="14" fillId="21" borderId="66" xfId="0" applyFont="1" applyFill="1" applyBorder="1" applyAlignment="1">
      <alignment horizontal="center"/>
    </xf>
    <xf numFmtId="0" fontId="14" fillId="21" borderId="83" xfId="0" applyFont="1" applyFill="1" applyBorder="1" applyAlignment="1">
      <alignment horizontal="center"/>
    </xf>
    <xf numFmtId="0" fontId="18" fillId="21" borderId="21" xfId="0" applyFont="1" applyFill="1" applyBorder="1" applyAlignment="1">
      <alignment horizontal="center" vertical="top" wrapText="1"/>
    </xf>
    <xf numFmtId="0" fontId="18" fillId="21" borderId="22" xfId="0" applyFont="1" applyFill="1" applyBorder="1" applyAlignment="1">
      <alignment horizontal="center" vertical="top" wrapText="1"/>
    </xf>
    <xf numFmtId="0" fontId="5" fillId="38" borderId="86" xfId="0" applyFont="1" applyFill="1" applyBorder="1" applyAlignment="1">
      <alignment horizontal="left" vertical="center" wrapText="1"/>
    </xf>
    <xf numFmtId="0" fontId="5" fillId="38" borderId="53" xfId="0" applyFont="1" applyFill="1" applyBorder="1" applyAlignment="1">
      <alignment horizontal="left" vertical="center" wrapText="1"/>
    </xf>
    <xf numFmtId="0" fontId="5" fillId="24" borderId="86" xfId="0" applyFont="1" applyFill="1" applyBorder="1" applyAlignment="1">
      <alignment horizontal="left" vertical="center" wrapText="1"/>
    </xf>
    <xf numFmtId="0" fontId="5" fillId="24" borderId="53" xfId="0" applyFont="1" applyFill="1" applyBorder="1" applyAlignment="1">
      <alignment horizontal="left" vertical="center" wrapText="1"/>
    </xf>
    <xf numFmtId="171" fontId="17" fillId="38" borderId="54" xfId="0" applyNumberFormat="1" applyFont="1" applyFill="1" applyBorder="1" applyAlignment="1">
      <alignment horizontal="left" vertical="center"/>
    </xf>
    <xf numFmtId="171" fontId="17" fillId="38" borderId="7" xfId="0" applyNumberFormat="1" applyFont="1" applyFill="1" applyBorder="1" applyAlignment="1">
      <alignment horizontal="left" vertical="center"/>
    </xf>
    <xf numFmtId="171" fontId="17" fillId="38" borderId="53" xfId="0" applyNumberFormat="1" applyFont="1" applyFill="1" applyBorder="1" applyAlignment="1">
      <alignment horizontal="left" vertical="center"/>
    </xf>
    <xf numFmtId="171" fontId="17" fillId="30" borderId="54" xfId="0" applyNumberFormat="1" applyFont="1" applyFill="1" applyBorder="1" applyAlignment="1">
      <alignment horizontal="left" vertical="center"/>
    </xf>
    <xf numFmtId="171" fontId="17" fillId="30" borderId="7" xfId="0" applyNumberFormat="1" applyFont="1" applyFill="1" applyBorder="1" applyAlignment="1">
      <alignment horizontal="left" vertical="center"/>
    </xf>
    <xf numFmtId="171" fontId="17" fillId="30" borderId="53" xfId="0" applyNumberFormat="1" applyFont="1" applyFill="1" applyBorder="1" applyAlignment="1">
      <alignment horizontal="left" vertical="center"/>
    </xf>
    <xf numFmtId="171" fontId="17" fillId="31" borderId="54" xfId="0" applyNumberFormat="1" applyFont="1" applyFill="1" applyBorder="1" applyAlignment="1">
      <alignment horizontal="left" vertical="center"/>
    </xf>
    <xf numFmtId="171" fontId="17" fillId="31" borderId="7" xfId="0" applyNumberFormat="1" applyFont="1" applyFill="1" applyBorder="1" applyAlignment="1">
      <alignment horizontal="left" vertical="center"/>
    </xf>
    <xf numFmtId="171" fontId="17" fillId="31" borderId="53" xfId="0" applyNumberFormat="1" applyFont="1" applyFill="1" applyBorder="1" applyAlignment="1">
      <alignment horizontal="left" vertical="center"/>
    </xf>
    <xf numFmtId="0" fontId="5" fillId="8" borderId="75" xfId="0" applyFont="1" applyFill="1" applyBorder="1" applyAlignment="1">
      <alignment horizontal="center" vertical="center"/>
    </xf>
    <xf numFmtId="0" fontId="5" fillId="8" borderId="110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15" fillId="0" borderId="2" xfId="0" applyFont="1" applyBorder="1"/>
    <xf numFmtId="0" fontId="14" fillId="33" borderId="93" xfId="0" applyFont="1" applyFill="1" applyBorder="1" applyAlignment="1">
      <alignment horizontal="center" vertical="center"/>
    </xf>
    <xf numFmtId="0" fontId="14" fillId="33" borderId="111" xfId="0" applyFont="1" applyFill="1" applyBorder="1" applyAlignment="1">
      <alignment horizontal="center" vertical="center"/>
    </xf>
    <xf numFmtId="0" fontId="14" fillId="33" borderId="112" xfId="0" applyFont="1" applyFill="1" applyBorder="1" applyAlignment="1">
      <alignment horizontal="center" vertical="center"/>
    </xf>
    <xf numFmtId="0" fontId="14" fillId="33" borderId="113" xfId="0" applyFont="1" applyFill="1" applyBorder="1" applyAlignment="1">
      <alignment horizontal="center" vertical="center"/>
    </xf>
    <xf numFmtId="171" fontId="17" fillId="38" borderId="54" xfId="0" applyNumberFormat="1" applyFont="1" applyFill="1" applyBorder="1" applyAlignment="1">
      <alignment horizontal="left"/>
    </xf>
    <xf numFmtId="171" fontId="17" fillId="38" borderId="7" xfId="0" applyNumberFormat="1" applyFont="1" applyFill="1" applyBorder="1" applyAlignment="1">
      <alignment horizontal="left"/>
    </xf>
    <xf numFmtId="171" fontId="17" fillId="38" borderId="53" xfId="0" applyNumberFormat="1" applyFont="1" applyFill="1" applyBorder="1" applyAlignment="1">
      <alignment horizontal="left"/>
    </xf>
    <xf numFmtId="171" fontId="17" fillId="30" borderId="54" xfId="0" applyNumberFormat="1" applyFont="1" applyFill="1" applyBorder="1" applyAlignment="1">
      <alignment horizontal="left"/>
    </xf>
    <xf numFmtId="171" fontId="17" fillId="30" borderId="7" xfId="0" applyNumberFormat="1" applyFont="1" applyFill="1" applyBorder="1" applyAlignment="1">
      <alignment horizontal="left"/>
    </xf>
    <xf numFmtId="171" fontId="17" fillId="30" borderId="53" xfId="0" applyNumberFormat="1" applyFont="1" applyFill="1" applyBorder="1" applyAlignment="1">
      <alignment horizontal="left"/>
    </xf>
    <xf numFmtId="171" fontId="17" fillId="31" borderId="54" xfId="0" applyNumberFormat="1" applyFont="1" applyFill="1" applyBorder="1" applyAlignment="1">
      <alignment horizontal="left"/>
    </xf>
    <xf numFmtId="171" fontId="17" fillId="31" borderId="7" xfId="0" applyNumberFormat="1" applyFont="1" applyFill="1" applyBorder="1" applyAlignment="1">
      <alignment horizontal="left"/>
    </xf>
    <xf numFmtId="171" fontId="17" fillId="31" borderId="53" xfId="0" applyNumberFormat="1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8" borderId="58" xfId="0" applyFont="1" applyFill="1" applyBorder="1" applyAlignment="1">
      <alignment horizontal="center" vertical="center"/>
    </xf>
    <xf numFmtId="0" fontId="15" fillId="0" borderId="44" xfId="0" applyFont="1" applyBorder="1"/>
    <xf numFmtId="0" fontId="15" fillId="0" borderId="57" xfId="0" applyFont="1" applyBorder="1"/>
    <xf numFmtId="0" fontId="5" fillId="8" borderId="85" xfId="0" applyFont="1" applyFill="1" applyBorder="1" applyAlignment="1">
      <alignment horizontal="center" vertical="center"/>
    </xf>
    <xf numFmtId="9" fontId="21" fillId="35" borderId="2" xfId="0" applyNumberFormat="1" applyFont="1" applyFill="1" applyBorder="1" applyAlignment="1">
      <alignment horizontal="center" vertical="center"/>
    </xf>
    <xf numFmtId="0" fontId="15" fillId="34" borderId="2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1" fillId="27" borderId="26" xfId="0" applyFont="1" applyFill="1" applyBorder="1" applyAlignment="1">
      <alignment horizontal="center" vertical="center"/>
    </xf>
    <xf numFmtId="0" fontId="15" fillId="22" borderId="27" xfId="0" applyFont="1" applyFill="1" applyBorder="1" applyAlignment="1">
      <alignment vertical="center"/>
    </xf>
    <xf numFmtId="0" fontId="15" fillId="22" borderId="28" xfId="0" applyFont="1" applyFill="1" applyBorder="1" applyAlignment="1">
      <alignment vertical="center"/>
    </xf>
    <xf numFmtId="0" fontId="14" fillId="33" borderId="6" xfId="0" applyFont="1" applyFill="1" applyBorder="1" applyAlignment="1">
      <alignment horizontal="left"/>
    </xf>
    <xf numFmtId="0" fontId="15" fillId="34" borderId="7" xfId="0" applyFont="1" applyFill="1" applyBorder="1"/>
    <xf numFmtId="0" fontId="15" fillId="34" borderId="8" xfId="0" applyFont="1" applyFill="1" applyBorder="1"/>
    <xf numFmtId="0" fontId="14" fillId="33" borderId="2" xfId="0" applyFont="1" applyFill="1" applyBorder="1" applyAlignment="1">
      <alignment horizontal="left" vertical="center"/>
    </xf>
    <xf numFmtId="0" fontId="15" fillId="34" borderId="2" xfId="0" applyFont="1" applyFill="1" applyBorder="1" applyAlignment="1">
      <alignment horizontal="left" vertical="center"/>
    </xf>
    <xf numFmtId="171" fontId="21" fillId="33" borderId="2" xfId="0" applyNumberFormat="1" applyFont="1" applyFill="1" applyBorder="1" applyAlignment="1">
      <alignment horizontal="left" vertical="center"/>
    </xf>
    <xf numFmtId="0" fontId="21" fillId="33" borderId="2" xfId="0" applyFont="1" applyFill="1" applyBorder="1" applyAlignment="1">
      <alignment horizontal="center" vertical="center"/>
    </xf>
    <xf numFmtId="171" fontId="21" fillId="33" borderId="2" xfId="0" applyNumberFormat="1" applyFont="1" applyFill="1" applyBorder="1" applyAlignment="1">
      <alignment horizontal="center" vertical="center"/>
    </xf>
    <xf numFmtId="0" fontId="21" fillId="33" borderId="6" xfId="0" applyFont="1" applyFill="1" applyBorder="1" applyAlignment="1">
      <alignment horizontal="center" vertical="center"/>
    </xf>
    <xf numFmtId="0" fontId="5" fillId="8" borderId="43" xfId="0" applyFont="1" applyFill="1" applyBorder="1" applyAlignment="1">
      <alignment horizontal="center" vertical="center"/>
    </xf>
    <xf numFmtId="0" fontId="10" fillId="33" borderId="31" xfId="0" applyFont="1" applyFill="1" applyBorder="1" applyAlignment="1">
      <alignment horizontal="center" vertical="center"/>
    </xf>
    <xf numFmtId="0" fontId="15" fillId="34" borderId="32" xfId="0" applyFont="1" applyFill="1" applyBorder="1"/>
    <xf numFmtId="0" fontId="15" fillId="34" borderId="36" xfId="0" applyFont="1" applyFill="1" applyBorder="1"/>
    <xf numFmtId="0" fontId="15" fillId="34" borderId="37" xfId="0" applyFont="1" applyFill="1" applyBorder="1"/>
    <xf numFmtId="0" fontId="10" fillId="35" borderId="6" xfId="0" applyFont="1" applyFill="1" applyBorder="1" applyAlignment="1">
      <alignment horizontal="center" vertical="center"/>
    </xf>
    <xf numFmtId="0" fontId="14" fillId="33" borderId="31" xfId="0" applyFont="1" applyFill="1" applyBorder="1" applyAlignment="1">
      <alignment horizontal="center" vertical="center"/>
    </xf>
    <xf numFmtId="0" fontId="15" fillId="34" borderId="33" xfId="0" applyFont="1" applyFill="1" applyBorder="1"/>
    <xf numFmtId="0" fontId="15" fillId="34" borderId="34" xfId="0" applyFont="1" applyFill="1" applyBorder="1"/>
    <xf numFmtId="0" fontId="15" fillId="34" borderId="112" xfId="0" applyFont="1" applyFill="1" applyBorder="1"/>
    <xf numFmtId="0" fontId="15" fillId="34" borderId="113" xfId="0" applyFont="1" applyFill="1" applyBorder="1"/>
    <xf numFmtId="0" fontId="15" fillId="34" borderId="59" xfId="0" applyFont="1" applyFill="1" applyBorder="1"/>
    <xf numFmtId="0" fontId="15" fillId="34" borderId="60" xfId="0" applyFont="1" applyFill="1" applyBorder="1"/>
    <xf numFmtId="0" fontId="10" fillId="33" borderId="6" xfId="0" applyFont="1" applyFill="1" applyBorder="1" applyAlignment="1">
      <alignment horizontal="left"/>
    </xf>
    <xf numFmtId="171" fontId="29" fillId="15" borderId="2" xfId="0" applyNumberFormat="1" applyFont="1" applyFill="1" applyBorder="1" applyAlignment="1">
      <alignment horizontal="left" vertical="center"/>
    </xf>
    <xf numFmtId="0" fontId="15" fillId="14" borderId="2" xfId="0" applyFont="1" applyFill="1" applyBorder="1" applyAlignment="1">
      <alignment horizontal="left" vertical="center"/>
    </xf>
    <xf numFmtId="0" fontId="18" fillId="2" borderId="6" xfId="0" applyFont="1" applyFill="1" applyBorder="1" applyAlignment="1">
      <alignment horizontal="left" vertical="top" wrapText="1"/>
    </xf>
    <xf numFmtId="0" fontId="15" fillId="0" borderId="7" xfId="0" applyFont="1" applyBorder="1"/>
    <xf numFmtId="0" fontId="15" fillId="0" borderId="8" xfId="0" applyFont="1" applyBorder="1"/>
    <xf numFmtId="0" fontId="5" fillId="8" borderId="38" xfId="0" applyFont="1" applyFill="1" applyBorder="1" applyAlignment="1">
      <alignment horizontal="center" vertical="center"/>
    </xf>
    <xf numFmtId="0" fontId="15" fillId="0" borderId="25" xfId="0" applyFont="1" applyBorder="1"/>
    <xf numFmtId="0" fontId="17" fillId="33" borderId="2" xfId="0" applyFont="1" applyFill="1" applyBorder="1" applyAlignment="1">
      <alignment horizontal="left"/>
    </xf>
    <xf numFmtId="0" fontId="15" fillId="34" borderId="2" xfId="0" applyFont="1" applyFill="1" applyBorder="1"/>
    <xf numFmtId="171" fontId="29" fillId="15" borderId="2" xfId="0" applyNumberFormat="1" applyFont="1" applyFill="1" applyBorder="1" applyAlignment="1">
      <alignment horizontal="left"/>
    </xf>
    <xf numFmtId="0" fontId="15" fillId="14" borderId="2" xfId="0" applyFont="1" applyFill="1" applyBorder="1"/>
    <xf numFmtId="0" fontId="10" fillId="35" borderId="2" xfId="0" applyFont="1" applyFill="1" applyBorder="1" applyAlignment="1">
      <alignment horizontal="center" vertical="center"/>
    </xf>
    <xf numFmtId="0" fontId="14" fillId="33" borderId="2" xfId="0" applyFont="1" applyFill="1" applyBorder="1" applyAlignment="1">
      <alignment horizontal="left"/>
    </xf>
    <xf numFmtId="49" fontId="18" fillId="2" borderId="2" xfId="0" applyNumberFormat="1" applyFont="1" applyFill="1" applyBorder="1" applyAlignment="1">
      <alignment horizontal="left" vertical="top" wrapText="1"/>
    </xf>
    <xf numFmtId="0" fontId="17" fillId="36" borderId="2" xfId="0" applyFont="1" applyFill="1" applyBorder="1" applyAlignment="1">
      <alignment horizontal="left"/>
    </xf>
    <xf numFmtId="0" fontId="15" fillId="37" borderId="2" xfId="0" applyFont="1" applyFill="1" applyBorder="1"/>
    <xf numFmtId="0" fontId="14" fillId="33" borderId="61" xfId="0" applyFont="1" applyFill="1" applyBorder="1" applyAlignment="1">
      <alignment horizontal="center" vertical="center"/>
    </xf>
    <xf numFmtId="0" fontId="15" fillId="34" borderId="62" xfId="0" applyFont="1" applyFill="1" applyBorder="1"/>
    <xf numFmtId="0" fontId="5" fillId="8" borderId="68" xfId="0" applyFont="1" applyFill="1" applyBorder="1" applyAlignment="1">
      <alignment horizontal="center" vertical="center"/>
    </xf>
    <xf numFmtId="0" fontId="5" fillId="16" borderId="75" xfId="0" applyFont="1" applyFill="1" applyBorder="1" applyAlignment="1">
      <alignment horizontal="center" vertical="center"/>
    </xf>
    <xf numFmtId="0" fontId="5" fillId="16" borderId="110" xfId="0" applyFont="1" applyFill="1" applyBorder="1" applyAlignment="1">
      <alignment horizontal="center" vertical="center"/>
    </xf>
    <xf numFmtId="0" fontId="10" fillId="33" borderId="2" xfId="0" applyFont="1" applyFill="1" applyBorder="1" applyAlignment="1">
      <alignment horizontal="center" vertical="center"/>
    </xf>
    <xf numFmtId="0" fontId="10" fillId="33" borderId="2" xfId="0" applyFont="1" applyFill="1" applyBorder="1" applyAlignment="1">
      <alignment horizontal="left"/>
    </xf>
    <xf numFmtId="0" fontId="14" fillId="33" borderId="2" xfId="0" applyFont="1" applyFill="1" applyBorder="1" applyAlignment="1">
      <alignment horizontal="center" vertical="center"/>
    </xf>
    <xf numFmtId="0" fontId="41" fillId="34" borderId="119" xfId="0" applyFont="1" applyFill="1" applyBorder="1" applyAlignment="1">
      <alignment horizontal="left"/>
    </xf>
    <xf numFmtId="0" fontId="41" fillId="34" borderId="120" xfId="0" applyFont="1" applyFill="1" applyBorder="1" applyAlignment="1">
      <alignment horizontal="left"/>
    </xf>
    <xf numFmtId="0" fontId="41" fillId="34" borderId="121" xfId="0" applyFont="1" applyFill="1" applyBorder="1" applyAlignment="1">
      <alignment horizontal="left"/>
    </xf>
    <xf numFmtId="0" fontId="42" fillId="18" borderId="122" xfId="0" applyFont="1" applyFill="1" applyBorder="1" applyAlignment="1">
      <alignment horizontal="left" vertical="top" wrapText="1"/>
    </xf>
    <xf numFmtId="0" fontId="42" fillId="18" borderId="123" xfId="0" applyFont="1" applyFill="1" applyBorder="1" applyAlignment="1">
      <alignment horizontal="left" vertical="top" wrapText="1"/>
    </xf>
    <xf numFmtId="0" fontId="42" fillId="18" borderId="124" xfId="0" applyFont="1" applyFill="1" applyBorder="1" applyAlignment="1">
      <alignment horizontal="left" vertical="top" wrapText="1"/>
    </xf>
    <xf numFmtId="0" fontId="42" fillId="18" borderId="125" xfId="0" applyFont="1" applyFill="1" applyBorder="1" applyAlignment="1">
      <alignment horizontal="left" vertical="top" wrapText="1"/>
    </xf>
    <xf numFmtId="0" fontId="42" fillId="18" borderId="0" xfId="0" applyFont="1" applyFill="1" applyAlignment="1">
      <alignment horizontal="left" vertical="top" wrapText="1"/>
    </xf>
    <xf numFmtId="0" fontId="42" fillId="18" borderId="126" xfId="0" applyFont="1" applyFill="1" applyBorder="1" applyAlignment="1">
      <alignment horizontal="left" vertical="top" wrapText="1"/>
    </xf>
    <xf numFmtId="0" fontId="42" fillId="18" borderId="127" xfId="0" applyFont="1" applyFill="1" applyBorder="1" applyAlignment="1">
      <alignment horizontal="left" vertical="top" wrapText="1"/>
    </xf>
    <xf numFmtId="0" fontId="42" fillId="18" borderId="128" xfId="0" applyFont="1" applyFill="1" applyBorder="1" applyAlignment="1">
      <alignment horizontal="left" vertical="top" wrapText="1"/>
    </xf>
    <xf numFmtId="0" fontId="42" fillId="18" borderId="129" xfId="0" applyFont="1" applyFill="1" applyBorder="1" applyAlignment="1">
      <alignment horizontal="left" vertical="top" wrapText="1"/>
    </xf>
    <xf numFmtId="49" fontId="18" fillId="2" borderId="54" xfId="0" applyNumberFormat="1" applyFont="1" applyFill="1" applyBorder="1" applyAlignment="1">
      <alignment horizontal="left" vertical="top" wrapText="1"/>
    </xf>
    <xf numFmtId="49" fontId="18" fillId="2" borderId="7" xfId="0" applyNumberFormat="1" applyFont="1" applyFill="1" applyBorder="1" applyAlignment="1">
      <alignment horizontal="left" vertical="top" wrapText="1"/>
    </xf>
    <xf numFmtId="49" fontId="18" fillId="2" borderId="53" xfId="0" applyNumberFormat="1" applyFont="1" applyFill="1" applyBorder="1" applyAlignment="1">
      <alignment horizontal="left" vertical="top" wrapText="1"/>
    </xf>
    <xf numFmtId="0" fontId="14" fillId="33" borderId="54" xfId="0" applyFont="1" applyFill="1" applyBorder="1" applyAlignment="1">
      <alignment horizontal="left"/>
    </xf>
    <xf numFmtId="0" fontId="14" fillId="33" borderId="7" xfId="0" applyFont="1" applyFill="1" applyBorder="1" applyAlignment="1">
      <alignment horizontal="left"/>
    </xf>
    <xf numFmtId="0" fontId="14" fillId="33" borderId="53" xfId="0" applyFont="1" applyFill="1" applyBorder="1" applyAlignment="1">
      <alignment horizontal="left"/>
    </xf>
    <xf numFmtId="0" fontId="6" fillId="21" borderId="77" xfId="0" applyFont="1" applyFill="1" applyBorder="1" applyAlignment="1">
      <alignment horizontal="center" vertical="center"/>
    </xf>
    <xf numFmtId="0" fontId="15" fillId="22" borderId="78" xfId="0" applyFont="1" applyFill="1" applyBorder="1"/>
    <xf numFmtId="0" fontId="15" fillId="22" borderId="79" xfId="0" applyFont="1" applyFill="1" applyBorder="1"/>
    <xf numFmtId="0" fontId="15" fillId="22" borderId="80" xfId="0" applyFont="1" applyFill="1" applyBorder="1"/>
    <xf numFmtId="0" fontId="21" fillId="21" borderId="58" xfId="0" applyFont="1" applyFill="1" applyBorder="1" applyAlignment="1">
      <alignment horizontal="center" vertical="center"/>
    </xf>
    <xf numFmtId="0" fontId="15" fillId="22" borderId="57" xfId="0" applyFont="1" applyFill="1" applyBorder="1"/>
    <xf numFmtId="0" fontId="21" fillId="21" borderId="79" xfId="0" applyFont="1" applyFill="1" applyBorder="1" applyAlignment="1">
      <alignment horizontal="center" vertical="center"/>
    </xf>
    <xf numFmtId="0" fontId="21" fillId="21" borderId="98" xfId="0" applyFont="1" applyFill="1" applyBorder="1" applyAlignment="1">
      <alignment horizontal="center" vertical="center"/>
    </xf>
    <xf numFmtId="0" fontId="21" fillId="21" borderId="75" xfId="0" applyFont="1" applyFill="1" applyBorder="1" applyAlignment="1">
      <alignment horizontal="center" vertical="center"/>
    </xf>
    <xf numFmtId="0" fontId="21" fillId="21" borderId="110" xfId="0" applyFont="1" applyFill="1" applyBorder="1" applyAlignment="1">
      <alignment horizontal="center" vertical="center"/>
    </xf>
    <xf numFmtId="0" fontId="31" fillId="21" borderId="6" xfId="0" applyFont="1" applyFill="1" applyBorder="1" applyAlignment="1">
      <alignment horizontal="center"/>
    </xf>
    <xf numFmtId="0" fontId="14" fillId="21" borderId="6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 wrapText="1"/>
    </xf>
    <xf numFmtId="0" fontId="5" fillId="2" borderId="70" xfId="0" applyFont="1" applyFill="1" applyBorder="1" applyAlignment="1">
      <alignment horizontal="center" vertical="center" wrapText="1"/>
    </xf>
    <xf numFmtId="0" fontId="15" fillId="0" borderId="72" xfId="0" applyFont="1" applyBorder="1"/>
    <xf numFmtId="0" fontId="0" fillId="0" borderId="76" xfId="0" applyBorder="1" applyAlignment="1">
      <alignment horizontal="center"/>
    </xf>
    <xf numFmtId="0" fontId="14" fillId="45" borderId="6" xfId="0" applyFont="1" applyFill="1" applyBorder="1" applyAlignment="1">
      <alignment horizontal="left"/>
    </xf>
    <xf numFmtId="0" fontId="14" fillId="45" borderId="6" xfId="0" applyFont="1" applyFill="1" applyBorder="1" applyAlignment="1">
      <alignment horizontal="center" wrapText="1"/>
    </xf>
    <xf numFmtId="0" fontId="15" fillId="34" borderId="7" xfId="0" applyFont="1" applyFill="1" applyBorder="1" applyAlignment="1">
      <alignment horizontal="center"/>
    </xf>
    <xf numFmtId="0" fontId="15" fillId="34" borderId="8" xfId="0" applyFont="1" applyFill="1" applyBorder="1" applyAlignment="1">
      <alignment horizontal="center"/>
    </xf>
    <xf numFmtId="0" fontId="14" fillId="45" borderId="2" xfId="0" applyFont="1" applyFill="1" applyBorder="1" applyAlignment="1">
      <alignment horizontal="left"/>
    </xf>
    <xf numFmtId="0" fontId="18" fillId="45" borderId="2" xfId="0" applyFont="1" applyFill="1" applyBorder="1" applyAlignment="1">
      <alignment horizontal="center" vertical="center"/>
    </xf>
    <xf numFmtId="0" fontId="15" fillId="0" borderId="94" xfId="0" applyFont="1" applyBorder="1"/>
    <xf numFmtId="0" fontId="14" fillId="3" borderId="6" xfId="0" applyFont="1" applyFill="1" applyBorder="1" applyAlignment="1">
      <alignment horizontal="left"/>
    </xf>
    <xf numFmtId="0" fontId="15" fillId="0" borderId="65" xfId="0" applyFont="1" applyBorder="1"/>
    <xf numFmtId="0" fontId="15" fillId="0" borderId="92" xfId="0" applyFont="1" applyBorder="1"/>
    <xf numFmtId="0" fontId="21" fillId="8" borderId="102" xfId="0" applyFont="1" applyFill="1" applyBorder="1" applyAlignment="1">
      <alignment horizontal="center"/>
    </xf>
    <xf numFmtId="0" fontId="15" fillId="0" borderId="103" xfId="0" applyFont="1" applyBorder="1"/>
    <xf numFmtId="0" fontId="15" fillId="0" borderId="104" xfId="0" applyFont="1" applyBorder="1"/>
    <xf numFmtId="0" fontId="14" fillId="3" borderId="6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left"/>
    </xf>
    <xf numFmtId="0" fontId="5" fillId="0" borderId="33" xfId="0" applyFont="1" applyBorder="1" applyAlignment="1">
      <alignment horizontal="left"/>
    </xf>
    <xf numFmtId="0" fontId="15" fillId="0" borderId="34" xfId="0" applyFont="1" applyBorder="1"/>
    <xf numFmtId="0" fontId="21" fillId="3" borderId="6" xfId="0" applyFont="1" applyFill="1" applyBorder="1" applyAlignment="1">
      <alignment horizontal="left"/>
    </xf>
    <xf numFmtId="0" fontId="5" fillId="0" borderId="105" xfId="0" applyFont="1" applyBorder="1" applyAlignment="1">
      <alignment horizontal="left" vertical="center"/>
    </xf>
    <xf numFmtId="0" fontId="15" fillId="0" borderId="106" xfId="0" applyFont="1" applyBorder="1"/>
    <xf numFmtId="0" fontId="5" fillId="0" borderId="41" xfId="0" applyFont="1" applyBorder="1" applyAlignment="1">
      <alignment horizontal="center" vertical="center"/>
    </xf>
    <xf numFmtId="0" fontId="5" fillId="0" borderId="105" xfId="0" applyFont="1" applyBorder="1" applyAlignment="1">
      <alignment horizontal="left"/>
    </xf>
    <xf numFmtId="0" fontId="5" fillId="0" borderId="43" xfId="0" applyFont="1" applyBorder="1" applyAlignment="1">
      <alignment horizontal="left"/>
    </xf>
    <xf numFmtId="0" fontId="5" fillId="0" borderId="61" xfId="0" applyFont="1" applyBorder="1" applyAlignment="1">
      <alignment horizontal="left"/>
    </xf>
    <xf numFmtId="0" fontId="15" fillId="0" borderId="62" xfId="0" applyFont="1" applyBorder="1"/>
    <xf numFmtId="0" fontId="5" fillId="2" borderId="70" xfId="0" applyFont="1" applyFill="1" applyBorder="1" applyAlignment="1">
      <alignment horizontal="left" vertical="center" wrapText="1"/>
    </xf>
    <xf numFmtId="0" fontId="15" fillId="0" borderId="84" xfId="0" applyFont="1" applyBorder="1"/>
    <xf numFmtId="0" fontId="5" fillId="2" borderId="91" xfId="0" applyFont="1" applyFill="1" applyBorder="1" applyAlignment="1">
      <alignment horizontal="left" vertical="center" wrapText="1"/>
    </xf>
    <xf numFmtId="0" fontId="5" fillId="18" borderId="61" xfId="0" applyFont="1" applyFill="1" applyBorder="1" applyAlignment="1">
      <alignment horizontal="left"/>
    </xf>
    <xf numFmtId="0" fontId="15" fillId="18" borderId="62" xfId="0" applyFont="1" applyFill="1" applyBorder="1"/>
    <xf numFmtId="0" fontId="5" fillId="17" borderId="6" xfId="0" applyFont="1" applyFill="1" applyBorder="1" applyAlignment="1">
      <alignment horizontal="left"/>
    </xf>
    <xf numFmtId="0" fontId="15" fillId="18" borderId="8" xfId="0" applyFont="1" applyFill="1" applyBorder="1"/>
    <xf numFmtId="0" fontId="5" fillId="18" borderId="33" xfId="0" applyFont="1" applyFill="1" applyBorder="1" applyAlignment="1">
      <alignment horizontal="left"/>
    </xf>
    <xf numFmtId="0" fontId="15" fillId="18" borderId="34" xfId="0" applyFont="1" applyFill="1" applyBorder="1"/>
    <xf numFmtId="0" fontId="5" fillId="18" borderId="41" xfId="0" applyFont="1" applyFill="1" applyBorder="1" applyAlignment="1">
      <alignment horizontal="center" vertical="center"/>
    </xf>
    <xf numFmtId="0" fontId="15" fillId="18" borderId="65" xfId="0" applyFont="1" applyFill="1" applyBorder="1"/>
    <xf numFmtId="0" fontId="15" fillId="18" borderId="94" xfId="0" applyFont="1" applyFill="1" applyBorder="1"/>
    <xf numFmtId="0" fontId="5" fillId="18" borderId="105" xfId="0" applyFont="1" applyFill="1" applyBorder="1" applyAlignment="1">
      <alignment horizontal="left"/>
    </xf>
    <xf numFmtId="0" fontId="15" fillId="18" borderId="106" xfId="0" applyFont="1" applyFill="1" applyBorder="1"/>
    <xf numFmtId="0" fontId="5" fillId="18" borderId="43" xfId="0" applyFont="1" applyFill="1" applyBorder="1" applyAlignment="1">
      <alignment horizontal="left"/>
    </xf>
    <xf numFmtId="0" fontId="15" fillId="18" borderId="44" xfId="0" applyFont="1" applyFill="1" applyBorder="1"/>
    <xf numFmtId="0" fontId="5" fillId="18" borderId="105" xfId="0" applyFont="1" applyFill="1" applyBorder="1" applyAlignment="1">
      <alignment horizontal="left" vertical="center"/>
    </xf>
    <xf numFmtId="0" fontId="2" fillId="18" borderId="115" xfId="10" applyFont="1" applyFill="1" applyBorder="1" applyAlignment="1">
      <alignment horizontal="center" vertical="top" wrapText="1"/>
    </xf>
    <xf numFmtId="0" fontId="3" fillId="18" borderId="118" xfId="10" applyFill="1" applyBorder="1" applyAlignment="1">
      <alignment horizontal="center" vertical="top" wrapText="1"/>
    </xf>
    <xf numFmtId="0" fontId="3" fillId="18" borderId="117" xfId="10" applyFill="1" applyBorder="1" applyAlignment="1">
      <alignment horizontal="center" vertical="top" wrapText="1"/>
    </xf>
    <xf numFmtId="0" fontId="3" fillId="18" borderId="115" xfId="10" applyFill="1" applyBorder="1" applyAlignment="1">
      <alignment horizontal="left" vertical="top" wrapText="1"/>
    </xf>
    <xf numFmtId="0" fontId="3" fillId="18" borderId="118" xfId="10" applyFill="1" applyBorder="1" applyAlignment="1">
      <alignment horizontal="left" vertical="top" wrapText="1"/>
    </xf>
    <xf numFmtId="0" fontId="3" fillId="18" borderId="117" xfId="10" applyFill="1" applyBorder="1" applyAlignment="1">
      <alignment horizontal="left" vertical="top" wrapText="1"/>
    </xf>
    <xf numFmtId="0" fontId="27" fillId="34" borderId="114" xfId="0" applyFont="1" applyFill="1" applyBorder="1"/>
    <xf numFmtId="44" fontId="0" fillId="0" borderId="114" xfId="19" applyFont="1" applyBorder="1"/>
    <xf numFmtId="181" fontId="0" fillId="0" borderId="114" xfId="20" applyNumberFormat="1" applyFont="1" applyBorder="1"/>
    <xf numFmtId="0" fontId="27" fillId="0" borderId="130" xfId="0" applyFont="1" applyBorder="1" applyAlignment="1">
      <alignment horizontal="center" vertical="center"/>
    </xf>
    <xf numFmtId="0" fontId="27" fillId="0" borderId="76" xfId="0" applyFont="1" applyBorder="1" applyAlignment="1">
      <alignment horizontal="center" vertical="center"/>
    </xf>
    <xf numFmtId="0" fontId="27" fillId="0" borderId="131" xfId="0" applyFont="1" applyBorder="1" applyAlignment="1">
      <alignment horizontal="center"/>
    </xf>
    <xf numFmtId="0" fontId="27" fillId="0" borderId="132" xfId="0" applyFont="1" applyBorder="1" applyAlignment="1">
      <alignment horizontal="center"/>
    </xf>
    <xf numFmtId="0" fontId="27" fillId="0" borderId="116" xfId="0" applyFont="1" applyBorder="1" applyAlignment="1">
      <alignment horizontal="center"/>
    </xf>
    <xf numFmtId="0" fontId="27" fillId="0" borderId="133" xfId="0" applyFont="1" applyBorder="1" applyAlignment="1">
      <alignment horizontal="center" vertical="center"/>
    </xf>
    <xf numFmtId="0" fontId="27" fillId="0" borderId="134" xfId="0" applyFont="1" applyBorder="1" applyAlignment="1">
      <alignment horizontal="center" vertical="center"/>
    </xf>
    <xf numFmtId="0" fontId="27" fillId="0" borderId="135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27" fillId="0" borderId="137" xfId="0" applyFont="1" applyBorder="1" applyAlignment="1">
      <alignment horizontal="center" vertical="center"/>
    </xf>
    <xf numFmtId="0" fontId="27" fillId="0" borderId="138" xfId="0" applyFont="1" applyBorder="1" applyAlignment="1">
      <alignment horizontal="center" vertical="center"/>
    </xf>
    <xf numFmtId="0" fontId="27" fillId="0" borderId="139" xfId="0" applyFont="1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132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36" xfId="0" applyBorder="1" applyAlignment="1">
      <alignment horizontal="center" vertical="center"/>
    </xf>
    <xf numFmtId="0" fontId="0" fillId="0" borderId="137" xfId="0" applyBorder="1" applyAlignment="1">
      <alignment horizontal="center"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0" fontId="27" fillId="34" borderId="131" xfId="0" applyFont="1" applyFill="1" applyBorder="1" applyAlignment="1">
      <alignment horizontal="center"/>
    </xf>
    <xf numFmtId="0" fontId="27" fillId="34" borderId="132" xfId="0" applyFont="1" applyFill="1" applyBorder="1" applyAlignment="1">
      <alignment horizontal="center"/>
    </xf>
    <xf numFmtId="0" fontId="27" fillId="34" borderId="132" xfId="0" applyFont="1" applyFill="1" applyBorder="1" applyAlignment="1">
      <alignment horizontal="center"/>
    </xf>
    <xf numFmtId="0" fontId="27" fillId="34" borderId="116" xfId="0" applyFont="1" applyFill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169" fontId="5" fillId="2" borderId="2" xfId="0" applyNumberFormat="1" applyFont="1" applyFill="1" applyBorder="1"/>
    <xf numFmtId="0" fontId="5" fillId="0" borderId="2" xfId="0" applyFont="1" applyBorder="1" applyAlignment="1">
      <alignment horizontal="center" vertical="center"/>
    </xf>
    <xf numFmtId="44" fontId="27" fillId="0" borderId="0" xfId="19" applyFont="1"/>
    <xf numFmtId="0" fontId="17" fillId="45" borderId="2" xfId="0" applyFont="1" applyFill="1" applyBorder="1" applyAlignment="1">
      <alignment horizontal="center" vertical="center"/>
    </xf>
    <xf numFmtId="0" fontId="17" fillId="45" borderId="2" xfId="0" applyFont="1" applyFill="1" applyBorder="1" applyAlignment="1">
      <alignment horizontal="center" vertical="center" wrapText="1"/>
    </xf>
    <xf numFmtId="0" fontId="17" fillId="45" borderId="2" xfId="0" applyFont="1" applyFill="1" applyBorder="1" applyAlignment="1">
      <alignment horizontal="center" vertical="center"/>
    </xf>
    <xf numFmtId="0" fontId="17" fillId="45" borderId="2" xfId="0" applyFont="1" applyFill="1" applyBorder="1" applyAlignment="1">
      <alignment horizontal="center" vertical="center" wrapText="1"/>
    </xf>
    <xf numFmtId="10" fontId="17" fillId="45" borderId="2" xfId="0" applyNumberFormat="1" applyFont="1" applyFill="1" applyBorder="1" applyAlignment="1">
      <alignment horizontal="center" vertical="center"/>
    </xf>
    <xf numFmtId="9" fontId="17" fillId="45" borderId="2" xfId="0" applyNumberFormat="1" applyFont="1" applyFill="1" applyBorder="1" applyAlignment="1">
      <alignment horizontal="center" vertical="center"/>
    </xf>
    <xf numFmtId="169" fontId="21" fillId="45" borderId="2" xfId="0" applyNumberFormat="1" applyFont="1" applyFill="1" applyBorder="1"/>
    <xf numFmtId="1" fontId="5" fillId="0" borderId="15" xfId="0" applyNumberFormat="1" applyFont="1" applyBorder="1" applyAlignment="1">
      <alignment horizontal="center"/>
    </xf>
    <xf numFmtId="1" fontId="5" fillId="0" borderId="114" xfId="0" applyNumberFormat="1" applyFont="1" applyBorder="1" applyAlignment="1">
      <alignment horizontal="center"/>
    </xf>
    <xf numFmtId="1" fontId="21" fillId="0" borderId="114" xfId="0" applyNumberFormat="1" applyFont="1" applyBorder="1" applyAlignment="1">
      <alignment horizontal="center"/>
    </xf>
    <xf numFmtId="0" fontId="14" fillId="45" borderId="54" xfId="0" applyFont="1" applyFill="1" applyBorder="1" applyAlignment="1">
      <alignment horizontal="left"/>
    </xf>
    <xf numFmtId="0" fontId="14" fillId="45" borderId="7" xfId="0" applyFont="1" applyFill="1" applyBorder="1" applyAlignment="1">
      <alignment horizontal="left"/>
    </xf>
    <xf numFmtId="0" fontId="14" fillId="45" borderId="53" xfId="0" applyFont="1" applyFill="1" applyBorder="1" applyAlignment="1">
      <alignment horizontal="left"/>
    </xf>
    <xf numFmtId="0" fontId="17" fillId="45" borderId="100" xfId="0" applyFont="1" applyFill="1" applyBorder="1" applyAlignment="1">
      <alignment horizontal="center" vertical="center"/>
    </xf>
    <xf numFmtId="0" fontId="17" fillId="45" borderId="12" xfId="0" applyFont="1" applyFill="1" applyBorder="1" applyAlignment="1">
      <alignment horizontal="center" vertical="center"/>
    </xf>
    <xf numFmtId="0" fontId="15" fillId="34" borderId="14" xfId="0" applyFont="1" applyFill="1" applyBorder="1"/>
    <xf numFmtId="0" fontId="17" fillId="45" borderId="101" xfId="0" applyFont="1" applyFill="1" applyBorder="1" applyAlignment="1">
      <alignment horizontal="center" vertical="center"/>
    </xf>
    <xf numFmtId="0" fontId="15" fillId="34" borderId="94" xfId="0" applyFont="1" applyFill="1" applyBorder="1"/>
    <xf numFmtId="0" fontId="17" fillId="45" borderId="15" xfId="0" applyFont="1" applyFill="1" applyBorder="1" applyAlignment="1">
      <alignment horizontal="center" vertical="center"/>
    </xf>
    <xf numFmtId="0" fontId="15" fillId="34" borderId="95" xfId="0" applyFont="1" applyFill="1" applyBorder="1"/>
    <xf numFmtId="173" fontId="5" fillId="45" borderId="30" xfId="0" applyNumberFormat="1" applyFont="1" applyFill="1" applyBorder="1"/>
    <xf numFmtId="0" fontId="17" fillId="45" borderId="19" xfId="0" applyFont="1" applyFill="1" applyBorder="1" applyAlignment="1">
      <alignment horizontal="center" vertical="center"/>
    </xf>
    <xf numFmtId="0" fontId="21" fillId="45" borderId="20" xfId="0" applyFont="1" applyFill="1" applyBorder="1" applyAlignment="1">
      <alignment horizontal="center"/>
    </xf>
    <xf numFmtId="175" fontId="21" fillId="45" borderId="20" xfId="0" applyNumberFormat="1" applyFont="1" applyFill="1" applyBorder="1" applyAlignment="1">
      <alignment horizontal="center"/>
    </xf>
    <xf numFmtId="0" fontId="17" fillId="45" borderId="45" xfId="0" applyFont="1" applyFill="1" applyBorder="1" applyAlignment="1">
      <alignment horizontal="center" vertical="center"/>
    </xf>
    <xf numFmtId="0" fontId="21" fillId="45" borderId="97" xfId="0" applyFont="1" applyFill="1" applyBorder="1" applyAlignment="1">
      <alignment horizontal="center"/>
    </xf>
    <xf numFmtId="0" fontId="17" fillId="45" borderId="114" xfId="0" applyFont="1" applyFill="1" applyBorder="1" applyAlignment="1">
      <alignment horizontal="center" vertical="center"/>
    </xf>
    <xf numFmtId="0" fontId="21" fillId="45" borderId="114" xfId="0" applyFont="1" applyFill="1" applyBorder="1" applyAlignment="1">
      <alignment horizontal="center"/>
    </xf>
    <xf numFmtId="175" fontId="21" fillId="45" borderId="114" xfId="0" applyNumberFormat="1" applyFont="1" applyFill="1" applyBorder="1" applyAlignment="1">
      <alignment horizontal="center"/>
    </xf>
    <xf numFmtId="0" fontId="11" fillId="45" borderId="76" xfId="0" applyFont="1" applyFill="1" applyBorder="1" applyAlignment="1">
      <alignment horizontal="center" vertical="center"/>
    </xf>
    <xf numFmtId="0" fontId="21" fillId="45" borderId="15" xfId="0" applyFont="1" applyFill="1" applyBorder="1" applyAlignment="1">
      <alignment horizontal="left"/>
    </xf>
    <xf numFmtId="0" fontId="5" fillId="0" borderId="72" xfId="0" applyFont="1" applyBorder="1" applyAlignment="1">
      <alignment horizontal="center" vertical="center"/>
    </xf>
    <xf numFmtId="0" fontId="17" fillId="36" borderId="54" xfId="0" applyFont="1" applyFill="1" applyBorder="1" applyAlignment="1">
      <alignment horizontal="left" vertical="center"/>
    </xf>
    <xf numFmtId="0" fontId="17" fillId="36" borderId="53" xfId="0" applyFont="1" applyFill="1" applyBorder="1" applyAlignment="1">
      <alignment horizontal="left" vertical="center"/>
    </xf>
    <xf numFmtId="0" fontId="14" fillId="33" borderId="54" xfId="0" applyFont="1" applyFill="1" applyBorder="1" applyAlignment="1">
      <alignment horizontal="center" vertical="center"/>
    </xf>
    <xf numFmtId="0" fontId="14" fillId="33" borderId="53" xfId="0" applyFont="1" applyFill="1" applyBorder="1" applyAlignment="1">
      <alignment horizontal="center" vertical="center"/>
    </xf>
    <xf numFmtId="0" fontId="5" fillId="34" borderId="0" xfId="0" applyFont="1" applyFill="1"/>
    <xf numFmtId="0" fontId="5" fillId="55" borderId="1" xfId="0" applyFont="1" applyFill="1" applyBorder="1"/>
    <xf numFmtId="0" fontId="21" fillId="45" borderId="88" xfId="0" applyFont="1" applyFill="1" applyBorder="1" applyAlignment="1">
      <alignment horizontal="center"/>
    </xf>
    <xf numFmtId="0" fontId="21" fillId="45" borderId="89" xfId="0" applyFont="1" applyFill="1" applyBorder="1" applyAlignment="1">
      <alignment horizontal="center"/>
    </xf>
    <xf numFmtId="0" fontId="21" fillId="45" borderId="90" xfId="0" applyFont="1" applyFill="1" applyBorder="1" applyAlignment="1">
      <alignment horizontal="center"/>
    </xf>
    <xf numFmtId="0" fontId="17" fillId="45" borderId="100" xfId="0" applyFont="1" applyFill="1" applyBorder="1" applyAlignment="1">
      <alignment horizontal="center"/>
    </xf>
    <xf numFmtId="0" fontId="17" fillId="45" borderId="99" xfId="0" applyFont="1" applyFill="1" applyBorder="1" applyAlignment="1">
      <alignment horizontal="center"/>
    </xf>
    <xf numFmtId="0" fontId="17" fillId="45" borderId="101" xfId="0" applyFont="1" applyFill="1" applyBorder="1" applyAlignment="1">
      <alignment horizontal="center"/>
    </xf>
    <xf numFmtId="0" fontId="27" fillId="0" borderId="76" xfId="1" applyAlignment="1">
      <alignment horizontal="center" vertical="center"/>
    </xf>
    <xf numFmtId="0" fontId="27" fillId="0" borderId="114" xfId="0" applyFont="1" applyBorder="1" applyAlignment="1">
      <alignment horizontal="center"/>
    </xf>
    <xf numFmtId="0" fontId="27" fillId="0" borderId="114" xfId="0" applyFont="1" applyBorder="1" applyAlignment="1">
      <alignment horizontal="center" vertical="center"/>
    </xf>
    <xf numFmtId="0" fontId="27" fillId="0" borderId="114" xfId="1" applyBorder="1" applyAlignment="1">
      <alignment horizontal="center" vertical="center"/>
    </xf>
    <xf numFmtId="0" fontId="27" fillId="0" borderId="114" xfId="0" applyFont="1" applyBorder="1" applyAlignment="1">
      <alignment horizontal="center" vertical="center"/>
    </xf>
    <xf numFmtId="0" fontId="21" fillId="8" borderId="104" xfId="0" applyFont="1" applyFill="1" applyBorder="1" applyAlignment="1">
      <alignment horizontal="center"/>
    </xf>
    <xf numFmtId="0" fontId="21" fillId="8" borderId="37" xfId="0" applyFont="1" applyFill="1" applyBorder="1" applyAlignment="1">
      <alignment horizontal="center"/>
    </xf>
    <xf numFmtId="0" fontId="21" fillId="8" borderId="104" xfId="0" applyFont="1" applyFill="1" applyBorder="1" applyAlignment="1">
      <alignment horizontal="center"/>
    </xf>
    <xf numFmtId="0" fontId="21" fillId="8" borderId="37" xfId="0" applyFont="1" applyFill="1" applyBorder="1" applyAlignment="1">
      <alignment horizontal="center"/>
    </xf>
    <xf numFmtId="0" fontId="14" fillId="45" borderId="54" xfId="0" applyFont="1" applyFill="1" applyBorder="1" applyAlignment="1">
      <alignment horizontal="left"/>
    </xf>
    <xf numFmtId="0" fontId="14" fillId="45" borderId="7" xfId="0" applyFont="1" applyFill="1" applyBorder="1" applyAlignment="1">
      <alignment horizontal="left"/>
    </xf>
    <xf numFmtId="0" fontId="14" fillId="45" borderId="53" xfId="0" applyFont="1" applyFill="1" applyBorder="1" applyAlignment="1">
      <alignment horizontal="left"/>
    </xf>
    <xf numFmtId="0" fontId="27" fillId="0" borderId="115" xfId="0" applyFont="1" applyBorder="1" applyAlignment="1">
      <alignment horizontal="center" vertical="center"/>
    </xf>
    <xf numFmtId="0" fontId="27" fillId="0" borderId="117" xfId="0" applyFont="1" applyBorder="1" applyAlignment="1">
      <alignment horizontal="center" vertical="center"/>
    </xf>
    <xf numFmtId="0" fontId="27" fillId="0" borderId="115" xfId="0" applyFont="1" applyBorder="1" applyAlignment="1">
      <alignment horizontal="center" vertical="center"/>
    </xf>
    <xf numFmtId="0" fontId="27" fillId="0" borderId="117" xfId="0" applyFont="1" applyBorder="1" applyAlignment="1">
      <alignment horizontal="center" vertical="center"/>
    </xf>
    <xf numFmtId="0" fontId="5" fillId="2" borderId="130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21" fillId="2" borderId="130" xfId="0" applyFont="1" applyFill="1" applyBorder="1" applyAlignment="1">
      <alignment horizontal="center" vertical="center"/>
    </xf>
    <xf numFmtId="0" fontId="21" fillId="2" borderId="76" xfId="0" applyFont="1" applyFill="1" applyBorder="1" applyAlignment="1">
      <alignment horizontal="center" vertical="center"/>
    </xf>
    <xf numFmtId="0" fontId="28" fillId="11" borderId="118" xfId="0" applyFont="1" applyFill="1" applyBorder="1" applyAlignment="1">
      <alignment horizontal="center" vertical="center"/>
    </xf>
    <xf numFmtId="0" fontId="14" fillId="45" borderId="16" xfId="0" applyFont="1" applyFill="1" applyBorder="1" applyAlignment="1">
      <alignment horizontal="left"/>
    </xf>
    <xf numFmtId="0" fontId="15" fillId="34" borderId="17" xfId="0" applyFont="1" applyFill="1" applyBorder="1"/>
    <xf numFmtId="0" fontId="15" fillId="34" borderId="18" xfId="0" applyFont="1" applyFill="1" applyBorder="1"/>
    <xf numFmtId="0" fontId="21" fillId="45" borderId="2" xfId="0" applyFont="1" applyFill="1" applyBorder="1" applyAlignment="1">
      <alignment horizontal="center" vertical="center"/>
    </xf>
    <xf numFmtId="0" fontId="21" fillId="45" borderId="2" xfId="0" applyFont="1" applyFill="1" applyBorder="1" applyAlignment="1">
      <alignment horizontal="center" vertical="center" wrapText="1"/>
    </xf>
    <xf numFmtId="0" fontId="21" fillId="45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28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173" fontId="28" fillId="0" borderId="2" xfId="0" applyNumberFormat="1" applyFont="1" applyBorder="1" applyAlignment="1">
      <alignment horizontal="center"/>
    </xf>
    <xf numFmtId="173" fontId="5" fillId="6" borderId="2" xfId="0" applyNumberFormat="1" applyFont="1" applyFill="1" applyBorder="1" applyAlignment="1">
      <alignment horizontal="center"/>
    </xf>
    <xf numFmtId="173" fontId="5" fillId="6" borderId="2" xfId="0" applyNumberFormat="1" applyFont="1" applyFill="1" applyBorder="1"/>
    <xf numFmtId="0" fontId="28" fillId="0" borderId="2" xfId="0" applyFont="1" applyBorder="1" applyAlignment="1">
      <alignment horizontal="center" vertical="center" wrapText="1"/>
    </xf>
    <xf numFmtId="0" fontId="17" fillId="45" borderId="2" xfId="0" applyFont="1" applyFill="1" applyBorder="1" applyAlignment="1">
      <alignment horizontal="right"/>
    </xf>
    <xf numFmtId="173" fontId="17" fillId="6" borderId="2" xfId="0" applyNumberFormat="1" applyFont="1" applyFill="1" applyBorder="1"/>
    <xf numFmtId="0" fontId="28" fillId="18" borderId="114" xfId="0" applyFont="1" applyFill="1" applyBorder="1" applyAlignment="1">
      <alignment horizontal="center" vertical="center"/>
    </xf>
    <xf numFmtId="0" fontId="14" fillId="56" borderId="76" xfId="0" applyFont="1" applyFill="1" applyBorder="1" applyAlignment="1"/>
    <xf numFmtId="0" fontId="14" fillId="45" borderId="2" xfId="0" applyFont="1" applyFill="1" applyBorder="1" applyAlignment="1">
      <alignment horizontal="center"/>
    </xf>
    <xf numFmtId="173" fontId="5" fillId="0" borderId="2" xfId="0" applyNumberFormat="1" applyFont="1" applyBorder="1" applyAlignment="1">
      <alignment horizontal="center"/>
    </xf>
    <xf numFmtId="173" fontId="5" fillId="57" borderId="2" xfId="0" applyNumberFormat="1" applyFont="1" applyFill="1" applyBorder="1" applyAlignment="1">
      <alignment horizontal="center"/>
    </xf>
    <xf numFmtId="173" fontId="5" fillId="57" borderId="2" xfId="0" applyNumberFormat="1" applyFont="1" applyFill="1" applyBorder="1"/>
    <xf numFmtId="0" fontId="48" fillId="0" borderId="114" xfId="0" applyFont="1" applyBorder="1" applyAlignment="1">
      <alignment horizontal="center" vertical="center"/>
    </xf>
    <xf numFmtId="0" fontId="38" fillId="45" borderId="3" xfId="0" applyFont="1" applyFill="1" applyBorder="1" applyAlignment="1">
      <alignment horizontal="center" vertical="center"/>
    </xf>
    <xf numFmtId="0" fontId="38" fillId="45" borderId="4" xfId="0" applyFont="1" applyFill="1" applyBorder="1" applyAlignment="1">
      <alignment horizontal="center" vertical="center"/>
    </xf>
    <xf numFmtId="0" fontId="38" fillId="45" borderId="5" xfId="0" applyFont="1" applyFill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9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94" xfId="0" applyFont="1" applyBorder="1" applyAlignment="1">
      <alignment horizontal="center"/>
    </xf>
    <xf numFmtId="173" fontId="5" fillId="2" borderId="41" xfId="0" applyNumberFormat="1" applyFont="1" applyFill="1" applyBorder="1" applyAlignment="1">
      <alignment horizontal="center"/>
    </xf>
    <xf numFmtId="173" fontId="5" fillId="2" borderId="45" xfId="0" applyNumberFormat="1" applyFont="1" applyFill="1" applyBorder="1" applyAlignment="1">
      <alignment horizontal="center"/>
    </xf>
    <xf numFmtId="173" fontId="5" fillId="2" borderId="107" xfId="0" applyNumberFormat="1" applyFont="1" applyFill="1" applyBorder="1" applyAlignment="1">
      <alignment horizontal="center"/>
    </xf>
    <xf numFmtId="173" fontId="5" fillId="2" borderId="97" xfId="0" applyNumberFormat="1" applyFont="1" applyFill="1" applyBorder="1" applyAlignment="1">
      <alignment horizontal="center"/>
    </xf>
    <xf numFmtId="173" fontId="5" fillId="2" borderId="46" xfId="0" applyNumberFormat="1" applyFont="1" applyFill="1" applyBorder="1" applyAlignment="1">
      <alignment horizontal="center"/>
    </xf>
    <xf numFmtId="173" fontId="5" fillId="2" borderId="140" xfId="0" applyNumberFormat="1" applyFont="1" applyFill="1" applyBorder="1" applyAlignment="1">
      <alignment horizontal="center"/>
    </xf>
    <xf numFmtId="173" fontId="5" fillId="0" borderId="107" xfId="0" applyNumberFormat="1" applyFont="1" applyBorder="1" applyAlignment="1">
      <alignment horizontal="center" vertical="center"/>
    </xf>
    <xf numFmtId="173" fontId="5" fillId="0" borderId="96" xfId="0" applyNumberFormat="1" applyFont="1" applyBorder="1" applyAlignment="1">
      <alignment horizontal="center" vertical="center"/>
    </xf>
    <xf numFmtId="0" fontId="21" fillId="45" borderId="75" xfId="0" applyFont="1" applyFill="1" applyBorder="1"/>
    <xf numFmtId="0" fontId="21" fillId="45" borderId="46" xfId="0" applyFont="1" applyFill="1" applyBorder="1" applyAlignment="1">
      <alignment horizontal="center"/>
    </xf>
    <xf numFmtId="0" fontId="21" fillId="45" borderId="95" xfId="0" applyFont="1" applyFill="1" applyBorder="1" applyAlignment="1">
      <alignment horizontal="center"/>
    </xf>
    <xf numFmtId="0" fontId="21" fillId="45" borderId="6" xfId="0" applyFont="1" applyFill="1" applyBorder="1" applyAlignment="1">
      <alignment horizontal="left"/>
    </xf>
    <xf numFmtId="0" fontId="21" fillId="45" borderId="81" xfId="0" applyFont="1" applyFill="1" applyBorder="1" applyAlignment="1">
      <alignment horizontal="center"/>
    </xf>
    <xf numFmtId="0" fontId="21" fillId="45" borderId="82" xfId="0" applyFont="1" applyFill="1" applyBorder="1" applyAlignment="1">
      <alignment horizontal="center"/>
    </xf>
    <xf numFmtId="0" fontId="21" fillId="45" borderId="74" xfId="0" applyFont="1" applyFill="1" applyBorder="1" applyAlignment="1">
      <alignment horizontal="center"/>
    </xf>
  </cellXfs>
  <cellStyles count="21">
    <cellStyle name="40% - Accent1 2" xfId="11" xr:uid="{314A4B55-2929-4143-9945-BD7F23BF6B99}"/>
    <cellStyle name="Comma 2" xfId="12" xr:uid="{2D0EF9D8-CFD2-4E86-B913-462D2588A643}"/>
    <cellStyle name="Currency 2" xfId="4" xr:uid="{5F740988-CB30-46FB-AB1A-5578F2105898}"/>
    <cellStyle name="Currency 3" xfId="18" xr:uid="{155F1669-9A84-4AC9-B5E6-55F8B31CED4A}"/>
    <cellStyle name="Euro" xfId="8" xr:uid="{D9559569-1C6C-4405-8CB2-0F2591B1347F}"/>
    <cellStyle name="Hipervínculo" xfId="2" builtinId="8"/>
    <cellStyle name="Hyperlink 2" xfId="5" xr:uid="{FE908E5C-E849-4C75-B45F-15EFA7578A33}"/>
    <cellStyle name="Millares" xfId="20" builtinId="3"/>
    <cellStyle name="Millares 2" xfId="13" xr:uid="{E00DC9C9-7875-44BD-A291-510EFE7E00CF}"/>
    <cellStyle name="Moneda" xfId="19" builtinId="4"/>
    <cellStyle name="Moneda 2" xfId="6" xr:uid="{DD95FE41-7BCA-4025-A895-655DF3441F4F}"/>
    <cellStyle name="Moneda 2 2" xfId="16" xr:uid="{E29871C2-DFF8-4149-A30A-199CADED8E3B}"/>
    <cellStyle name="Normal" xfId="0" builtinId="0"/>
    <cellStyle name="Normal 2" xfId="1" xr:uid="{15331A9A-3EA1-4428-B552-A6323F71D208}"/>
    <cellStyle name="Normal 2 14" xfId="14" xr:uid="{23FAE2DA-4469-4657-8AD3-392F58E0C127}"/>
    <cellStyle name="Normal 2 15" xfId="15" xr:uid="{437B889E-C98E-4768-9FC3-CA41A8FB4959}"/>
    <cellStyle name="Normal 3" xfId="3" xr:uid="{AEC158B1-9177-4F83-AD60-D7219CBC5ABB}"/>
    <cellStyle name="Normal 4" xfId="10" xr:uid="{4D292293-3340-4883-84AE-E60988D297DD}"/>
    <cellStyle name="Normal 5" xfId="7" xr:uid="{1EB510F7-24FF-4312-9B5D-9F2AC7E81F75}"/>
    <cellStyle name="Percent 2" xfId="9" xr:uid="{070B5F7E-A34E-4703-92D7-8E863C5DAB7C}"/>
    <cellStyle name="Percent 3" xfId="17" xr:uid="{849527B1-1753-45B7-BB03-9CE57380B2A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10BB59B-51E5-47D8-A5C7-03E3C80C797C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2021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8829600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2022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Hipótesis!$D$28</c:f>
              <c:numCache>
                <c:formatCode>_-"$"\ * #,##0.00_-;\-"$"\ * #,##0.00_-;_-"$"\ * "-"??_-;_-@</c:formatCode>
                <c:ptCount val="1"/>
                <c:pt idx="0">
                  <c:v>16980000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2023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Hipótesis!$D$29</c:f>
              <c:numCache>
                <c:formatCode>_-"$"\ * #,##0.00_-;\-"$"\ * #,##0.00_-;_-"$"\ * "-"??_-;_-@</c:formatCode>
                <c:ptCount val="1"/>
                <c:pt idx="0">
                  <c:v>23772000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180000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280000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ventas'!$F$85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ventas'!$H$85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ventas'!$J$85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ventas'!$L$85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ventas'!$N$85</c:f>
              <c:numCache>
                <c:formatCode>_-"$"\ * #,##0.00_-;\-"$"\ * #,##0.00_-;_-"$"\ * "-"??_-;_-@</c:formatCode>
                <c:ptCount val="1"/>
                <c:pt idx="0">
                  <c:v>380000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ventas'!$P$85</c:f>
              <c:numCache>
                <c:formatCode>_-"$"\ * #,##0.00_-;\-"$"\ * #,##0.00_-;_-"$"\ * "-"??_-;_-@</c:formatCode>
                <c:ptCount val="1"/>
                <c:pt idx="0">
                  <c:v>570000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ventas'!$R$85</c:f>
              <c:numCache>
                <c:formatCode>_-"$"\ * #,##0.00_-;\-"$"\ * #,##0.00_-;_-"$"\ * "-"??_-;_-@</c:formatCode>
                <c:ptCount val="1"/>
                <c:pt idx="0">
                  <c:v>290000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ventas'!$T$85</c:f>
              <c:numCache>
                <c:formatCode>_-"$"\ * #,##0.00_-;\-"$"\ * #,##0.00_-;_-"$"\ * "-"??_-;_-@</c:formatCode>
                <c:ptCount val="1"/>
                <c:pt idx="0">
                  <c:v>290000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ventas'!$V$85</c:f>
              <c:numCache>
                <c:formatCode>_-"$"\ * #,##0.00_-;\-"$"\ * #,##0.00_-;_-"$"\ * "-"??_-;_-@</c:formatCode>
                <c:ptCount val="1"/>
                <c:pt idx="0">
                  <c:v>290000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ventas'!$X$85</c:f>
              <c:numCache>
                <c:formatCode>_-"$"\ * #,##0.00_-;\-"$"\ * #,##0.00_-;_-"$"\ * "-"??_-;_-@</c:formatCode>
                <c:ptCount val="1"/>
                <c:pt idx="0">
                  <c:v>290000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ventas'!$Z$85</c:f>
              <c:numCache>
                <c:formatCode>_-"$"\ * #,##0.00_-;\-"$"\ * #,##0.00_-;_-"$"\ * "-"??_-;_-@</c:formatCode>
                <c:ptCount val="1"/>
                <c:pt idx="0">
                  <c:v>380000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ventas'!$AB$85</c:f>
              <c:numCache>
                <c:formatCode>_-"$"\ * #,##0.00_-;\-"$"\ * #,##0.00_-;_-"$"\ * "-"??_-;_-@</c:formatCode>
                <c:ptCount val="1"/>
                <c:pt idx="0">
                  <c:v>570000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2021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3600000</c:v>
                </c:pt>
                <c:pt idx="1">
                  <c:v>9360000</c:v>
                </c:pt>
                <c:pt idx="2">
                  <c:v>8600000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11520000</c:v>
                </c:pt>
                <c:pt idx="1">
                  <c:v>25830000</c:v>
                </c:pt>
                <c:pt idx="2">
                  <c:v>25400000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1851273814653766"/>
                  <c:y val="-0.11258343634116193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24400000</c:v>
                </c:pt>
                <c:pt idx="1">
                  <c:v>40140000</c:v>
                </c:pt>
                <c:pt idx="2">
                  <c:v>41000000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egresos'!$B$9:$D$9</c:f>
              <c:numCache>
                <c:formatCode>General</c:formatCode>
                <c:ptCount val="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</c:numCache>
            </c:numRef>
          </c:cat>
          <c:val>
            <c:numRef>
              <c:f>'Mod. egresos'!$B$10:$D$10</c:f>
              <c:numCache>
                <c:formatCode>"$"\ #,##0.00</c:formatCode>
                <c:ptCount val="3"/>
                <c:pt idx="0">
                  <c:v>2001600</c:v>
                </c:pt>
                <c:pt idx="1">
                  <c:v>2601600</c:v>
                </c:pt>
                <c:pt idx="2">
                  <c:v>3201600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variables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egresos'!$B$9:$D$9</c:f>
              <c:numCache>
                <c:formatCode>General</c:formatCode>
                <c:ptCount val="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</c:numCache>
            </c:numRef>
          </c:cat>
          <c:val>
            <c:numRef>
              <c:f>'Mod. egresos'!#REF!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egresos'!$B$9:$D$9</c:f>
              <c:numCache>
                <c:formatCode>General</c:formatCode>
                <c:ptCount val="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</c:numCache>
            </c:numRef>
          </c:cat>
          <c:val>
            <c:numRef>
              <c:f>'Mod. egresos'!$B$12:$D$12</c:f>
              <c:numCache>
                <c:formatCode>"$"\ #,##0.00</c:formatCode>
                <c:ptCount val="3"/>
                <c:pt idx="0">
                  <c:v>19042910.566</c:v>
                </c:pt>
                <c:pt idx="1">
                  <c:v>21281703.659600001</c:v>
                </c:pt>
                <c:pt idx="2">
                  <c:v>25137985.237200003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180975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275" y="3714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20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80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358347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636577"/>
          <a:ext cx="1358347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95</xdr:row>
      <xdr:rowOff>47745</xdr:rowOff>
    </xdr:from>
    <xdr:ext cx="1488701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8415680"/>
          <a:ext cx="1488701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29</xdr:col>
      <xdr:colOff>56029</xdr:colOff>
      <xdr:row>13</xdr:row>
      <xdr:rowOff>179295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219075</xdr:colOff>
      <xdr:row>0</xdr:row>
      <xdr:rowOff>352425</xdr:rowOff>
    </xdr:from>
    <xdr:ext cx="2486025" cy="295275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107750" y="3637125"/>
          <a:ext cx="24765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14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114300</xdr:colOff>
      <xdr:row>14</xdr:row>
      <xdr:rowOff>9525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866775</xdr:colOff>
      <xdr:row>0</xdr:row>
      <xdr:rowOff>314325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412550" y="3637125"/>
          <a:ext cx="1866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2305050</xdr:colOff>
      <xdr:row>0</xdr:row>
      <xdr:rowOff>361950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650675" y="3637125"/>
          <a:ext cx="13906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1000125</xdr:colOff>
      <xdr:row>0</xdr:row>
      <xdr:rowOff>381000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4493513" y="3637125"/>
          <a:ext cx="170497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1676400</xdr:colOff>
      <xdr:row>0</xdr:row>
      <xdr:rowOff>361950</xdr:rowOff>
    </xdr:from>
    <xdr:ext cx="828675" cy="29527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4936425" y="3637125"/>
          <a:ext cx="819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1409700</xdr:colOff>
      <xdr:row>0</xdr:row>
      <xdr:rowOff>361950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4684013" y="3637125"/>
          <a:ext cx="132397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C9" sqref="C9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3.6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8.5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45">
      <c r="A21" s="1"/>
      <c r="B21" s="1"/>
      <c r="C21" s="3" t="s">
        <v>1</v>
      </c>
      <c r="D21" s="4" t="s">
        <v>192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45">
      <c r="A22" s="1"/>
      <c r="B22" s="1"/>
      <c r="C22" s="3" t="s">
        <v>2</v>
      </c>
      <c r="D22" s="4" t="s">
        <v>194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45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45">
      <c r="A24" s="1"/>
      <c r="B24" s="1"/>
      <c r="C24" s="3" t="s">
        <v>5</v>
      </c>
      <c r="D24" s="4" t="s">
        <v>193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45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45">
      <c r="A26" s="1"/>
      <c r="B26" s="1"/>
      <c r="C26" s="6" t="s">
        <v>8</v>
      </c>
      <c r="D26" s="189" t="s">
        <v>195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D20" sqref="D6:D20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35">
      <c r="A4" s="8"/>
      <c r="B4" s="8"/>
      <c r="C4" s="8"/>
      <c r="D4" s="273" t="s">
        <v>9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" x14ac:dyDescent="0.25">
      <c r="A6" s="8"/>
      <c r="B6" s="8"/>
      <c r="C6" s="8"/>
      <c r="D6" s="631" t="s">
        <v>10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" x14ac:dyDescent="0.25">
      <c r="A7" s="8"/>
      <c r="B7" s="8"/>
      <c r="C7" s="8"/>
      <c r="D7" s="632" t="s">
        <v>11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" x14ac:dyDescent="0.25">
      <c r="A8" s="8"/>
      <c r="B8" s="8"/>
      <c r="C8" s="8"/>
      <c r="D8" s="632" t="s">
        <v>12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" x14ac:dyDescent="0.25">
      <c r="A9" s="8"/>
      <c r="B9" s="8"/>
      <c r="C9" s="8"/>
      <c r="D9" s="632" t="s">
        <v>13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" x14ac:dyDescent="0.25">
      <c r="A10" s="8"/>
      <c r="B10" s="8"/>
      <c r="C10" s="8"/>
      <c r="D10" s="632" t="s">
        <v>14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" x14ac:dyDescent="0.25">
      <c r="A11" s="8"/>
      <c r="B11" s="8"/>
      <c r="C11" s="8"/>
      <c r="D11" s="632" t="s">
        <v>15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" x14ac:dyDescent="0.25">
      <c r="A12" s="8"/>
      <c r="B12" s="8"/>
      <c r="C12" s="8"/>
      <c r="D12" s="632" t="s">
        <v>16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" x14ac:dyDescent="0.25">
      <c r="A13" s="8"/>
      <c r="B13" s="8"/>
      <c r="C13" s="8"/>
      <c r="D13" s="632" t="s">
        <v>17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x14ac:dyDescent="0.25">
      <c r="A14" s="8"/>
      <c r="B14" s="8"/>
      <c r="C14" s="8"/>
      <c r="D14" s="632" t="s">
        <v>18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x14ac:dyDescent="0.25">
      <c r="A15" s="8"/>
      <c r="B15" s="8"/>
      <c r="C15" s="8"/>
      <c r="D15" s="632" t="s">
        <v>19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x14ac:dyDescent="0.25">
      <c r="A16" s="8"/>
      <c r="B16" s="8"/>
      <c r="C16" s="8"/>
      <c r="D16" s="632" t="s">
        <v>20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x14ac:dyDescent="0.25">
      <c r="A17" s="8"/>
      <c r="B17" s="8"/>
      <c r="C17" s="8"/>
      <c r="D17" s="632" t="s">
        <v>21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x14ac:dyDescent="0.25">
      <c r="A18" s="8"/>
      <c r="B18" s="8"/>
      <c r="C18" s="8"/>
      <c r="D18" s="632" t="s">
        <v>22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x14ac:dyDescent="0.25">
      <c r="A19" s="8"/>
      <c r="B19" s="8"/>
      <c r="C19" s="8"/>
      <c r="D19" s="632" t="s">
        <v>23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x14ac:dyDescent="0.25">
      <c r="A20" s="8"/>
      <c r="B20" s="8"/>
      <c r="C20" s="8"/>
      <c r="D20" s="633" t="s">
        <v>24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 xr:uid="{00000000-0004-0000-0100-000000000000}"/>
    <hyperlink ref="D7" location="null!A1" display="Proyección de ventas" xr:uid="{00000000-0004-0000-0100-000001000000}"/>
    <hyperlink ref="D8" location="null!A1" display="Modelo de ingresos" xr:uid="{00000000-0004-0000-0100-000002000000}"/>
    <hyperlink ref="D9" location="null!A1" display="Estructura de costos fijos" xr:uid="{00000000-0004-0000-0100-000003000000}"/>
    <hyperlink ref="D10" location="null!A1" display="Estructura de costos variables" xr:uid="{00000000-0004-0000-0100-000004000000}"/>
    <hyperlink ref="D11" location="Costos RRHH!A1" display="Estructura de costos de RRHH" xr:uid="{00000000-0004-0000-0100-000005000000}"/>
    <hyperlink ref="D12" location="null!A1" display="Modelo de egresos" xr:uid="{00000000-0004-0000-0100-000006000000}"/>
    <hyperlink ref="D13" location="null!A1" display="Modelo de inversión" xr:uid="{00000000-0004-0000-0100-000007000000}"/>
    <hyperlink ref="D14" location="Amortizaciones!A1" display="Amortizaciones" xr:uid="{00000000-0004-0000-0100-000008000000}"/>
    <hyperlink ref="D15" location="Presupuesto financiero!A1" display="Presupuesto Financiero" xr:uid="{00000000-0004-0000-0100-000009000000}"/>
    <hyperlink ref="D16" location="null!A1" display="Matriz de riesgos" xr:uid="{00000000-0004-0000-0100-00000A000000}"/>
    <hyperlink ref="D17" location="Escenario 1!A1" display="Escenario 1" xr:uid="{00000000-0004-0000-0100-00000B000000}"/>
    <hyperlink ref="D18" location="Escenario 2!A1" display="Escenario 2" xr:uid="{00000000-0004-0000-0100-00000C000000}"/>
    <hyperlink ref="D19" location="Escenario 3!A1" display="Escenario 3" xr:uid="{00000000-0004-0000-0100-00000D000000}"/>
    <hyperlink ref="D20" location="null!A1" display="Plan de contingencia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989"/>
  <sheetViews>
    <sheetView workbookViewId="0">
      <pane ySplit="1" topLeftCell="A14" activePane="bottomLeft" state="frozen"/>
      <selection pane="bottomLeft" activeCell="J44" sqref="J44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4.875" bestFit="1" customWidth="1"/>
    <col min="4" max="4" width="35.75" customWidth="1"/>
    <col min="5" max="5" width="25.25" bestFit="1" customWidth="1"/>
    <col min="6" max="6" width="18.375" bestFit="1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8" ht="58.5" customHeight="1" x14ac:dyDescent="0.25">
      <c r="A1" s="234"/>
      <c r="B1" s="234"/>
      <c r="C1" s="234"/>
      <c r="D1" s="234"/>
      <c r="E1" s="270" t="s">
        <v>10</v>
      </c>
      <c r="F1" s="271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10"/>
      <c r="T1" s="10"/>
      <c r="U1" s="10"/>
      <c r="V1" s="10"/>
      <c r="W1" s="10"/>
      <c r="X1" s="10"/>
      <c r="Y1" s="10"/>
      <c r="Z1" s="10"/>
    </row>
    <row r="2" spans="1:28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8" ht="27" thickBot="1" x14ac:dyDescent="0.45">
      <c r="A3" s="1"/>
      <c r="B3" s="321" t="s">
        <v>25</v>
      </c>
      <c r="C3" s="322"/>
      <c r="D3" s="322"/>
      <c r="E3" s="322"/>
      <c r="F3" s="322"/>
      <c r="G3" s="322"/>
      <c r="H3" s="322"/>
      <c r="I3" s="323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8" ht="160.5" customHeight="1" x14ac:dyDescent="0.25">
      <c r="A4" s="1"/>
      <c r="B4" s="324" t="s">
        <v>197</v>
      </c>
      <c r="C4" s="325"/>
      <c r="D4" s="325"/>
      <c r="E4" s="325"/>
      <c r="F4" s="325"/>
      <c r="G4" s="325"/>
      <c r="H4" s="325"/>
      <c r="I4" s="326"/>
      <c r="J4" s="1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8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8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8" ht="27" thickBot="1" x14ac:dyDescent="0.45">
      <c r="A7" s="1"/>
      <c r="B7" s="321" t="s">
        <v>26</v>
      </c>
      <c r="C7" s="322"/>
      <c r="D7" s="322"/>
      <c r="E7" s="322"/>
      <c r="F7" s="322"/>
      <c r="G7" s="322"/>
      <c r="H7" s="322"/>
      <c r="I7" s="32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8" ht="173.25" customHeight="1" x14ac:dyDescent="0.25">
      <c r="A8" s="1"/>
      <c r="B8" s="327" t="s">
        <v>196</v>
      </c>
      <c r="C8" s="328"/>
      <c r="D8" s="328"/>
      <c r="E8" s="328"/>
      <c r="F8" s="328"/>
      <c r="G8" s="328"/>
      <c r="H8" s="328"/>
      <c r="I8" s="32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8" ht="18.75" x14ac:dyDescent="0.25">
      <c r="A9" s="144"/>
      <c r="B9" s="12"/>
      <c r="C9" s="12"/>
      <c r="D9" s="12"/>
      <c r="E9" s="12"/>
      <c r="F9" s="12"/>
      <c r="G9" s="12"/>
      <c r="H9" s="12"/>
      <c r="I9" s="1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8" ht="18.75" x14ac:dyDescent="0.25">
      <c r="A10" s="144"/>
      <c r="B10" s="12"/>
      <c r="C10" s="12"/>
      <c r="D10" s="12"/>
      <c r="E10" s="12"/>
      <c r="F10" s="12"/>
      <c r="G10" s="12"/>
      <c r="H10" s="12"/>
      <c r="I10" s="1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8" ht="18.75" x14ac:dyDescent="0.25">
      <c r="A11" s="203"/>
      <c r="B11" s="198" t="s">
        <v>203</v>
      </c>
      <c r="C11" s="198" t="s">
        <v>200</v>
      </c>
      <c r="D11" s="198" t="s">
        <v>198</v>
      </c>
      <c r="E11" s="198" t="s">
        <v>199</v>
      </c>
      <c r="F11" s="198" t="s">
        <v>32</v>
      </c>
      <c r="G11" s="12"/>
      <c r="H11" s="12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21" customHeight="1" x14ac:dyDescent="0.25">
      <c r="A12" s="203"/>
      <c r="B12" s="202" t="s">
        <v>201</v>
      </c>
      <c r="C12" s="199">
        <v>77</v>
      </c>
      <c r="D12" s="200">
        <v>30000</v>
      </c>
      <c r="E12" s="200">
        <f>D12*12</f>
        <v>360000</v>
      </c>
      <c r="F12" s="201">
        <f>C12*E12</f>
        <v>27720000</v>
      </c>
      <c r="G12" s="12"/>
      <c r="H12" s="12"/>
      <c r="I12" s="12"/>
      <c r="J12" s="12"/>
      <c r="K12" s="12"/>
      <c r="L12" s="1"/>
      <c r="M12" s="1"/>
      <c r="N12" s="1"/>
      <c r="O12" s="1"/>
      <c r="P12" s="13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1" customHeight="1" x14ac:dyDescent="0.25">
      <c r="A13" s="203"/>
      <c r="B13" s="202" t="s">
        <v>202</v>
      </c>
      <c r="C13" s="199">
        <v>67</v>
      </c>
      <c r="D13" s="200">
        <v>50000</v>
      </c>
      <c r="E13" s="200">
        <f>D13*12</f>
        <v>600000</v>
      </c>
      <c r="F13" s="201">
        <f>C13*E13</f>
        <v>40200000</v>
      </c>
      <c r="G13" s="193"/>
      <c r="H13" s="193"/>
      <c r="I13" s="193"/>
      <c r="J13" s="193"/>
      <c r="K13" s="193"/>
      <c r="L13" s="144"/>
      <c r="M13" s="144"/>
      <c r="N13" s="144"/>
      <c r="O13" s="144"/>
      <c r="P13" s="19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</row>
    <row r="14" spans="1:28" ht="21" customHeight="1" x14ac:dyDescent="0.25">
      <c r="B14" s="202" t="s">
        <v>27</v>
      </c>
      <c r="C14" s="199">
        <f>C12+C13</f>
        <v>144</v>
      </c>
      <c r="D14" s="200"/>
      <c r="E14" s="200"/>
      <c r="F14" s="201">
        <f>F12+F13</f>
        <v>67920000</v>
      </c>
      <c r="G14" s="193"/>
      <c r="H14" s="193"/>
      <c r="I14" s="193"/>
      <c r="J14" s="193"/>
      <c r="K14" s="193"/>
      <c r="L14" s="144"/>
      <c r="M14" s="144"/>
      <c r="N14" s="144"/>
      <c r="O14" s="144"/>
      <c r="P14" s="19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</row>
    <row r="15" spans="1:28" ht="21" customHeight="1" x14ac:dyDescent="0.25">
      <c r="A15" s="144"/>
      <c r="B15" s="195"/>
      <c r="C15" s="196"/>
      <c r="D15" s="197"/>
      <c r="E15" s="193"/>
      <c r="F15" s="193"/>
      <c r="G15" s="193"/>
      <c r="H15" s="193"/>
      <c r="I15" s="193"/>
      <c r="J15" s="144"/>
      <c r="K15" s="144"/>
      <c r="L15" s="144"/>
      <c r="M15" s="144"/>
      <c r="N15" s="19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</row>
    <row r="16" spans="1:28" ht="12" customHeight="1" x14ac:dyDescent="0.25">
      <c r="A16" s="1"/>
      <c r="B16" s="12"/>
      <c r="C16" s="12"/>
      <c r="D16" s="12"/>
      <c r="E16" s="12"/>
      <c r="F16" s="12"/>
      <c r="G16" s="12"/>
      <c r="H16" s="12"/>
      <c r="I16" s="12"/>
      <c r="J16" s="1"/>
      <c r="K16" s="1"/>
      <c r="L16" s="1"/>
      <c r="M16" s="1"/>
      <c r="N16" s="13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thickBo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3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A18" s="1"/>
      <c r="B18" s="330" t="s">
        <v>28</v>
      </c>
      <c r="C18" s="331"/>
      <c r="D18" s="331"/>
      <c r="E18" s="331"/>
      <c r="F18" s="331"/>
      <c r="G18" s="331"/>
      <c r="H18" s="331"/>
      <c r="I18" s="33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54.75" customHeight="1" x14ac:dyDescent="0.25">
      <c r="A19" s="1"/>
      <c r="B19" s="333" t="s">
        <v>204</v>
      </c>
      <c r="C19" s="334"/>
      <c r="D19" s="334"/>
      <c r="E19" s="334"/>
      <c r="F19" s="334"/>
      <c r="G19" s="334"/>
      <c r="H19" s="334"/>
      <c r="I19" s="335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"/>
      <c r="E21" s="14"/>
      <c r="F21" s="14"/>
      <c r="G21" s="14"/>
      <c r="H21" s="14"/>
      <c r="I21" s="14"/>
      <c r="J21" s="14"/>
      <c r="K21" s="14"/>
      <c r="L21" s="14"/>
      <c r="M21" s="14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x14ac:dyDescent="0.25">
      <c r="A22" s="1"/>
      <c r="B22" s="1"/>
      <c r="C22" s="1"/>
      <c r="D22" s="1"/>
      <c r="E22" s="14"/>
      <c r="F22" s="14"/>
      <c r="G22" s="14"/>
      <c r="H22" s="14"/>
      <c r="I22" s="14"/>
      <c r="J22" s="14"/>
      <c r="K22" s="14"/>
      <c r="L22" s="14"/>
      <c r="M22" s="14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x14ac:dyDescent="0.25">
      <c r="A23" s="1"/>
      <c r="B23" s="1"/>
      <c r="C23" s="1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thickBot="1" x14ac:dyDescent="0.3">
      <c r="A24" s="1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6.25" customHeight="1" thickBot="1" x14ac:dyDescent="0.45">
      <c r="A25" s="1"/>
      <c r="B25" s="336" t="s">
        <v>29</v>
      </c>
      <c r="C25" s="337"/>
      <c r="D25" s="338"/>
      <c r="E25" s="14"/>
      <c r="F25" s="14"/>
      <c r="G25" s="14"/>
      <c r="H25" s="14"/>
      <c r="I25" s="14"/>
      <c r="J25" s="14"/>
      <c r="K25" s="14"/>
      <c r="L25" s="14"/>
      <c r="M25" s="14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91" t="s">
        <v>30</v>
      </c>
      <c r="C26" s="191" t="s">
        <v>31</v>
      </c>
      <c r="D26" s="192" t="s">
        <v>32</v>
      </c>
      <c r="E26" s="14"/>
      <c r="F26" s="14"/>
      <c r="G26" s="14"/>
      <c r="H26" s="14"/>
      <c r="I26" s="14"/>
      <c r="J26" s="14"/>
      <c r="K26" s="14"/>
      <c r="L26" s="14"/>
      <c r="M26" s="14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5">
        <v>2021</v>
      </c>
      <c r="C27" s="16">
        <v>0.13</v>
      </c>
      <c r="D27" s="17">
        <f>C27*F14</f>
        <v>8829600</v>
      </c>
      <c r="E27" s="14"/>
      <c r="F27" s="14"/>
      <c r="G27" s="14"/>
      <c r="H27" s="14"/>
      <c r="I27" s="14"/>
      <c r="J27" s="14"/>
      <c r="K27" s="14"/>
      <c r="L27" s="14"/>
      <c r="M27" s="14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5">
        <v>2022</v>
      </c>
      <c r="C28" s="16">
        <v>0.25</v>
      </c>
      <c r="D28" s="17">
        <f>C28*$F$14</f>
        <v>16980000</v>
      </c>
      <c r="E28" s="14"/>
      <c r="F28" s="14"/>
      <c r="G28" s="14"/>
      <c r="H28" s="14"/>
      <c r="I28" s="14"/>
      <c r="J28" s="14"/>
      <c r="K28" s="14"/>
      <c r="L28" s="14"/>
      <c r="M28" s="14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5">
        <v>2023</v>
      </c>
      <c r="C29" s="16">
        <v>0.35</v>
      </c>
      <c r="D29" s="17">
        <f>C29*$F$14</f>
        <v>23772000</v>
      </c>
      <c r="E29" s="14"/>
      <c r="F29" s="14"/>
      <c r="G29" s="14"/>
      <c r="H29" s="14"/>
      <c r="I29" s="14"/>
      <c r="J29" s="14"/>
      <c r="K29" s="14"/>
      <c r="L29" s="14"/>
      <c r="M29" s="14"/>
      <c r="N29" s="1"/>
      <c r="O29" s="1"/>
      <c r="P29" s="1"/>
      <c r="Q29" s="1"/>
      <c r="R29" s="1"/>
      <c r="S29" s="1"/>
      <c r="T29" s="1"/>
      <c r="U29" s="1"/>
      <c r="V29" s="1"/>
    </row>
    <row r="30" spans="1:26" ht="108" customHeight="1" x14ac:dyDescent="0.25">
      <c r="A30" s="1"/>
      <c r="B30" s="14"/>
      <c r="C30" s="18"/>
      <c r="D30" s="19"/>
      <c r="E30" s="14"/>
      <c r="F30" s="14"/>
      <c r="G30" s="14"/>
      <c r="H30" s="14"/>
      <c r="I30" s="14"/>
      <c r="J30" s="14"/>
      <c r="K30" s="14"/>
      <c r="L30" s="14"/>
      <c r="M30" s="14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14"/>
      <c r="C31" s="18"/>
      <c r="D31" s="19"/>
      <c r="E31" s="14"/>
      <c r="F31" s="14"/>
      <c r="G31" s="14"/>
      <c r="H31" s="14"/>
      <c r="I31" s="14"/>
      <c r="J31" s="14"/>
      <c r="K31" s="14"/>
      <c r="L31" s="14"/>
      <c r="M31" s="14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20"/>
      <c r="C32" s="18"/>
      <c r="D32" s="19"/>
      <c r="E32" s="14"/>
      <c r="F32" s="14"/>
      <c r="G32" s="14"/>
      <c r="H32" s="14"/>
      <c r="I32" s="14"/>
      <c r="J32" s="14"/>
      <c r="K32" s="14"/>
      <c r="L32" s="14"/>
      <c r="M32" s="14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14"/>
      <c r="C33" s="18"/>
      <c r="D33" s="19"/>
      <c r="E33" s="14"/>
      <c r="F33" s="14"/>
      <c r="G33" s="14"/>
      <c r="H33" s="14"/>
      <c r="I33" s="14"/>
      <c r="J33" s="14"/>
      <c r="K33" s="14"/>
      <c r="L33" s="14"/>
      <c r="M33" s="14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x14ac:dyDescent="0.25">
      <c r="A34" s="1"/>
      <c r="B34" s="14"/>
      <c r="C34" s="18"/>
      <c r="D34" s="19"/>
      <c r="E34" s="14"/>
      <c r="F34" s="14"/>
      <c r="G34" s="14"/>
      <c r="H34" s="14"/>
      <c r="I34" s="14"/>
      <c r="J34" s="14"/>
      <c r="K34" s="14"/>
      <c r="L34" s="14"/>
      <c r="M34" s="14"/>
      <c r="N34" s="1"/>
      <c r="O34" s="1"/>
      <c r="P34" s="1"/>
      <c r="Q34" s="1"/>
      <c r="R34" s="1"/>
      <c r="S34" s="1"/>
      <c r="T34" s="1"/>
      <c r="U34" s="1"/>
      <c r="V34" s="1"/>
    </row>
    <row r="35" spans="1:26" ht="15.75" customHeight="1" x14ac:dyDescent="0.25">
      <c r="A35" s="1"/>
      <c r="B35" s="14"/>
      <c r="C35" s="14"/>
      <c r="D35" s="14"/>
      <c r="E35" s="14"/>
      <c r="F35" s="1"/>
      <c r="G35" s="14"/>
      <c r="H35" s="14"/>
      <c r="I35" s="14"/>
      <c r="J35" s="14"/>
      <c r="K35" s="14"/>
      <c r="L35" s="14"/>
      <c r="M35" s="14"/>
      <c r="N35" s="1"/>
      <c r="O35" s="1"/>
      <c r="P35" s="1"/>
      <c r="Q35" s="1"/>
      <c r="R35" s="1"/>
      <c r="S35" s="1"/>
      <c r="T35" s="1"/>
      <c r="U35" s="1"/>
      <c r="V35" s="1"/>
    </row>
    <row r="36" spans="1:26" ht="15.75" customHeight="1" thickBo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4">
      <c r="A37" s="1"/>
      <c r="B37" s="339" t="s">
        <v>33</v>
      </c>
      <c r="C37" s="340"/>
      <c r="D37" s="340"/>
      <c r="E37" s="34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thickBot="1" x14ac:dyDescent="0.3">
      <c r="A38" s="1"/>
      <c r="B38" s="204" t="s">
        <v>34</v>
      </c>
      <c r="C38" s="205" t="s">
        <v>35</v>
      </c>
      <c r="D38" s="342" t="s">
        <v>36</v>
      </c>
      <c r="E38" s="343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84.75" customHeight="1" thickBot="1" x14ac:dyDescent="0.3">
      <c r="A39" s="1"/>
      <c r="B39" s="218" t="s">
        <v>205</v>
      </c>
      <c r="C39" s="269">
        <v>80000</v>
      </c>
      <c r="D39" s="344" t="s">
        <v>207</v>
      </c>
      <c r="E39" s="34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0.25" customHeight="1" thickBot="1" x14ac:dyDescent="0.3">
      <c r="A40" s="1"/>
      <c r="B40" s="206" t="s">
        <v>206</v>
      </c>
      <c r="C40" s="207">
        <v>90000</v>
      </c>
      <c r="D40" s="346" t="s">
        <v>208</v>
      </c>
      <c r="E40" s="347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8.75" customHeight="1" x14ac:dyDescent="0.25">
      <c r="A41" s="1"/>
      <c r="B41" s="208" t="s">
        <v>37</v>
      </c>
      <c r="C41" s="209">
        <v>100000</v>
      </c>
      <c r="D41" s="319" t="s">
        <v>209</v>
      </c>
      <c r="E41" s="320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</sheetData>
  <mergeCells count="12">
    <mergeCell ref="D41:E41"/>
    <mergeCell ref="B3:I3"/>
    <mergeCell ref="B4:I4"/>
    <mergeCell ref="B7:I7"/>
    <mergeCell ref="B8:I8"/>
    <mergeCell ref="B18:I18"/>
    <mergeCell ref="B19:I19"/>
    <mergeCell ref="B25:D25"/>
    <mergeCell ref="B37:E37"/>
    <mergeCell ref="D38:E38"/>
    <mergeCell ref="D39:E39"/>
    <mergeCell ref="D40:E40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2"/>
  <sheetViews>
    <sheetView zoomScale="85" zoomScaleNormal="85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Q82" sqref="Q82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24.875" bestFit="1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5.12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4.25" customWidth="1"/>
    <col min="17" max="17" width="7.75" bestFit="1" customWidth="1"/>
    <col min="18" max="18" width="14.375" customWidth="1"/>
    <col min="19" max="19" width="7.75" bestFit="1" customWidth="1"/>
    <col min="20" max="20" width="14.125" customWidth="1"/>
    <col min="21" max="21" width="7.75" customWidth="1"/>
    <col min="22" max="22" width="14.125" customWidth="1"/>
    <col min="23" max="23" width="7.75" customWidth="1"/>
    <col min="24" max="24" width="15.375" customWidth="1"/>
    <col min="25" max="25" width="7.75" bestFit="1" customWidth="1"/>
    <col min="26" max="26" width="14" customWidth="1"/>
    <col min="27" max="27" width="7.75" customWidth="1"/>
    <col min="28" max="28" width="14.75" customWidth="1"/>
    <col min="29" max="29" width="16.375" customWidth="1"/>
    <col min="30" max="48" width="10" customWidth="1"/>
  </cols>
  <sheetData>
    <row r="1" spans="1:43" ht="84.75" customHeight="1" x14ac:dyDescent="0.25">
      <c r="A1" s="210"/>
      <c r="B1" s="211"/>
      <c r="C1" s="382" t="s">
        <v>11</v>
      </c>
      <c r="D1" s="383"/>
      <c r="E1" s="383"/>
      <c r="F1" s="384"/>
      <c r="G1" s="210"/>
      <c r="H1" s="210"/>
      <c r="I1" s="212"/>
      <c r="J1" s="212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85" t="s">
        <v>38</v>
      </c>
      <c r="C5" s="386"/>
      <c r="D5" s="387"/>
      <c r="E5" s="1"/>
      <c r="F5" s="432" t="s">
        <v>39</v>
      </c>
      <c r="G5" s="433"/>
      <c r="H5" s="433"/>
      <c r="I5" s="433"/>
      <c r="J5" s="433"/>
      <c r="K5" s="434"/>
      <c r="L5" s="22"/>
      <c r="M5" s="22"/>
      <c r="N5" s="22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3" ht="30" customHeight="1" x14ac:dyDescent="0.25">
      <c r="A6" s="23"/>
      <c r="B6" s="231">
        <v>2021</v>
      </c>
      <c r="C6" s="232">
        <v>2022</v>
      </c>
      <c r="D6" s="233">
        <v>2023</v>
      </c>
      <c r="E6" s="1"/>
      <c r="F6" s="435" t="s">
        <v>237</v>
      </c>
      <c r="G6" s="436"/>
      <c r="H6" s="436"/>
      <c r="I6" s="436"/>
      <c r="J6" s="436"/>
      <c r="K6" s="437"/>
      <c r="L6" s="24"/>
      <c r="M6" s="24"/>
      <c r="N6" s="24"/>
      <c r="O6" s="24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3" x14ac:dyDescent="0.25">
      <c r="A7" s="23"/>
      <c r="B7" s="25">
        <f>Hipótesis!C27</f>
        <v>0.13</v>
      </c>
      <c r="C7" s="26">
        <f>Hipótesis!C28</f>
        <v>0.25</v>
      </c>
      <c r="D7" s="27">
        <f>Hipótesis!C29</f>
        <v>0.35</v>
      </c>
      <c r="E7" s="1"/>
      <c r="F7" s="438"/>
      <c r="G7" s="439"/>
      <c r="H7" s="439"/>
      <c r="I7" s="439"/>
      <c r="J7" s="439"/>
      <c r="K7" s="440"/>
      <c r="L7" s="24"/>
      <c r="M7" s="24"/>
      <c r="N7" s="24"/>
      <c r="O7" s="24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3" ht="15.75" thickBot="1" x14ac:dyDescent="0.3">
      <c r="A8" s="23"/>
      <c r="B8" s="28">
        <f>Hipótesis!D27</f>
        <v>8829600</v>
      </c>
      <c r="C8" s="29">
        <f>Hipótesis!D28</f>
        <v>16980000</v>
      </c>
      <c r="D8" s="30">
        <f>Hipótesis!D29</f>
        <v>23772000</v>
      </c>
      <c r="E8" s="1"/>
      <c r="F8" s="438"/>
      <c r="G8" s="439"/>
      <c r="H8" s="439"/>
      <c r="I8" s="439"/>
      <c r="J8" s="439"/>
      <c r="K8" s="440"/>
      <c r="L8" s="24"/>
      <c r="M8" s="24"/>
      <c r="N8" s="24"/>
      <c r="O8" s="24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3" x14ac:dyDescent="0.25">
      <c r="A9" s="1"/>
      <c r="B9" s="1"/>
      <c r="C9" s="1"/>
      <c r="D9" s="1"/>
      <c r="E9" s="1"/>
      <c r="F9" s="438"/>
      <c r="G9" s="439"/>
      <c r="H9" s="439"/>
      <c r="I9" s="439"/>
      <c r="J9" s="439"/>
      <c r="K9" s="440"/>
      <c r="L9" s="24"/>
      <c r="M9" s="24"/>
      <c r="N9" s="24"/>
      <c r="O9" s="24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3" x14ac:dyDescent="0.25">
      <c r="A10" s="1" t="s">
        <v>40</v>
      </c>
      <c r="B10" s="1"/>
      <c r="C10" s="1"/>
      <c r="D10" s="1"/>
      <c r="E10" s="1"/>
      <c r="F10" s="438"/>
      <c r="G10" s="439"/>
      <c r="H10" s="439"/>
      <c r="I10" s="439"/>
      <c r="J10" s="439"/>
      <c r="K10" s="440"/>
      <c r="L10" s="24"/>
      <c r="M10" s="24"/>
      <c r="N10" s="24"/>
      <c r="O10" s="24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3" x14ac:dyDescent="0.25">
      <c r="A11" s="1"/>
      <c r="B11" s="1"/>
      <c r="C11" s="1"/>
      <c r="D11" s="1"/>
      <c r="E11" s="1"/>
      <c r="F11" s="438"/>
      <c r="G11" s="439"/>
      <c r="H11" s="439"/>
      <c r="I11" s="439"/>
      <c r="J11" s="439"/>
      <c r="K11" s="440"/>
      <c r="L11" s="24"/>
      <c r="M11" s="24"/>
      <c r="N11" s="24"/>
      <c r="O11" s="24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3" ht="158.25" customHeight="1" thickBot="1" x14ac:dyDescent="0.3">
      <c r="A12" s="1"/>
      <c r="B12" s="1"/>
      <c r="C12" s="1"/>
      <c r="D12" s="1"/>
      <c r="E12" s="1"/>
      <c r="F12" s="441"/>
      <c r="G12" s="442"/>
      <c r="H12" s="442"/>
      <c r="I12" s="442"/>
      <c r="J12" s="442"/>
      <c r="K12" s="443"/>
      <c r="L12" s="24"/>
      <c r="M12" s="24"/>
      <c r="N12" s="24"/>
      <c r="O12" s="24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55"/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388" t="s">
        <v>73</v>
      </c>
      <c r="B15" s="389"/>
      <c r="C15" s="389"/>
      <c r="D15" s="389"/>
      <c r="E15" s="389"/>
      <c r="F15" s="389"/>
      <c r="G15" s="389"/>
      <c r="H15" s="389"/>
      <c r="I15" s="389"/>
      <c r="J15" s="389"/>
      <c r="K15" s="389"/>
      <c r="L15" s="389"/>
      <c r="M15" s="389"/>
      <c r="N15" s="389"/>
      <c r="O15" s="389"/>
      <c r="P15" s="389"/>
      <c r="Q15" s="389"/>
      <c r="R15" s="389"/>
      <c r="S15" s="389"/>
      <c r="T15" s="389"/>
      <c r="U15" s="389"/>
      <c r="V15" s="389"/>
      <c r="W15" s="389"/>
      <c r="X15" s="389"/>
      <c r="Y15" s="389"/>
      <c r="Z15" s="389"/>
      <c r="AA15" s="389"/>
      <c r="AB15" s="389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390" t="s">
        <v>210</v>
      </c>
      <c r="B16" s="390" t="s">
        <v>35</v>
      </c>
      <c r="C16" s="392" t="s">
        <v>41</v>
      </c>
      <c r="D16" s="380"/>
      <c r="E16" s="391" t="s">
        <v>42</v>
      </c>
      <c r="F16" s="380"/>
      <c r="G16" s="391" t="s">
        <v>43</v>
      </c>
      <c r="H16" s="380"/>
      <c r="I16" s="391" t="s">
        <v>44</v>
      </c>
      <c r="J16" s="380"/>
      <c r="K16" s="391" t="s">
        <v>45</v>
      </c>
      <c r="L16" s="380"/>
      <c r="M16" s="391" t="s">
        <v>46</v>
      </c>
      <c r="N16" s="380"/>
      <c r="O16" s="391" t="s">
        <v>47</v>
      </c>
      <c r="P16" s="380"/>
      <c r="Q16" s="391" t="s">
        <v>48</v>
      </c>
      <c r="R16" s="380"/>
      <c r="S16" s="391" t="s">
        <v>49</v>
      </c>
      <c r="T16" s="380"/>
      <c r="U16" s="391" t="s">
        <v>50</v>
      </c>
      <c r="V16" s="380"/>
      <c r="W16" s="391" t="s">
        <v>51</v>
      </c>
      <c r="X16" s="380"/>
      <c r="Y16" s="391" t="s">
        <v>52</v>
      </c>
      <c r="Z16" s="380"/>
      <c r="AA16" s="391" t="s">
        <v>53</v>
      </c>
      <c r="AB16" s="380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389"/>
      <c r="B17" s="389"/>
      <c r="C17" s="392" t="s">
        <v>55</v>
      </c>
      <c r="D17" s="392" t="s">
        <v>54</v>
      </c>
      <c r="E17" s="379">
        <v>0.05</v>
      </c>
      <c r="F17" s="380"/>
      <c r="G17" s="379">
        <v>0.05</v>
      </c>
      <c r="H17" s="379"/>
      <c r="I17" s="379">
        <v>0.05</v>
      </c>
      <c r="J17" s="380"/>
      <c r="K17" s="379">
        <v>7.0000000000000007E-2</v>
      </c>
      <c r="L17" s="379"/>
      <c r="M17" s="379">
        <v>0.1</v>
      </c>
      <c r="N17" s="380"/>
      <c r="O17" s="379">
        <v>0.15</v>
      </c>
      <c r="P17" s="379"/>
      <c r="Q17" s="379">
        <v>7.0000000000000007E-2</v>
      </c>
      <c r="R17" s="380"/>
      <c r="S17" s="379">
        <v>7.0000000000000007E-2</v>
      </c>
      <c r="T17" s="379"/>
      <c r="U17" s="379">
        <v>7.0000000000000007E-2</v>
      </c>
      <c r="V17" s="380"/>
      <c r="W17" s="379">
        <v>7.0000000000000007E-2</v>
      </c>
      <c r="X17" s="379"/>
      <c r="Y17" s="379">
        <v>0.1</v>
      </c>
      <c r="Z17" s="380"/>
      <c r="AA17" s="379">
        <v>0.15</v>
      </c>
      <c r="AB17" s="379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389"/>
      <c r="B18" s="389"/>
      <c r="C18" s="380"/>
      <c r="D18" s="380"/>
      <c r="E18" s="239" t="s">
        <v>55</v>
      </c>
      <c r="F18" s="239" t="s">
        <v>54</v>
      </c>
      <c r="G18" s="239" t="s">
        <v>55</v>
      </c>
      <c r="H18" s="239" t="s">
        <v>54</v>
      </c>
      <c r="I18" s="239" t="s">
        <v>55</v>
      </c>
      <c r="J18" s="239" t="s">
        <v>54</v>
      </c>
      <c r="K18" s="239" t="s">
        <v>55</v>
      </c>
      <c r="L18" s="239" t="s">
        <v>54</v>
      </c>
      <c r="M18" s="239" t="s">
        <v>55</v>
      </c>
      <c r="N18" s="239" t="s">
        <v>54</v>
      </c>
      <c r="O18" s="239" t="s">
        <v>55</v>
      </c>
      <c r="P18" s="239" t="s">
        <v>54</v>
      </c>
      <c r="Q18" s="239" t="s">
        <v>55</v>
      </c>
      <c r="R18" s="239" t="s">
        <v>54</v>
      </c>
      <c r="S18" s="239" t="s">
        <v>55</v>
      </c>
      <c r="T18" s="239" t="s">
        <v>54</v>
      </c>
      <c r="U18" s="239" t="s">
        <v>55</v>
      </c>
      <c r="V18" s="239" t="s">
        <v>54</v>
      </c>
      <c r="W18" s="239" t="s">
        <v>55</v>
      </c>
      <c r="X18" s="239" t="s">
        <v>54</v>
      </c>
      <c r="Y18" s="239" t="s">
        <v>55</v>
      </c>
      <c r="Z18" s="239" t="s">
        <v>54</v>
      </c>
      <c r="AA18" s="239" t="s">
        <v>55</v>
      </c>
      <c r="AB18" s="239" t="s">
        <v>54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304" t="str">
        <f>Hipótesis!B39</f>
        <v>Inicial</v>
      </c>
      <c r="B19" s="305">
        <f>Hipótesis!C39</f>
        <v>80000</v>
      </c>
      <c r="C19" s="275">
        <f>E19+G19+I19+K19+M19+O19+Q19+S19+U19+W19+Y19+AA19</f>
        <v>9</v>
      </c>
      <c r="D19" s="274">
        <f>B19*C19</f>
        <v>720000</v>
      </c>
      <c r="E19" s="276">
        <v>0</v>
      </c>
      <c r="F19" s="274">
        <f>B19*E19</f>
        <v>0</v>
      </c>
      <c r="G19" s="276">
        <v>0</v>
      </c>
      <c r="H19" s="274">
        <f>B19*G19</f>
        <v>0</v>
      </c>
      <c r="I19" s="276">
        <v>0</v>
      </c>
      <c r="J19" s="274">
        <f t="shared" ref="J19:J21" si="0">F19*I19</f>
        <v>0</v>
      </c>
      <c r="K19" s="276">
        <v>1</v>
      </c>
      <c r="L19" s="274">
        <f>K19*B19</f>
        <v>80000</v>
      </c>
      <c r="M19" s="276">
        <v>1</v>
      </c>
      <c r="N19" s="274">
        <f>M19*B19</f>
        <v>80000</v>
      </c>
      <c r="O19" s="276">
        <v>1</v>
      </c>
      <c r="P19" s="274">
        <f>O19*B19</f>
        <v>80000</v>
      </c>
      <c r="Q19" s="276">
        <v>1</v>
      </c>
      <c r="R19" s="274">
        <f t="shared" ref="R19:R21" si="1">N19*Q19</f>
        <v>80000</v>
      </c>
      <c r="S19" s="276">
        <v>1</v>
      </c>
      <c r="T19" s="274">
        <f>S19*B19</f>
        <v>80000</v>
      </c>
      <c r="U19" s="276">
        <v>1</v>
      </c>
      <c r="V19" s="274">
        <f t="shared" ref="V19:V21" si="2">R19*U19</f>
        <v>80000</v>
      </c>
      <c r="W19" s="276">
        <v>1</v>
      </c>
      <c r="X19" s="274">
        <f t="shared" ref="X19:X21" si="3">R19*W19</f>
        <v>80000</v>
      </c>
      <c r="Y19" s="276">
        <v>1</v>
      </c>
      <c r="Z19" s="274">
        <f t="shared" ref="Z19:Z21" si="4">V19*Y19</f>
        <v>80000</v>
      </c>
      <c r="AA19" s="276">
        <v>1</v>
      </c>
      <c r="AB19" s="274">
        <f t="shared" ref="AB19:AB21" si="5">V19*AA19</f>
        <v>80000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306" t="str">
        <f>Hipótesis!B40</f>
        <v>Normal</v>
      </c>
      <c r="B20" s="307">
        <f>Hipótesis!C40</f>
        <v>90000</v>
      </c>
      <c r="C20" s="278">
        <f>E20+G20+I20+K20+M20+O20+Q20+S20+U20+W20+Y20+AA20</f>
        <v>18</v>
      </c>
      <c r="D20" s="277">
        <f t="shared" ref="D20:D21" si="6">B20*C20</f>
        <v>1620000</v>
      </c>
      <c r="E20" s="278">
        <v>1</v>
      </c>
      <c r="F20" s="279">
        <f t="shared" ref="F20:F21" si="7">B20*E20</f>
        <v>90000</v>
      </c>
      <c r="G20" s="278">
        <v>1</v>
      </c>
      <c r="H20" s="279">
        <f t="shared" ref="H20:H21" si="8">B20*G20</f>
        <v>90000</v>
      </c>
      <c r="I20" s="278">
        <v>1</v>
      </c>
      <c r="J20" s="279">
        <f t="shared" si="0"/>
        <v>90000</v>
      </c>
      <c r="K20" s="278">
        <v>1</v>
      </c>
      <c r="L20" s="279">
        <f t="shared" ref="L20:L21" si="9">F20*K20</f>
        <v>90000</v>
      </c>
      <c r="M20" s="278">
        <v>2</v>
      </c>
      <c r="N20" s="279">
        <f t="shared" ref="N20:N21" si="10">J20*M20</f>
        <v>180000</v>
      </c>
      <c r="O20" s="278">
        <v>3</v>
      </c>
      <c r="P20" s="279">
        <f t="shared" ref="P20:P21" si="11">J20*O20</f>
        <v>270000</v>
      </c>
      <c r="Q20" s="278">
        <v>1</v>
      </c>
      <c r="R20" s="279">
        <f>Q20*B20</f>
        <v>90000</v>
      </c>
      <c r="S20" s="278">
        <v>1</v>
      </c>
      <c r="T20" s="279">
        <f>B20*S20</f>
        <v>90000</v>
      </c>
      <c r="U20" s="278">
        <v>1</v>
      </c>
      <c r="V20" s="279">
        <f t="shared" si="2"/>
        <v>90000</v>
      </c>
      <c r="W20" s="278">
        <v>1</v>
      </c>
      <c r="X20" s="279">
        <f t="shared" si="3"/>
        <v>90000</v>
      </c>
      <c r="Y20" s="278">
        <v>2</v>
      </c>
      <c r="Z20" s="279">
        <f t="shared" si="4"/>
        <v>180000</v>
      </c>
      <c r="AA20" s="278">
        <v>3</v>
      </c>
      <c r="AB20" s="279">
        <f t="shared" si="5"/>
        <v>270000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308" t="str">
        <f>Hipótesis!B41</f>
        <v>Premium</v>
      </c>
      <c r="B21" s="309">
        <f>Hipótesis!C41</f>
        <v>100000</v>
      </c>
      <c r="C21" s="281">
        <f>E21+G21+I21+K21+M21+O21+Q21+S21+U21+W21+Y21+AA21</f>
        <v>14</v>
      </c>
      <c r="D21" s="280">
        <f t="shared" si="6"/>
        <v>1400000</v>
      </c>
      <c r="E21" s="282">
        <v>1</v>
      </c>
      <c r="F21" s="283">
        <f t="shared" si="7"/>
        <v>100000</v>
      </c>
      <c r="G21" s="282">
        <v>1</v>
      </c>
      <c r="H21" s="283">
        <f t="shared" si="8"/>
        <v>100000</v>
      </c>
      <c r="I21" s="282">
        <v>1</v>
      </c>
      <c r="J21" s="283">
        <f t="shared" si="0"/>
        <v>100000</v>
      </c>
      <c r="K21" s="282">
        <v>1</v>
      </c>
      <c r="L21" s="283">
        <f t="shared" si="9"/>
        <v>100000</v>
      </c>
      <c r="M21" s="282">
        <v>1</v>
      </c>
      <c r="N21" s="283">
        <f t="shared" si="10"/>
        <v>100000</v>
      </c>
      <c r="O21" s="282">
        <v>2</v>
      </c>
      <c r="P21" s="283">
        <f t="shared" si="11"/>
        <v>200000</v>
      </c>
      <c r="Q21" s="282">
        <v>1</v>
      </c>
      <c r="R21" s="283">
        <f t="shared" si="1"/>
        <v>100000</v>
      </c>
      <c r="S21" s="282">
        <v>1</v>
      </c>
      <c r="T21" s="283">
        <f t="shared" ref="T21" si="12">N21*S21</f>
        <v>100000</v>
      </c>
      <c r="U21" s="282">
        <v>1</v>
      </c>
      <c r="V21" s="283">
        <f t="shared" si="2"/>
        <v>100000</v>
      </c>
      <c r="W21" s="282">
        <v>1</v>
      </c>
      <c r="X21" s="283">
        <f t="shared" si="3"/>
        <v>100000</v>
      </c>
      <c r="Y21" s="282">
        <v>1</v>
      </c>
      <c r="Z21" s="283">
        <f t="shared" si="4"/>
        <v>100000</v>
      </c>
      <c r="AA21" s="282">
        <v>2</v>
      </c>
      <c r="AB21" s="283">
        <f t="shared" si="5"/>
        <v>200000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576" t="s">
        <v>56</v>
      </c>
      <c r="B22" s="577"/>
      <c r="C22" s="284">
        <f>SUM(C19:C21)</f>
        <v>41</v>
      </c>
      <c r="D22" s="285">
        <f>SUM(D19:D21)</f>
        <v>3740000</v>
      </c>
      <c r="E22" s="286">
        <f>SUM(E19:E21)</f>
        <v>2</v>
      </c>
      <c r="F22" s="285">
        <f>SUM(F19:F21)</f>
        <v>190000</v>
      </c>
      <c r="G22" s="286">
        <f>SUM(G19:G21)</f>
        <v>2</v>
      </c>
      <c r="H22" s="285">
        <f>SUM(H19:H21)</f>
        <v>190000</v>
      </c>
      <c r="I22" s="286">
        <f>SUM(I19:I21)</f>
        <v>2</v>
      </c>
      <c r="J22" s="285">
        <f>SUM(J19:J21)</f>
        <v>190000</v>
      </c>
      <c r="K22" s="286">
        <f>SUM(K19:K21)</f>
        <v>3</v>
      </c>
      <c r="L22" s="285">
        <f>SUM(L19:L21)</f>
        <v>270000</v>
      </c>
      <c r="M22" s="286">
        <f>SUM(M19:M21)</f>
        <v>4</v>
      </c>
      <c r="N22" s="285">
        <f>SUM(N19:N21)</f>
        <v>360000</v>
      </c>
      <c r="O22" s="286">
        <f>SUM(O19:O21)</f>
        <v>6</v>
      </c>
      <c r="P22" s="285">
        <f>SUM(P19:P21)</f>
        <v>550000</v>
      </c>
      <c r="Q22" s="286">
        <f>SUM(Q19:Q21)</f>
        <v>3</v>
      </c>
      <c r="R22" s="285">
        <f>SUM(R19:R21)</f>
        <v>270000</v>
      </c>
      <c r="S22" s="286">
        <f>SUM(S19:S21)</f>
        <v>3</v>
      </c>
      <c r="T22" s="285">
        <f>SUM(T19:T21)</f>
        <v>270000</v>
      </c>
      <c r="U22" s="286">
        <f>SUM(U19:U21)</f>
        <v>3</v>
      </c>
      <c r="V22" s="285">
        <f>SUM(V19:V21)</f>
        <v>270000</v>
      </c>
      <c r="W22" s="286">
        <f>SUM(W19:W21)</f>
        <v>3</v>
      </c>
      <c r="X22" s="285">
        <f>SUM(X19:X21)</f>
        <v>270000</v>
      </c>
      <c r="Y22" s="286">
        <f>SUM(Y19:Y21)</f>
        <v>4</v>
      </c>
      <c r="Z22" s="285">
        <f>SUM(Z19:Z21)</f>
        <v>360000</v>
      </c>
      <c r="AA22" s="286">
        <f>SUM(AA19:AA21)</f>
        <v>6</v>
      </c>
      <c r="AB22" s="285">
        <f>SUM(AB19:AB21)</f>
        <v>550000</v>
      </c>
      <c r="AC22" s="3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348" t="s">
        <v>220</v>
      </c>
      <c r="B23" s="349"/>
      <c r="C23" s="350"/>
      <c r="D23" s="287">
        <f t="shared" ref="D23:D25" si="13">SUM(F23+H23+J23+L23+N23+P23+R23+T23+V23+X23+Z23+AB23)</f>
        <v>3600000</v>
      </c>
      <c r="E23" s="288">
        <f>E19</f>
        <v>0</v>
      </c>
      <c r="F23" s="289">
        <f>B19*E23*E19</f>
        <v>0</v>
      </c>
      <c r="G23" s="288">
        <f>G19+E23</f>
        <v>0</v>
      </c>
      <c r="H23" s="289">
        <f>B19*G23*G19</f>
        <v>0</v>
      </c>
      <c r="I23" s="288">
        <f>I19+G23</f>
        <v>0</v>
      </c>
      <c r="J23" s="289">
        <f>B19*I23*I19</f>
        <v>0</v>
      </c>
      <c r="K23" s="288">
        <f>K19+I23</f>
        <v>1</v>
      </c>
      <c r="L23" s="289">
        <f>B19*K23*K19</f>
        <v>80000</v>
      </c>
      <c r="M23" s="288">
        <f>K23+M19</f>
        <v>2</v>
      </c>
      <c r="N23" s="290">
        <f>L23+B19*M19</f>
        <v>160000</v>
      </c>
      <c r="O23" s="288">
        <f>M23+O19</f>
        <v>3</v>
      </c>
      <c r="P23" s="290">
        <f>N23+B19*O19</f>
        <v>240000</v>
      </c>
      <c r="Q23" s="288">
        <f>O23+Q19</f>
        <v>4</v>
      </c>
      <c r="R23" s="288">
        <f>P23+B19*Q19</f>
        <v>320000</v>
      </c>
      <c r="S23" s="288">
        <f>Q23+1</f>
        <v>5</v>
      </c>
      <c r="T23" s="288">
        <f>R23+B19*S19</f>
        <v>400000</v>
      </c>
      <c r="U23" s="288">
        <f>S23+1</f>
        <v>6</v>
      </c>
      <c r="V23" s="288">
        <f>T23+B19*U19</f>
        <v>480000</v>
      </c>
      <c r="W23" s="288">
        <f>U23+1</f>
        <v>7</v>
      </c>
      <c r="X23" s="288">
        <f>V23+X19*W19</f>
        <v>560000</v>
      </c>
      <c r="Y23" s="288">
        <f>W23+1</f>
        <v>8</v>
      </c>
      <c r="Z23" s="288">
        <f>X23+B19*Y19</f>
        <v>640000</v>
      </c>
      <c r="AA23" s="288">
        <f>Y23+1</f>
        <v>9</v>
      </c>
      <c r="AB23" s="288">
        <f>Z23+B19*AA19</f>
        <v>720000</v>
      </c>
      <c r="AC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</row>
    <row r="24" spans="1:43" ht="15.75" customHeight="1" thickBot="1" x14ac:dyDescent="0.3">
      <c r="A24" s="351" t="s">
        <v>221</v>
      </c>
      <c r="B24" s="352"/>
      <c r="C24" s="353"/>
      <c r="D24" s="291">
        <f t="shared" si="13"/>
        <v>9360000</v>
      </c>
      <c r="E24" s="292">
        <f>E20</f>
        <v>1</v>
      </c>
      <c r="F24" s="293">
        <f>B20*E24*E20</f>
        <v>90000</v>
      </c>
      <c r="G24" s="292">
        <f>G20+E24</f>
        <v>2</v>
      </c>
      <c r="H24" s="293">
        <f>B20*G24*G20</f>
        <v>180000</v>
      </c>
      <c r="I24" s="292">
        <f>I20+G24</f>
        <v>3</v>
      </c>
      <c r="J24" s="293">
        <f>B20*I24*I20</f>
        <v>270000</v>
      </c>
      <c r="K24" s="292">
        <f>K20+I24</f>
        <v>4</v>
      </c>
      <c r="L24" s="293">
        <f>B20*K24*K20</f>
        <v>360000</v>
      </c>
      <c r="M24" s="292">
        <f>K24+M20</f>
        <v>6</v>
      </c>
      <c r="N24" s="294">
        <f>L24+B20*M20</f>
        <v>540000</v>
      </c>
      <c r="O24" s="292">
        <f>M24+O20</f>
        <v>9</v>
      </c>
      <c r="P24" s="294">
        <f>N24+B20*O20</f>
        <v>810000</v>
      </c>
      <c r="Q24" s="292">
        <f>O24+Q20</f>
        <v>10</v>
      </c>
      <c r="R24" s="292">
        <f>P24+B20*Q20</f>
        <v>900000</v>
      </c>
      <c r="S24" s="292">
        <f>Q24+1</f>
        <v>11</v>
      </c>
      <c r="T24" s="292">
        <f>R24+B20*S20</f>
        <v>990000</v>
      </c>
      <c r="U24" s="292">
        <f>S24+1</f>
        <v>12</v>
      </c>
      <c r="V24" s="292">
        <f>T24+B20*U20</f>
        <v>1080000</v>
      </c>
      <c r="W24" s="292">
        <f>U24+1</f>
        <v>13</v>
      </c>
      <c r="X24" s="292">
        <f>V24+X20*W20</f>
        <v>1170000</v>
      </c>
      <c r="Y24" s="292">
        <f>W24+Y20</f>
        <v>15</v>
      </c>
      <c r="Z24" s="292">
        <f>X24+B20*Y20</f>
        <v>1350000</v>
      </c>
      <c r="AA24" s="292">
        <f>Y24+AA20</f>
        <v>18</v>
      </c>
      <c r="AB24" s="292">
        <f>Z24+B20*AA20</f>
        <v>1620000</v>
      </c>
      <c r="AC24" s="144"/>
      <c r="AD24" s="144"/>
      <c r="AE24" s="144"/>
      <c r="AF24" s="144"/>
      <c r="AG24" s="144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</row>
    <row r="25" spans="1:43" ht="15.75" customHeight="1" thickBot="1" x14ac:dyDescent="0.3">
      <c r="A25" s="354" t="s">
        <v>222</v>
      </c>
      <c r="B25" s="355"/>
      <c r="C25" s="356"/>
      <c r="D25" s="295">
        <f t="shared" si="13"/>
        <v>8600000</v>
      </c>
      <c r="E25" s="296">
        <f>E21</f>
        <v>1</v>
      </c>
      <c r="F25" s="297">
        <f>B21*E25*E21</f>
        <v>100000</v>
      </c>
      <c r="G25" s="296">
        <f>G21+E25</f>
        <v>2</v>
      </c>
      <c r="H25" s="297">
        <f>B21*G25*G21</f>
        <v>200000</v>
      </c>
      <c r="I25" s="296">
        <f>I21+G25</f>
        <v>3</v>
      </c>
      <c r="J25" s="297">
        <f>B21*I25*I21</f>
        <v>300000</v>
      </c>
      <c r="K25" s="296">
        <f>K21+I25</f>
        <v>4</v>
      </c>
      <c r="L25" s="297">
        <f>B21*K25*K21</f>
        <v>400000</v>
      </c>
      <c r="M25" s="296">
        <f>K25+M21</f>
        <v>5</v>
      </c>
      <c r="N25" s="298">
        <f>L25+B21*M21</f>
        <v>500000</v>
      </c>
      <c r="O25" s="296">
        <f>M25+O21</f>
        <v>7</v>
      </c>
      <c r="P25" s="298">
        <f>N25+B21*O21</f>
        <v>700000</v>
      </c>
      <c r="Q25" s="296">
        <f>O25+Q21</f>
        <v>8</v>
      </c>
      <c r="R25" s="296">
        <f>P25+B21*Q21</f>
        <v>800000</v>
      </c>
      <c r="S25" s="296">
        <f>Q25+1</f>
        <v>9</v>
      </c>
      <c r="T25" s="296">
        <f>R25+B21*S21</f>
        <v>900000</v>
      </c>
      <c r="U25" s="296">
        <f>S25+1</f>
        <v>10</v>
      </c>
      <c r="V25" s="296">
        <f>T25+B21*U21</f>
        <v>1000000</v>
      </c>
      <c r="W25" s="296">
        <f>U25+W21</f>
        <v>11</v>
      </c>
      <c r="X25" s="296">
        <f>V25+X21*W21</f>
        <v>1100000</v>
      </c>
      <c r="Y25" s="296">
        <f>W25+Y21</f>
        <v>12</v>
      </c>
      <c r="Z25" s="296">
        <f>X25+B21*Y21</f>
        <v>1200000</v>
      </c>
      <c r="AA25" s="296">
        <f>Y25+AA21</f>
        <v>14</v>
      </c>
      <c r="AB25" s="296">
        <f>Z25+B21*AA21</f>
        <v>1400000</v>
      </c>
      <c r="AC25" s="144"/>
      <c r="AD25" s="144"/>
      <c r="AE25" s="144"/>
      <c r="AF25" s="144"/>
      <c r="AG25" s="144"/>
      <c r="AH25" s="144"/>
      <c r="AI25" s="144"/>
      <c r="AJ25" s="144"/>
      <c r="AK25" s="144"/>
      <c r="AL25" s="144"/>
      <c r="AM25" s="144"/>
      <c r="AN25" s="144"/>
      <c r="AO25" s="144"/>
      <c r="AP25" s="144"/>
      <c r="AQ25" s="144"/>
    </row>
    <row r="26" spans="1:43" ht="15.75" customHeight="1" thickBot="1" x14ac:dyDescent="0.3">
      <c r="A26" s="408" t="s">
        <v>169</v>
      </c>
      <c r="B26" s="409"/>
      <c r="C26" s="299">
        <f>C22</f>
        <v>41</v>
      </c>
      <c r="D26" s="300">
        <f>SUM(F26+H26+J26+L26+N26+P26+R26+T26+V26+X26+Z26+AB26)</f>
        <v>21560000</v>
      </c>
      <c r="E26" s="301">
        <f>E22</f>
        <v>2</v>
      </c>
      <c r="F26" s="302">
        <f>F22</f>
        <v>190000</v>
      </c>
      <c r="G26" s="301">
        <f>E22+G22</f>
        <v>4</v>
      </c>
      <c r="H26" s="302">
        <f>F26+H22</f>
        <v>380000</v>
      </c>
      <c r="I26" s="301">
        <f>E22+G22+I22</f>
        <v>6</v>
      </c>
      <c r="J26" s="302">
        <f>H26+J22</f>
        <v>570000</v>
      </c>
      <c r="K26" s="301">
        <f>SUM(I26,K22)</f>
        <v>9</v>
      </c>
      <c r="L26" s="303">
        <f>J26+L22</f>
        <v>840000</v>
      </c>
      <c r="M26" s="301">
        <f>K26+M22</f>
        <v>13</v>
      </c>
      <c r="N26" s="299">
        <f>SUM(L26,N22)</f>
        <v>1200000</v>
      </c>
      <c r="O26" s="301">
        <f>SUM(M26,O22)</f>
        <v>19</v>
      </c>
      <c r="P26" s="299">
        <f>SUM(N26,P22)</f>
        <v>1750000</v>
      </c>
      <c r="Q26" s="301">
        <f>SUM(O26,Q22)</f>
        <v>22</v>
      </c>
      <c r="R26" s="299">
        <f>SUM(P26,R22)</f>
        <v>2020000</v>
      </c>
      <c r="S26" s="301">
        <f>SUM(Q26,S22)</f>
        <v>25</v>
      </c>
      <c r="T26" s="299">
        <f>SUM(R26,T22)</f>
        <v>2290000</v>
      </c>
      <c r="U26" s="301">
        <f>SUM(S26,U22)</f>
        <v>28</v>
      </c>
      <c r="V26" s="299">
        <f>SUM(T26,V22)</f>
        <v>2560000</v>
      </c>
      <c r="W26" s="301">
        <f>SUM(U26,W22)</f>
        <v>31</v>
      </c>
      <c r="X26" s="299">
        <f>SUM(V26,X22)</f>
        <v>2830000</v>
      </c>
      <c r="Y26" s="301">
        <f>SUM(Y23:Y25)</f>
        <v>35</v>
      </c>
      <c r="Z26" s="299">
        <f>SUM(X26,Z22)</f>
        <v>3190000</v>
      </c>
      <c r="AA26" s="301">
        <f>SUM(AA23:AA25)</f>
        <v>41</v>
      </c>
      <c r="AB26" s="299">
        <f>SUM(Z26,AB22)</f>
        <v>3740000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32"/>
      <c r="E27" s="1"/>
      <c r="F27" s="1"/>
      <c r="G27" s="1"/>
      <c r="H27" s="1"/>
      <c r="I27" s="33"/>
      <c r="J27" s="33"/>
      <c r="K27" s="33"/>
      <c r="L27" s="33"/>
      <c r="M27" s="1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1"/>
      <c r="AB27" s="33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385" t="s">
        <v>216</v>
      </c>
      <c r="B28" s="386"/>
      <c r="C28" s="386"/>
      <c r="D28" s="386"/>
      <c r="E28" s="386"/>
      <c r="F28" s="386"/>
      <c r="G28" s="386"/>
      <c r="H28" s="386"/>
      <c r="I28" s="386"/>
      <c r="J28" s="386"/>
      <c r="K28" s="386"/>
      <c r="L28" s="386"/>
      <c r="M28" s="386"/>
      <c r="N28" s="386"/>
      <c r="O28" s="386"/>
      <c r="P28" s="386"/>
      <c r="Q28" s="386"/>
      <c r="R28" s="386"/>
      <c r="S28" s="386"/>
      <c r="T28" s="386"/>
      <c r="U28" s="386"/>
      <c r="V28" s="386"/>
      <c r="W28" s="386"/>
      <c r="X28" s="386"/>
      <c r="Y28" s="386"/>
      <c r="Z28" s="386"/>
      <c r="AA28" s="386"/>
      <c r="AB28" s="387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">
      <c r="A29" s="219" t="s">
        <v>57</v>
      </c>
      <c r="B29" s="410" t="s">
        <v>211</v>
      </c>
      <c r="C29" s="411"/>
      <c r="D29" s="411"/>
      <c r="E29" s="411"/>
      <c r="F29" s="411"/>
      <c r="G29" s="411"/>
      <c r="H29" s="411"/>
      <c r="I29" s="411"/>
      <c r="J29" s="411"/>
      <c r="K29" s="411"/>
      <c r="L29" s="411"/>
      <c r="M29" s="411"/>
      <c r="N29" s="411"/>
      <c r="O29" s="411"/>
      <c r="P29" s="411"/>
      <c r="Q29" s="411"/>
      <c r="R29" s="411"/>
      <c r="S29" s="411"/>
      <c r="T29" s="411"/>
      <c r="U29" s="411"/>
      <c r="V29" s="411"/>
      <c r="W29" s="411"/>
      <c r="X29" s="411"/>
      <c r="Y29" s="411"/>
      <c r="Z29" s="411"/>
      <c r="AA29" s="411"/>
      <c r="AB29" s="412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15.75" customHeight="1" thickBot="1" x14ac:dyDescent="0.4">
      <c r="A30" s="395" t="s">
        <v>58</v>
      </c>
      <c r="B30" s="396"/>
      <c r="C30" s="399" t="s">
        <v>59</v>
      </c>
      <c r="D30" s="387"/>
      <c r="E30" s="407" t="s">
        <v>60</v>
      </c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6"/>
      <c r="U30" s="386"/>
      <c r="V30" s="386"/>
      <c r="W30" s="386"/>
      <c r="X30" s="386"/>
      <c r="Y30" s="386"/>
      <c r="Z30" s="386"/>
      <c r="AA30" s="386"/>
      <c r="AB30" s="387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397"/>
      <c r="B31" s="398"/>
      <c r="C31" s="220" t="s">
        <v>55</v>
      </c>
      <c r="D31" s="221" t="s">
        <v>58</v>
      </c>
      <c r="E31" s="393" t="s">
        <v>42</v>
      </c>
      <c r="F31" s="387"/>
      <c r="G31" s="393" t="s">
        <v>43</v>
      </c>
      <c r="H31" s="387"/>
      <c r="I31" s="393" t="s">
        <v>44</v>
      </c>
      <c r="J31" s="387"/>
      <c r="K31" s="393" t="s">
        <v>45</v>
      </c>
      <c r="L31" s="387"/>
      <c r="M31" s="393" t="s">
        <v>46</v>
      </c>
      <c r="N31" s="387"/>
      <c r="O31" s="393" t="s">
        <v>47</v>
      </c>
      <c r="P31" s="387"/>
      <c r="Q31" s="393" t="s">
        <v>48</v>
      </c>
      <c r="R31" s="387"/>
      <c r="S31" s="393" t="s">
        <v>49</v>
      </c>
      <c r="T31" s="387"/>
      <c r="U31" s="393" t="s">
        <v>50</v>
      </c>
      <c r="V31" s="387"/>
      <c r="W31" s="393" t="s">
        <v>51</v>
      </c>
      <c r="X31" s="387"/>
      <c r="Y31" s="393" t="s">
        <v>52</v>
      </c>
      <c r="Z31" s="387"/>
      <c r="AA31" s="393" t="s">
        <v>53</v>
      </c>
      <c r="AB31" s="387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00" t="s">
        <v>61</v>
      </c>
      <c r="B32" s="396"/>
      <c r="C32" s="34">
        <f>'Anexo capacidad operativa'!A22</f>
        <v>1</v>
      </c>
      <c r="D32" s="35" t="str">
        <f>'Anexo capacidad operativa'!B22</f>
        <v>Gerente general</v>
      </c>
      <c r="E32" s="413" t="s">
        <v>63</v>
      </c>
      <c r="F32" s="326"/>
      <c r="G32" s="381" t="s">
        <v>63</v>
      </c>
      <c r="H32" s="326"/>
      <c r="I32" s="381" t="s">
        <v>63</v>
      </c>
      <c r="J32" s="326"/>
      <c r="K32" s="381" t="s">
        <v>63</v>
      </c>
      <c r="L32" s="326"/>
      <c r="M32" s="381" t="s">
        <v>63</v>
      </c>
      <c r="N32" s="326"/>
      <c r="O32" s="381" t="s">
        <v>63</v>
      </c>
      <c r="P32" s="326"/>
      <c r="Q32" s="381" t="s">
        <v>63</v>
      </c>
      <c r="R32" s="326"/>
      <c r="S32" s="381" t="s">
        <v>63</v>
      </c>
      <c r="T32" s="326"/>
      <c r="U32" s="381" t="s">
        <v>63</v>
      </c>
      <c r="V32" s="326"/>
      <c r="W32" s="381" t="s">
        <v>63</v>
      </c>
      <c r="X32" s="326"/>
      <c r="Y32" s="381" t="s">
        <v>63</v>
      </c>
      <c r="Z32" s="326"/>
      <c r="AA32" s="381" t="s">
        <v>63</v>
      </c>
      <c r="AB32" s="414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01"/>
      <c r="B33" s="402"/>
      <c r="C33" s="36">
        <f>'Anexo capacidad operativa'!A23</f>
        <v>1</v>
      </c>
      <c r="D33" s="37" t="str">
        <f>'Anexo capacidad operativa'!B23</f>
        <v>Gerente de servicios</v>
      </c>
      <c r="E33" s="394" t="s">
        <v>63</v>
      </c>
      <c r="F33" s="377"/>
      <c r="G33" s="375" t="s">
        <v>63</v>
      </c>
      <c r="H33" s="377"/>
      <c r="I33" s="375" t="s">
        <v>63</v>
      </c>
      <c r="J33" s="377"/>
      <c r="K33" s="375" t="s">
        <v>63</v>
      </c>
      <c r="L33" s="377"/>
      <c r="M33" s="375" t="s">
        <v>63</v>
      </c>
      <c r="N33" s="377"/>
      <c r="O33" s="375" t="s">
        <v>63</v>
      </c>
      <c r="P33" s="377"/>
      <c r="Q33" s="375" t="s">
        <v>63</v>
      </c>
      <c r="R33" s="377"/>
      <c r="S33" s="375" t="s">
        <v>63</v>
      </c>
      <c r="T33" s="377"/>
      <c r="U33" s="375" t="s">
        <v>63</v>
      </c>
      <c r="V33" s="377"/>
      <c r="W33" s="375" t="s">
        <v>63</v>
      </c>
      <c r="X33" s="377"/>
      <c r="Y33" s="375" t="s">
        <v>63</v>
      </c>
      <c r="Z33" s="377"/>
      <c r="AA33" s="375" t="s">
        <v>63</v>
      </c>
      <c r="AB33" s="376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01"/>
      <c r="B34" s="402"/>
      <c r="C34" s="36">
        <f>'Anexo capacidad operativa'!A24</f>
        <v>1</v>
      </c>
      <c r="D34" s="37" t="str">
        <f>'Anexo capacidad operativa'!B24</f>
        <v>Gerente de tecnologia</v>
      </c>
      <c r="E34" s="394" t="s">
        <v>63</v>
      </c>
      <c r="F34" s="377"/>
      <c r="G34" s="375" t="s">
        <v>63</v>
      </c>
      <c r="H34" s="377"/>
      <c r="I34" s="375" t="s">
        <v>63</v>
      </c>
      <c r="J34" s="377"/>
      <c r="K34" s="375" t="s">
        <v>63</v>
      </c>
      <c r="L34" s="377"/>
      <c r="M34" s="375" t="s">
        <v>63</v>
      </c>
      <c r="N34" s="377"/>
      <c r="O34" s="375" t="s">
        <v>63</v>
      </c>
      <c r="P34" s="377"/>
      <c r="Q34" s="375" t="s">
        <v>63</v>
      </c>
      <c r="R34" s="377"/>
      <c r="S34" s="375" t="s">
        <v>63</v>
      </c>
      <c r="T34" s="377"/>
      <c r="U34" s="375" t="s">
        <v>63</v>
      </c>
      <c r="V34" s="377"/>
      <c r="W34" s="375" t="s">
        <v>63</v>
      </c>
      <c r="X34" s="377"/>
      <c r="Y34" s="375" t="s">
        <v>63</v>
      </c>
      <c r="Z34" s="377"/>
      <c r="AA34" s="375" t="s">
        <v>63</v>
      </c>
      <c r="AB34" s="376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01"/>
      <c r="B35" s="402"/>
      <c r="C35" s="36">
        <f>'Anexo capacidad operativa'!A25</f>
        <v>1</v>
      </c>
      <c r="D35" s="37" t="str">
        <f>'Anexo capacidad operativa'!B25</f>
        <v>Gerente de administracion</v>
      </c>
      <c r="E35" s="394" t="s">
        <v>63</v>
      </c>
      <c r="F35" s="377"/>
      <c r="G35" s="375" t="s">
        <v>63</v>
      </c>
      <c r="H35" s="377"/>
      <c r="I35" s="375" t="s">
        <v>63</v>
      </c>
      <c r="J35" s="377"/>
      <c r="K35" s="375" t="s">
        <v>63</v>
      </c>
      <c r="L35" s="377"/>
      <c r="M35" s="375" t="s">
        <v>63</v>
      </c>
      <c r="N35" s="377"/>
      <c r="O35" s="375" t="s">
        <v>63</v>
      </c>
      <c r="P35" s="377"/>
      <c r="Q35" s="375" t="s">
        <v>63</v>
      </c>
      <c r="R35" s="377"/>
      <c r="S35" s="375" t="s">
        <v>63</v>
      </c>
      <c r="T35" s="377"/>
      <c r="U35" s="375" t="s">
        <v>63</v>
      </c>
      <c r="V35" s="377"/>
      <c r="W35" s="375" t="s">
        <v>63</v>
      </c>
      <c r="X35" s="377"/>
      <c r="Y35" s="375" t="s">
        <v>63</v>
      </c>
      <c r="Z35" s="377"/>
      <c r="AA35" s="375" t="s">
        <v>63</v>
      </c>
      <c r="AB35" s="376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01"/>
      <c r="B36" s="402"/>
      <c r="C36" s="36">
        <f>'Anexo capacidad operativa'!A26</f>
        <v>1</v>
      </c>
      <c r="D36" s="37" t="str">
        <f>'Anexo capacidad operativa'!B26</f>
        <v>Gerente de comunicacion</v>
      </c>
      <c r="E36" s="426" t="s">
        <v>63</v>
      </c>
      <c r="F36" s="358"/>
      <c r="G36" s="357" t="s">
        <v>63</v>
      </c>
      <c r="H36" s="358"/>
      <c r="I36" s="357" t="s">
        <v>63</v>
      </c>
      <c r="J36" s="358"/>
      <c r="K36" s="357" t="s">
        <v>63</v>
      </c>
      <c r="L36" s="358"/>
      <c r="M36" s="357" t="s">
        <v>63</v>
      </c>
      <c r="N36" s="358"/>
      <c r="O36" s="357" t="s">
        <v>63</v>
      </c>
      <c r="P36" s="358"/>
      <c r="Q36" s="357" t="s">
        <v>63</v>
      </c>
      <c r="R36" s="358"/>
      <c r="S36" s="357" t="s">
        <v>63</v>
      </c>
      <c r="T36" s="358"/>
      <c r="U36" s="357" t="s">
        <v>63</v>
      </c>
      <c r="V36" s="358"/>
      <c r="W36" s="357" t="s">
        <v>63</v>
      </c>
      <c r="X36" s="358"/>
      <c r="Y36" s="357" t="s">
        <v>63</v>
      </c>
      <c r="Z36" s="358"/>
      <c r="AA36" s="357" t="s">
        <v>63</v>
      </c>
      <c r="AB36" s="378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24" t="s">
        <v>65</v>
      </c>
      <c r="B37" s="425"/>
      <c r="C37" s="38">
        <v>1</v>
      </c>
      <c r="D37" s="39" t="s">
        <v>66</v>
      </c>
      <c r="E37" s="413" t="s">
        <v>63</v>
      </c>
      <c r="F37" s="326"/>
      <c r="G37" s="381" t="s">
        <v>63</v>
      </c>
      <c r="H37" s="326"/>
      <c r="I37" s="381" t="s">
        <v>63</v>
      </c>
      <c r="J37" s="326"/>
      <c r="K37" s="381" t="s">
        <v>63</v>
      </c>
      <c r="L37" s="326"/>
      <c r="M37" s="381" t="s">
        <v>63</v>
      </c>
      <c r="N37" s="326"/>
      <c r="O37" s="381" t="s">
        <v>63</v>
      </c>
      <c r="P37" s="326"/>
      <c r="Q37" s="381" t="s">
        <v>63</v>
      </c>
      <c r="R37" s="326"/>
      <c r="S37" s="381" t="s">
        <v>63</v>
      </c>
      <c r="T37" s="326"/>
      <c r="U37" s="381" t="s">
        <v>63</v>
      </c>
      <c r="V37" s="326"/>
      <c r="W37" s="381" t="s">
        <v>63</v>
      </c>
      <c r="X37" s="326"/>
      <c r="Y37" s="381" t="s">
        <v>63</v>
      </c>
      <c r="Z37" s="326"/>
      <c r="AA37" s="381" t="s">
        <v>63</v>
      </c>
      <c r="AB37" s="414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01"/>
      <c r="B38" s="402"/>
      <c r="C38" s="40">
        <v>1</v>
      </c>
      <c r="D38" s="41" t="s">
        <v>67</v>
      </c>
      <c r="E38" s="394" t="s">
        <v>63</v>
      </c>
      <c r="F38" s="377"/>
      <c r="G38" s="375" t="s">
        <v>63</v>
      </c>
      <c r="H38" s="377"/>
      <c r="I38" s="375" t="s">
        <v>63</v>
      </c>
      <c r="J38" s="377"/>
      <c r="K38" s="375" t="s">
        <v>63</v>
      </c>
      <c r="L38" s="377"/>
      <c r="M38" s="375" t="s">
        <v>63</v>
      </c>
      <c r="N38" s="377"/>
      <c r="O38" s="375" t="s">
        <v>63</v>
      </c>
      <c r="P38" s="377"/>
      <c r="Q38" s="375" t="s">
        <v>63</v>
      </c>
      <c r="R38" s="377"/>
      <c r="S38" s="375" t="s">
        <v>63</v>
      </c>
      <c r="T38" s="377"/>
      <c r="U38" s="375" t="s">
        <v>63</v>
      </c>
      <c r="V38" s="377"/>
      <c r="W38" s="375" t="s">
        <v>63</v>
      </c>
      <c r="X38" s="377"/>
      <c r="Y38" s="375" t="s">
        <v>63</v>
      </c>
      <c r="Z38" s="377"/>
      <c r="AA38" s="375" t="s">
        <v>63</v>
      </c>
      <c r="AB38" s="376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01"/>
      <c r="B39" s="402"/>
      <c r="C39" s="40">
        <v>1</v>
      </c>
      <c r="D39" s="41" t="s">
        <v>68</v>
      </c>
      <c r="E39" s="394" t="s">
        <v>63</v>
      </c>
      <c r="F39" s="377"/>
      <c r="G39" s="375" t="s">
        <v>63</v>
      </c>
      <c r="H39" s="377"/>
      <c r="I39" s="375" t="s">
        <v>63</v>
      </c>
      <c r="J39" s="377"/>
      <c r="K39" s="375" t="s">
        <v>63</v>
      </c>
      <c r="L39" s="377"/>
      <c r="M39" s="375" t="s">
        <v>63</v>
      </c>
      <c r="N39" s="377"/>
      <c r="O39" s="375" t="s">
        <v>63</v>
      </c>
      <c r="P39" s="377"/>
      <c r="Q39" s="375" t="s">
        <v>63</v>
      </c>
      <c r="R39" s="377"/>
      <c r="S39" s="375" t="s">
        <v>63</v>
      </c>
      <c r="T39" s="377"/>
      <c r="U39" s="375" t="s">
        <v>63</v>
      </c>
      <c r="V39" s="377"/>
      <c r="W39" s="375" t="s">
        <v>63</v>
      </c>
      <c r="X39" s="377"/>
      <c r="Y39" s="375" t="s">
        <v>63</v>
      </c>
      <c r="Z39" s="377"/>
      <c r="AA39" s="375" t="s">
        <v>63</v>
      </c>
      <c r="AB39" s="376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01"/>
      <c r="B40" s="402"/>
      <c r="C40" s="40">
        <v>1</v>
      </c>
      <c r="D40" s="41" t="s">
        <v>69</v>
      </c>
      <c r="E40" s="394" t="s">
        <v>63</v>
      </c>
      <c r="F40" s="377"/>
      <c r="G40" s="375" t="s">
        <v>63</v>
      </c>
      <c r="H40" s="377"/>
      <c r="I40" s="375" t="s">
        <v>63</v>
      </c>
      <c r="J40" s="377"/>
      <c r="K40" s="375" t="s">
        <v>63</v>
      </c>
      <c r="L40" s="377"/>
      <c r="M40" s="375" t="s">
        <v>63</v>
      </c>
      <c r="N40" s="377"/>
      <c r="O40" s="375" t="s">
        <v>63</v>
      </c>
      <c r="P40" s="377"/>
      <c r="Q40" s="375" t="s">
        <v>63</v>
      </c>
      <c r="R40" s="377"/>
      <c r="S40" s="375" t="s">
        <v>63</v>
      </c>
      <c r="T40" s="377"/>
      <c r="U40" s="375" t="s">
        <v>63</v>
      </c>
      <c r="V40" s="377"/>
      <c r="W40" s="375" t="s">
        <v>63</v>
      </c>
      <c r="X40" s="377"/>
      <c r="Y40" s="375" t="s">
        <v>63</v>
      </c>
      <c r="Z40" s="377"/>
      <c r="AA40" s="375" t="s">
        <v>63</v>
      </c>
      <c r="AB40" s="376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01"/>
      <c r="B41" s="402"/>
      <c r="C41" s="40">
        <v>1</v>
      </c>
      <c r="D41" s="41" t="s">
        <v>70</v>
      </c>
      <c r="E41" s="394" t="s">
        <v>63</v>
      </c>
      <c r="F41" s="377"/>
      <c r="G41" s="375" t="s">
        <v>63</v>
      </c>
      <c r="H41" s="377"/>
      <c r="I41" s="375" t="s">
        <v>63</v>
      </c>
      <c r="J41" s="377"/>
      <c r="K41" s="375" t="s">
        <v>63</v>
      </c>
      <c r="L41" s="377"/>
      <c r="M41" s="375" t="s">
        <v>63</v>
      </c>
      <c r="N41" s="377"/>
      <c r="O41" s="375" t="s">
        <v>63</v>
      </c>
      <c r="P41" s="377"/>
      <c r="Q41" s="375" t="s">
        <v>63</v>
      </c>
      <c r="R41" s="377"/>
      <c r="S41" s="375" t="s">
        <v>63</v>
      </c>
      <c r="T41" s="377"/>
      <c r="U41" s="375" t="s">
        <v>63</v>
      </c>
      <c r="V41" s="377"/>
      <c r="W41" s="375" t="s">
        <v>63</v>
      </c>
      <c r="X41" s="377"/>
      <c r="Y41" s="375" t="s">
        <v>63</v>
      </c>
      <c r="Z41" s="377"/>
      <c r="AA41" s="375" t="s">
        <v>63</v>
      </c>
      <c r="AB41" s="376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05"/>
      <c r="B42" s="406"/>
      <c r="C42" s="40">
        <v>1</v>
      </c>
      <c r="D42" s="41" t="s">
        <v>71</v>
      </c>
      <c r="E42" s="394" t="s">
        <v>63</v>
      </c>
      <c r="F42" s="377"/>
      <c r="G42" s="375" t="s">
        <v>63</v>
      </c>
      <c r="H42" s="377"/>
      <c r="I42" s="375" t="s">
        <v>63</v>
      </c>
      <c r="J42" s="377"/>
      <c r="K42" s="375" t="s">
        <v>63</v>
      </c>
      <c r="L42" s="377"/>
      <c r="M42" s="375" t="s">
        <v>63</v>
      </c>
      <c r="N42" s="377"/>
      <c r="O42" s="375" t="s">
        <v>63</v>
      </c>
      <c r="P42" s="377"/>
      <c r="Q42" s="375" t="s">
        <v>63</v>
      </c>
      <c r="R42" s="377"/>
      <c r="S42" s="375" t="s">
        <v>63</v>
      </c>
      <c r="T42" s="377"/>
      <c r="U42" s="375" t="s">
        <v>63</v>
      </c>
      <c r="V42" s="377"/>
      <c r="W42" s="375" t="s">
        <v>63</v>
      </c>
      <c r="X42" s="377"/>
      <c r="Y42" s="375" t="s">
        <v>63</v>
      </c>
      <c r="Z42" s="377"/>
      <c r="AA42" s="375" t="s">
        <v>63</v>
      </c>
      <c r="AB42" s="376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578" t="s">
        <v>72</v>
      </c>
      <c r="B43" s="579"/>
      <c r="C43" s="38">
        <f>SUM(C32:C36)</f>
        <v>5</v>
      </c>
      <c r="D43" s="213" t="s">
        <v>175</v>
      </c>
      <c r="E43" s="394" t="s">
        <v>63</v>
      </c>
      <c r="F43" s="377"/>
      <c r="G43" s="375" t="s">
        <v>63</v>
      </c>
      <c r="H43" s="377"/>
      <c r="I43" s="375" t="s">
        <v>63</v>
      </c>
      <c r="J43" s="377"/>
      <c r="K43" s="375" t="s">
        <v>63</v>
      </c>
      <c r="L43" s="377"/>
      <c r="M43" s="375" t="s">
        <v>63</v>
      </c>
      <c r="N43" s="377"/>
      <c r="O43" s="375" t="s">
        <v>63</v>
      </c>
      <c r="P43" s="377"/>
      <c r="Q43" s="375" t="s">
        <v>63</v>
      </c>
      <c r="R43" s="377"/>
      <c r="S43" s="375" t="s">
        <v>63</v>
      </c>
      <c r="T43" s="377"/>
      <c r="U43" s="375" t="s">
        <v>63</v>
      </c>
      <c r="V43" s="377"/>
      <c r="W43" s="375" t="s">
        <v>63</v>
      </c>
      <c r="X43" s="377"/>
      <c r="Y43" s="375" t="s">
        <v>63</v>
      </c>
      <c r="Z43" s="377"/>
      <c r="AA43" s="375" t="s">
        <v>63</v>
      </c>
      <c r="AB43" s="376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42"/>
      <c r="B44" s="42"/>
      <c r="C44" s="1"/>
      <c r="D44" s="32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44"/>
      <c r="B45" s="44"/>
      <c r="C45" s="45"/>
      <c r="D45" s="46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</row>
    <row r="46" spans="1:43" ht="27" thickBot="1" x14ac:dyDescent="0.45">
      <c r="A46" s="420" t="s">
        <v>74</v>
      </c>
      <c r="B46" s="420"/>
      <c r="C46" s="420"/>
      <c r="D46" s="420"/>
      <c r="E46" s="420"/>
      <c r="F46" s="420"/>
      <c r="G46" s="420"/>
      <c r="H46" s="420"/>
      <c r="I46" s="420"/>
      <c r="J46" s="420"/>
      <c r="K46" s="420"/>
      <c r="L46" s="420"/>
      <c r="M46" s="420"/>
      <c r="N46" s="420"/>
      <c r="O46" s="420"/>
      <c r="P46" s="420"/>
      <c r="Q46" s="420"/>
      <c r="R46" s="420"/>
      <c r="S46" s="420"/>
      <c r="T46" s="420"/>
      <c r="U46" s="420"/>
      <c r="V46" s="420"/>
      <c r="W46" s="420"/>
      <c r="X46" s="420"/>
      <c r="Y46" s="420"/>
      <c r="Z46" s="420"/>
      <c r="AA46" s="420"/>
      <c r="AB46" s="420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392" t="s">
        <v>210</v>
      </c>
      <c r="B47" s="392" t="s">
        <v>35</v>
      </c>
      <c r="C47" s="392" t="s">
        <v>41</v>
      </c>
      <c r="D47" s="416"/>
      <c r="E47" s="391" t="s">
        <v>42</v>
      </c>
      <c r="F47" s="416"/>
      <c r="G47" s="391" t="s">
        <v>43</v>
      </c>
      <c r="H47" s="416"/>
      <c r="I47" s="391" t="s">
        <v>44</v>
      </c>
      <c r="J47" s="416"/>
      <c r="K47" s="391" t="s">
        <v>45</v>
      </c>
      <c r="L47" s="416"/>
      <c r="M47" s="391" t="s">
        <v>46</v>
      </c>
      <c r="N47" s="416"/>
      <c r="O47" s="391" t="s">
        <v>47</v>
      </c>
      <c r="P47" s="416"/>
      <c r="Q47" s="391" t="s">
        <v>48</v>
      </c>
      <c r="R47" s="416"/>
      <c r="S47" s="391" t="s">
        <v>49</v>
      </c>
      <c r="T47" s="416"/>
      <c r="U47" s="391" t="s">
        <v>50</v>
      </c>
      <c r="V47" s="416"/>
      <c r="W47" s="391" t="s">
        <v>51</v>
      </c>
      <c r="X47" s="416"/>
      <c r="Y47" s="391" t="s">
        <v>52</v>
      </c>
      <c r="Z47" s="416"/>
      <c r="AA47" s="391" t="s">
        <v>53</v>
      </c>
      <c r="AB47" s="416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16"/>
      <c r="B48" s="416"/>
      <c r="C48" s="392" t="s">
        <v>55</v>
      </c>
      <c r="D48" s="392" t="s">
        <v>54</v>
      </c>
      <c r="E48" s="379">
        <v>0.05</v>
      </c>
      <c r="F48" s="380"/>
      <c r="G48" s="379">
        <v>0.05</v>
      </c>
      <c r="H48" s="379"/>
      <c r="I48" s="379">
        <v>0.05</v>
      </c>
      <c r="J48" s="380"/>
      <c r="K48" s="379">
        <v>7.0000000000000007E-2</v>
      </c>
      <c r="L48" s="379"/>
      <c r="M48" s="379">
        <v>0.1</v>
      </c>
      <c r="N48" s="380"/>
      <c r="O48" s="379">
        <v>0.15</v>
      </c>
      <c r="P48" s="379"/>
      <c r="Q48" s="379">
        <v>7.0000000000000007E-2</v>
      </c>
      <c r="R48" s="380"/>
      <c r="S48" s="379">
        <v>7.0000000000000007E-2</v>
      </c>
      <c r="T48" s="379"/>
      <c r="U48" s="379">
        <v>7.0000000000000007E-2</v>
      </c>
      <c r="V48" s="380"/>
      <c r="W48" s="379">
        <v>7.0000000000000007E-2</v>
      </c>
      <c r="X48" s="379"/>
      <c r="Y48" s="379">
        <v>0.1</v>
      </c>
      <c r="Z48" s="380"/>
      <c r="AA48" s="379">
        <v>0.15</v>
      </c>
      <c r="AB48" s="379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16"/>
      <c r="B49" s="416"/>
      <c r="C49" s="380"/>
      <c r="D49" s="380"/>
      <c r="E49" s="239" t="s">
        <v>55</v>
      </c>
      <c r="F49" s="239" t="s">
        <v>54</v>
      </c>
      <c r="G49" s="239" t="s">
        <v>55</v>
      </c>
      <c r="H49" s="239" t="s">
        <v>54</v>
      </c>
      <c r="I49" s="239" t="s">
        <v>55</v>
      </c>
      <c r="J49" s="239" t="s">
        <v>54</v>
      </c>
      <c r="K49" s="239" t="s">
        <v>55</v>
      </c>
      <c r="L49" s="239" t="s">
        <v>54</v>
      </c>
      <c r="M49" s="239" t="s">
        <v>55</v>
      </c>
      <c r="N49" s="239" t="s">
        <v>54</v>
      </c>
      <c r="O49" s="239" t="s">
        <v>55</v>
      </c>
      <c r="P49" s="239" t="s">
        <v>54</v>
      </c>
      <c r="Q49" s="239" t="s">
        <v>55</v>
      </c>
      <c r="R49" s="239" t="s">
        <v>54</v>
      </c>
      <c r="S49" s="239" t="s">
        <v>55</v>
      </c>
      <c r="T49" s="239" t="s">
        <v>54</v>
      </c>
      <c r="U49" s="239" t="s">
        <v>55</v>
      </c>
      <c r="V49" s="239" t="s">
        <v>54</v>
      </c>
      <c r="W49" s="239" t="s">
        <v>55</v>
      </c>
      <c r="X49" s="239" t="s">
        <v>54</v>
      </c>
      <c r="Y49" s="239" t="s">
        <v>55</v>
      </c>
      <c r="Z49" s="239" t="s">
        <v>54</v>
      </c>
      <c r="AA49" s="239" t="s">
        <v>55</v>
      </c>
      <c r="AB49" s="239" t="s">
        <v>54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222" customFormat="1" ht="15.75" customHeight="1" thickBot="1" x14ac:dyDescent="0.3">
      <c r="A50" s="240" t="s">
        <v>205</v>
      </c>
      <c r="B50" s="241">
        <f>B19</f>
        <v>80000</v>
      </c>
      <c r="C50" s="275">
        <f>E50+G50+I50+K50+M50+O50+Q50+S50+U50+W50+Y50+AA50</f>
        <v>8</v>
      </c>
      <c r="D50" s="274">
        <f>B50*C50</f>
        <v>640000</v>
      </c>
      <c r="E50" s="276">
        <v>0</v>
      </c>
      <c r="F50" s="274">
        <f>B50*E50</f>
        <v>0</v>
      </c>
      <c r="G50" s="276">
        <v>0</v>
      </c>
      <c r="H50" s="274">
        <f>B50*G50</f>
        <v>0</v>
      </c>
      <c r="I50" s="276">
        <v>0</v>
      </c>
      <c r="J50" s="274">
        <f t="shared" ref="J50:J52" si="14">F50*I50</f>
        <v>0</v>
      </c>
      <c r="K50" s="276"/>
      <c r="L50" s="274">
        <f>K50*B50</f>
        <v>0</v>
      </c>
      <c r="M50" s="276">
        <v>1</v>
      </c>
      <c r="N50" s="274">
        <f>M50*B50</f>
        <v>80000</v>
      </c>
      <c r="O50" s="276">
        <v>1</v>
      </c>
      <c r="P50" s="274">
        <f>O50*B50</f>
        <v>80000</v>
      </c>
      <c r="Q50" s="276">
        <v>1</v>
      </c>
      <c r="R50" s="274">
        <f t="shared" ref="R50" si="15">N50*Q50</f>
        <v>80000</v>
      </c>
      <c r="S50" s="276">
        <v>1</v>
      </c>
      <c r="T50" s="274">
        <f>S50*B50</f>
        <v>80000</v>
      </c>
      <c r="U50" s="276">
        <v>1</v>
      </c>
      <c r="V50" s="274">
        <f t="shared" ref="V50:V52" si="16">R50*U50</f>
        <v>80000</v>
      </c>
      <c r="W50" s="276">
        <v>1</v>
      </c>
      <c r="X50" s="274">
        <f t="shared" ref="X50:X52" si="17">R50*W50</f>
        <v>80000</v>
      </c>
      <c r="Y50" s="276">
        <v>1</v>
      </c>
      <c r="Z50" s="274">
        <f t="shared" ref="Z50:Z52" si="18">V50*Y50</f>
        <v>80000</v>
      </c>
      <c r="AA50" s="276">
        <v>1</v>
      </c>
      <c r="AB50" s="274">
        <f t="shared" ref="AB50:AB52" si="19">V50*AA50</f>
        <v>80000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226"/>
      <c r="AS50" s="226"/>
      <c r="AT50" s="226"/>
      <c r="AU50" s="226"/>
      <c r="AV50" s="226"/>
      <c r="AW50" s="226"/>
      <c r="AX50" s="226"/>
      <c r="AY50" s="226"/>
      <c r="AZ50" s="226"/>
      <c r="BA50" s="226"/>
      <c r="BB50" s="226"/>
      <c r="BC50" s="226"/>
      <c r="BD50" s="226"/>
      <c r="BE50" s="226"/>
      <c r="BF50" s="226"/>
      <c r="BG50" s="226"/>
      <c r="BH50" s="226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  <c r="BV50" s="226"/>
      <c r="BW50" s="226"/>
      <c r="BX50" s="226"/>
      <c r="BY50" s="226"/>
      <c r="BZ50" s="226"/>
      <c r="CA50" s="226"/>
      <c r="CB50" s="226"/>
      <c r="CC50" s="226"/>
      <c r="CD50" s="226"/>
      <c r="CE50" s="226"/>
      <c r="CF50" s="226"/>
      <c r="CG50" s="226"/>
      <c r="CH50" s="226"/>
      <c r="CI50" s="226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  <c r="CV50" s="226"/>
      <c r="CW50" s="226"/>
      <c r="CX50" s="226"/>
      <c r="CY50" s="226"/>
      <c r="CZ50" s="226"/>
      <c r="DA50" s="226"/>
      <c r="DB50" s="226"/>
      <c r="DC50" s="226"/>
      <c r="DD50" s="226"/>
      <c r="DE50" s="226"/>
      <c r="DF50" s="226"/>
      <c r="DG50" s="226"/>
      <c r="DH50" s="226"/>
      <c r="DI50" s="226"/>
      <c r="DJ50" s="226"/>
      <c r="DK50" s="226"/>
      <c r="DL50" s="226"/>
      <c r="DM50" s="226"/>
      <c r="DN50" s="226"/>
      <c r="DO50" s="226"/>
      <c r="DP50" s="226"/>
      <c r="DQ50" s="226"/>
      <c r="DR50" s="226"/>
      <c r="DS50" s="226"/>
      <c r="DT50" s="226"/>
      <c r="DU50" s="226"/>
      <c r="DV50" s="226"/>
      <c r="DW50" s="226"/>
      <c r="DX50" s="226"/>
      <c r="DY50" s="226"/>
      <c r="DZ50" s="226"/>
      <c r="EA50" s="226"/>
      <c r="EB50" s="226"/>
      <c r="EC50" s="226"/>
      <c r="ED50" s="226"/>
      <c r="EE50" s="226"/>
      <c r="EF50" s="226"/>
      <c r="EG50" s="226"/>
      <c r="EH50" s="226"/>
      <c r="EI50" s="226"/>
      <c r="EJ50" s="226"/>
      <c r="EK50" s="226"/>
      <c r="EL50" s="226"/>
      <c r="EM50" s="226"/>
      <c r="EN50" s="226"/>
      <c r="EO50" s="226"/>
      <c r="EP50" s="226"/>
      <c r="EQ50" s="226"/>
      <c r="ER50" s="226"/>
      <c r="ES50" s="226"/>
      <c r="ET50" s="226"/>
      <c r="EU50" s="226"/>
      <c r="EV50" s="226"/>
      <c r="EW50" s="226"/>
      <c r="EX50" s="226"/>
      <c r="EY50" s="226"/>
      <c r="EZ50" s="226"/>
      <c r="FA50" s="226"/>
      <c r="FB50" s="226"/>
      <c r="FC50" s="226"/>
      <c r="FD50" s="226"/>
      <c r="FE50" s="226"/>
      <c r="FF50" s="226"/>
      <c r="FG50" s="226"/>
      <c r="FH50" s="226"/>
      <c r="FI50" s="226"/>
      <c r="FJ50" s="226"/>
      <c r="FK50" s="226"/>
      <c r="FL50" s="226"/>
      <c r="FM50" s="226"/>
      <c r="FN50" s="226"/>
      <c r="FO50" s="226"/>
      <c r="FP50" s="226"/>
      <c r="FQ50" s="226"/>
      <c r="FR50" s="226"/>
      <c r="FS50" s="226"/>
      <c r="FT50" s="226"/>
      <c r="FU50" s="226"/>
      <c r="FV50" s="226"/>
      <c r="FW50" s="226"/>
      <c r="FX50" s="226"/>
      <c r="FY50" s="226"/>
      <c r="FZ50" s="226"/>
      <c r="GA50" s="226"/>
      <c r="GB50" s="226"/>
      <c r="GC50" s="226"/>
      <c r="GD50" s="226"/>
      <c r="GE50" s="226"/>
      <c r="GF50" s="226"/>
      <c r="GG50" s="226"/>
      <c r="GH50" s="226"/>
      <c r="GI50" s="226"/>
      <c r="GJ50" s="226"/>
      <c r="GK50" s="226"/>
      <c r="GL50" s="226"/>
      <c r="GM50" s="226"/>
      <c r="GN50" s="226"/>
      <c r="GO50" s="226"/>
      <c r="GP50" s="226"/>
      <c r="GQ50" s="226"/>
      <c r="GR50" s="226"/>
      <c r="GS50" s="226"/>
      <c r="GT50" s="226"/>
      <c r="GU50" s="226"/>
      <c r="GV50" s="226"/>
      <c r="GW50" s="226"/>
      <c r="GX50" s="226"/>
      <c r="GY50" s="226"/>
      <c r="GZ50" s="226"/>
      <c r="HA50" s="226"/>
      <c r="HB50" s="226"/>
      <c r="HC50" s="226"/>
      <c r="HD50" s="226"/>
      <c r="HE50" s="226"/>
      <c r="HF50" s="226"/>
      <c r="HG50" s="226"/>
      <c r="HH50" s="226"/>
      <c r="HI50" s="226"/>
      <c r="HJ50" s="226"/>
      <c r="HK50" s="226"/>
      <c r="HL50" s="226"/>
      <c r="HM50" s="226"/>
      <c r="HN50" s="226"/>
      <c r="HO50" s="226"/>
      <c r="HP50" s="226"/>
      <c r="HQ50" s="226"/>
      <c r="HR50" s="226"/>
      <c r="HS50" s="226"/>
      <c r="HT50" s="226"/>
      <c r="HU50" s="226"/>
      <c r="HV50" s="226"/>
      <c r="HW50" s="226"/>
      <c r="HX50" s="226"/>
      <c r="HY50" s="226"/>
      <c r="HZ50" s="226"/>
      <c r="IA50" s="226"/>
      <c r="IB50" s="226"/>
      <c r="IC50" s="226"/>
      <c r="ID50" s="226"/>
      <c r="IE50" s="226"/>
      <c r="IF50" s="226"/>
      <c r="IG50" s="226"/>
      <c r="IH50" s="226"/>
      <c r="II50" s="226"/>
      <c r="IJ50" s="226"/>
      <c r="IK50" s="226"/>
      <c r="IL50" s="226"/>
      <c r="IM50" s="226"/>
      <c r="IN50" s="226"/>
      <c r="IO50" s="226"/>
      <c r="IP50" s="226"/>
      <c r="IQ50" s="226"/>
      <c r="IR50" s="226"/>
      <c r="IS50" s="226"/>
      <c r="IT50" s="226"/>
      <c r="IU50" s="226"/>
      <c r="IV50" s="226"/>
      <c r="IW50" s="226"/>
      <c r="IX50" s="226"/>
      <c r="IY50" s="226"/>
      <c r="IZ50" s="226"/>
      <c r="JA50" s="226"/>
      <c r="JB50" s="226"/>
      <c r="JC50" s="226"/>
      <c r="JD50" s="226"/>
      <c r="JE50" s="226"/>
      <c r="JF50" s="226"/>
      <c r="JG50" s="226"/>
      <c r="JH50" s="226"/>
      <c r="JI50" s="226"/>
      <c r="JJ50" s="226"/>
      <c r="JK50" s="226"/>
      <c r="JL50" s="226"/>
      <c r="JM50" s="226"/>
      <c r="JN50" s="226"/>
      <c r="JO50" s="226"/>
      <c r="JP50" s="226"/>
      <c r="JQ50" s="226"/>
      <c r="JR50" s="226"/>
      <c r="JS50" s="226"/>
      <c r="JT50" s="226"/>
      <c r="JU50" s="226"/>
      <c r="JV50" s="226"/>
      <c r="JW50" s="226"/>
      <c r="JX50" s="226"/>
      <c r="JY50" s="226"/>
      <c r="JZ50" s="226"/>
      <c r="KA50" s="226"/>
      <c r="KB50" s="226"/>
      <c r="KC50" s="226"/>
      <c r="KD50" s="226"/>
      <c r="KE50" s="226"/>
      <c r="KF50" s="226"/>
      <c r="KG50" s="226"/>
    </row>
    <row r="51" spans="1:293" s="223" customFormat="1" ht="15.75" customHeight="1" thickBot="1" x14ac:dyDescent="0.3">
      <c r="A51" s="242" t="s">
        <v>206</v>
      </c>
      <c r="B51" s="243">
        <f>B20</f>
        <v>90000</v>
      </c>
      <c r="C51" s="278">
        <f>E51+G51+I51+K51+M51+O51+Q51+S51+U51+W51+Y51+AA51</f>
        <v>15</v>
      </c>
      <c r="D51" s="277">
        <f>B51*C51</f>
        <v>1350000</v>
      </c>
      <c r="E51" s="278">
        <v>0</v>
      </c>
      <c r="F51" s="279">
        <f>B51*E51</f>
        <v>0</v>
      </c>
      <c r="G51" s="278"/>
      <c r="H51" s="279">
        <f>B51*G51</f>
        <v>0</v>
      </c>
      <c r="I51" s="278"/>
      <c r="J51" s="279">
        <f t="shared" si="14"/>
        <v>0</v>
      </c>
      <c r="K51" s="278">
        <v>1</v>
      </c>
      <c r="L51" s="279">
        <f t="shared" ref="L51:L52" si="20">F51*K51</f>
        <v>0</v>
      </c>
      <c r="M51" s="278">
        <v>2</v>
      </c>
      <c r="N51" s="279">
        <f t="shared" ref="N51:N52" si="21">J51*M51</f>
        <v>0</v>
      </c>
      <c r="O51" s="278">
        <v>3</v>
      </c>
      <c r="P51" s="279">
        <f t="shared" ref="P51:P52" si="22">J51*O51</f>
        <v>0</v>
      </c>
      <c r="Q51" s="278">
        <v>1</v>
      </c>
      <c r="R51" s="279">
        <f>Q51*B51</f>
        <v>90000</v>
      </c>
      <c r="S51" s="278">
        <v>1</v>
      </c>
      <c r="T51" s="279">
        <f>B51*S51</f>
        <v>90000</v>
      </c>
      <c r="U51" s="278">
        <v>1</v>
      </c>
      <c r="V51" s="279">
        <f t="shared" si="16"/>
        <v>90000</v>
      </c>
      <c r="W51" s="278">
        <v>1</v>
      </c>
      <c r="X51" s="279">
        <f t="shared" si="17"/>
        <v>90000</v>
      </c>
      <c r="Y51" s="278">
        <v>2</v>
      </c>
      <c r="Z51" s="279">
        <f t="shared" si="18"/>
        <v>180000</v>
      </c>
      <c r="AA51" s="278">
        <v>3</v>
      </c>
      <c r="AB51" s="279">
        <f t="shared" si="19"/>
        <v>270000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226"/>
      <c r="AS51" s="226"/>
      <c r="AT51" s="226"/>
      <c r="AU51" s="226"/>
      <c r="AV51" s="226"/>
      <c r="AW51" s="226"/>
      <c r="AX51" s="226"/>
      <c r="AY51" s="226"/>
      <c r="AZ51" s="226"/>
      <c r="BA51" s="226"/>
      <c r="BB51" s="226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6"/>
      <c r="BS51" s="226"/>
      <c r="BT51" s="226"/>
      <c r="BU51" s="226"/>
      <c r="BV51" s="226"/>
      <c r="BW51" s="226"/>
      <c r="BX51" s="226"/>
      <c r="BY51" s="226"/>
      <c r="BZ51" s="226"/>
      <c r="CA51" s="226"/>
      <c r="CB51" s="226"/>
      <c r="CC51" s="226"/>
      <c r="CD51" s="226"/>
      <c r="CE51" s="226"/>
      <c r="CF51" s="226"/>
      <c r="CG51" s="226"/>
      <c r="CH51" s="226"/>
      <c r="CI51" s="226"/>
      <c r="CJ51" s="226"/>
      <c r="CK51" s="226"/>
      <c r="CL51" s="226"/>
      <c r="CM51" s="226"/>
      <c r="CN51" s="226"/>
      <c r="CO51" s="226"/>
      <c r="CP51" s="226"/>
      <c r="CQ51" s="226"/>
      <c r="CR51" s="226"/>
      <c r="CS51" s="226"/>
      <c r="CT51" s="226"/>
      <c r="CU51" s="226"/>
      <c r="CV51" s="226"/>
      <c r="CW51" s="226"/>
      <c r="CX51" s="226"/>
      <c r="CY51" s="226"/>
      <c r="CZ51" s="226"/>
      <c r="DA51" s="226"/>
      <c r="DB51" s="226"/>
      <c r="DC51" s="226"/>
      <c r="DD51" s="226"/>
      <c r="DE51" s="226"/>
      <c r="DF51" s="226"/>
      <c r="DG51" s="226"/>
      <c r="DH51" s="226"/>
      <c r="DI51" s="226"/>
      <c r="DJ51" s="226"/>
      <c r="DK51" s="226"/>
      <c r="DL51" s="226"/>
      <c r="DM51" s="226"/>
      <c r="DN51" s="226"/>
      <c r="DO51" s="226"/>
      <c r="DP51" s="226"/>
      <c r="DQ51" s="226"/>
      <c r="DR51" s="226"/>
      <c r="DS51" s="226"/>
      <c r="DT51" s="226"/>
      <c r="DU51" s="226"/>
      <c r="DV51" s="226"/>
      <c r="DW51" s="226"/>
      <c r="DX51" s="226"/>
      <c r="DY51" s="226"/>
      <c r="DZ51" s="226"/>
      <c r="EA51" s="226"/>
      <c r="EB51" s="226"/>
      <c r="EC51" s="226"/>
      <c r="ED51" s="226"/>
      <c r="EE51" s="226"/>
      <c r="EF51" s="226"/>
      <c r="EG51" s="226"/>
      <c r="EH51" s="226"/>
      <c r="EI51" s="226"/>
      <c r="EJ51" s="226"/>
      <c r="EK51" s="226"/>
      <c r="EL51" s="226"/>
      <c r="EM51" s="226"/>
      <c r="EN51" s="226"/>
      <c r="EO51" s="226"/>
      <c r="EP51" s="226"/>
      <c r="EQ51" s="226"/>
      <c r="ER51" s="226"/>
      <c r="ES51" s="226"/>
      <c r="ET51" s="226"/>
      <c r="EU51" s="226"/>
      <c r="EV51" s="226"/>
      <c r="EW51" s="226"/>
      <c r="EX51" s="226"/>
      <c r="EY51" s="226"/>
      <c r="EZ51" s="226"/>
      <c r="FA51" s="226"/>
      <c r="FB51" s="226"/>
      <c r="FC51" s="226"/>
      <c r="FD51" s="226"/>
      <c r="FE51" s="226"/>
      <c r="FF51" s="226"/>
      <c r="FG51" s="226"/>
      <c r="FH51" s="226"/>
      <c r="FI51" s="226"/>
      <c r="FJ51" s="226"/>
      <c r="FK51" s="226"/>
      <c r="FL51" s="226"/>
      <c r="FM51" s="226"/>
      <c r="FN51" s="226"/>
      <c r="FO51" s="226"/>
      <c r="FP51" s="226"/>
      <c r="FQ51" s="226"/>
      <c r="FR51" s="226"/>
      <c r="FS51" s="226"/>
      <c r="FT51" s="226"/>
      <c r="FU51" s="226"/>
      <c r="FV51" s="226"/>
      <c r="FW51" s="226"/>
      <c r="FX51" s="226"/>
      <c r="FY51" s="226"/>
      <c r="FZ51" s="226"/>
      <c r="GA51" s="226"/>
      <c r="GB51" s="226"/>
      <c r="GC51" s="226"/>
      <c r="GD51" s="226"/>
      <c r="GE51" s="226"/>
      <c r="GF51" s="226"/>
      <c r="GG51" s="226"/>
      <c r="GH51" s="226"/>
      <c r="GI51" s="226"/>
      <c r="GJ51" s="226"/>
      <c r="GK51" s="226"/>
      <c r="GL51" s="226"/>
      <c r="GM51" s="226"/>
      <c r="GN51" s="226"/>
      <c r="GO51" s="226"/>
      <c r="GP51" s="226"/>
      <c r="GQ51" s="226"/>
      <c r="GR51" s="226"/>
      <c r="GS51" s="226"/>
      <c r="GT51" s="226"/>
      <c r="GU51" s="226"/>
      <c r="GV51" s="226"/>
      <c r="GW51" s="226"/>
      <c r="GX51" s="226"/>
      <c r="GY51" s="226"/>
      <c r="GZ51" s="226"/>
      <c r="HA51" s="226"/>
      <c r="HB51" s="226"/>
      <c r="HC51" s="226"/>
      <c r="HD51" s="226"/>
      <c r="HE51" s="226"/>
      <c r="HF51" s="226"/>
      <c r="HG51" s="226"/>
      <c r="HH51" s="226"/>
      <c r="HI51" s="226"/>
      <c r="HJ51" s="226"/>
      <c r="HK51" s="226"/>
      <c r="HL51" s="226"/>
      <c r="HM51" s="226"/>
      <c r="HN51" s="226"/>
      <c r="HO51" s="226"/>
      <c r="HP51" s="226"/>
      <c r="HQ51" s="226"/>
      <c r="HR51" s="226"/>
      <c r="HS51" s="226"/>
      <c r="HT51" s="226"/>
      <c r="HU51" s="226"/>
      <c r="HV51" s="226"/>
      <c r="HW51" s="226"/>
      <c r="HX51" s="226"/>
      <c r="HY51" s="226"/>
      <c r="HZ51" s="226"/>
      <c r="IA51" s="226"/>
      <c r="IB51" s="226"/>
      <c r="IC51" s="226"/>
      <c r="ID51" s="226"/>
      <c r="IE51" s="226"/>
      <c r="IF51" s="226"/>
      <c r="IG51" s="226"/>
      <c r="IH51" s="226"/>
      <c r="II51" s="226"/>
      <c r="IJ51" s="226"/>
      <c r="IK51" s="226"/>
      <c r="IL51" s="226"/>
      <c r="IM51" s="226"/>
      <c r="IN51" s="226"/>
      <c r="IO51" s="226"/>
      <c r="IP51" s="226"/>
      <c r="IQ51" s="226"/>
      <c r="IR51" s="226"/>
      <c r="IS51" s="226"/>
      <c r="IT51" s="226"/>
      <c r="IU51" s="226"/>
      <c r="IV51" s="226"/>
      <c r="IW51" s="226"/>
      <c r="IX51" s="226"/>
      <c r="IY51" s="226"/>
      <c r="IZ51" s="226"/>
      <c r="JA51" s="226"/>
      <c r="JB51" s="226"/>
      <c r="JC51" s="226"/>
      <c r="JD51" s="226"/>
      <c r="JE51" s="226"/>
      <c r="JF51" s="226"/>
      <c r="JG51" s="226"/>
      <c r="JH51" s="226"/>
      <c r="JI51" s="226"/>
      <c r="JJ51" s="226"/>
      <c r="JK51" s="226"/>
      <c r="JL51" s="226"/>
      <c r="JM51" s="226"/>
      <c r="JN51" s="226"/>
      <c r="JO51" s="226"/>
      <c r="JP51" s="226"/>
      <c r="JQ51" s="226"/>
      <c r="JR51" s="226"/>
      <c r="JS51" s="226"/>
      <c r="JT51" s="226"/>
      <c r="JU51" s="226"/>
      <c r="JV51" s="226"/>
      <c r="JW51" s="226"/>
      <c r="JX51" s="226"/>
      <c r="JY51" s="226"/>
      <c r="JZ51" s="226"/>
      <c r="KA51" s="226"/>
      <c r="KB51" s="226"/>
      <c r="KC51" s="226"/>
      <c r="KD51" s="226"/>
      <c r="KE51" s="226"/>
      <c r="KF51" s="226"/>
      <c r="KG51" s="226"/>
    </row>
    <row r="52" spans="1:293" s="224" customFormat="1" ht="15.75" customHeight="1" thickBot="1" x14ac:dyDescent="0.3">
      <c r="A52" s="244" t="s">
        <v>37</v>
      </c>
      <c r="B52" s="245">
        <f>B21</f>
        <v>100000</v>
      </c>
      <c r="C52" s="281">
        <f>E52+G52+I52+K52+M52+O52+Q52+S52+U52+W52+Y52+AA52</f>
        <v>14</v>
      </c>
      <c r="D52" s="280">
        <f>B52*C52</f>
        <v>1400000</v>
      </c>
      <c r="E52" s="282">
        <v>1</v>
      </c>
      <c r="F52" s="283">
        <f>B52*E52</f>
        <v>100000</v>
      </c>
      <c r="G52" s="282">
        <v>1</v>
      </c>
      <c r="H52" s="283">
        <f>B52*G52</f>
        <v>100000</v>
      </c>
      <c r="I52" s="282">
        <v>1</v>
      </c>
      <c r="J52" s="283">
        <f t="shared" si="14"/>
        <v>100000</v>
      </c>
      <c r="K52" s="282">
        <v>1</v>
      </c>
      <c r="L52" s="283">
        <f t="shared" si="20"/>
        <v>100000</v>
      </c>
      <c r="M52" s="282">
        <v>1</v>
      </c>
      <c r="N52" s="283">
        <f t="shared" si="21"/>
        <v>100000</v>
      </c>
      <c r="O52" s="282">
        <v>2</v>
      </c>
      <c r="P52" s="283">
        <f t="shared" si="22"/>
        <v>200000</v>
      </c>
      <c r="Q52" s="282">
        <v>1</v>
      </c>
      <c r="R52" s="283">
        <f t="shared" ref="R52" si="23">N52*Q52</f>
        <v>100000</v>
      </c>
      <c r="S52" s="282">
        <v>1</v>
      </c>
      <c r="T52" s="283">
        <f t="shared" ref="T52" si="24">N52*S52</f>
        <v>100000</v>
      </c>
      <c r="U52" s="282">
        <v>1</v>
      </c>
      <c r="V52" s="283">
        <f t="shared" si="16"/>
        <v>100000</v>
      </c>
      <c r="W52" s="282">
        <v>1</v>
      </c>
      <c r="X52" s="283">
        <f t="shared" si="17"/>
        <v>100000</v>
      </c>
      <c r="Y52" s="282">
        <v>1</v>
      </c>
      <c r="Z52" s="283">
        <f t="shared" si="18"/>
        <v>100000</v>
      </c>
      <c r="AA52" s="282">
        <v>2</v>
      </c>
      <c r="AB52" s="283">
        <f t="shared" si="19"/>
        <v>200000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  <c r="CU52" s="226"/>
      <c r="CV52" s="226"/>
      <c r="CW52" s="226"/>
      <c r="CX52" s="226"/>
      <c r="CY52" s="226"/>
      <c r="CZ52" s="226"/>
      <c r="DA52" s="226"/>
      <c r="DB52" s="226"/>
      <c r="DC52" s="226"/>
      <c r="DD52" s="226"/>
      <c r="DE52" s="226"/>
      <c r="DF52" s="226"/>
      <c r="DG52" s="226"/>
      <c r="DH52" s="226"/>
      <c r="DI52" s="226"/>
      <c r="DJ52" s="226"/>
      <c r="DK52" s="226"/>
      <c r="DL52" s="226"/>
      <c r="DM52" s="226"/>
      <c r="DN52" s="226"/>
      <c r="DO52" s="226"/>
      <c r="DP52" s="226"/>
      <c r="DQ52" s="226"/>
      <c r="DR52" s="226"/>
      <c r="DS52" s="226"/>
      <c r="DT52" s="226"/>
      <c r="DU52" s="226"/>
      <c r="DV52" s="226"/>
      <c r="DW52" s="226"/>
      <c r="DX52" s="226"/>
      <c r="DY52" s="226"/>
      <c r="DZ52" s="226"/>
      <c r="EA52" s="226"/>
      <c r="EB52" s="226"/>
      <c r="EC52" s="226"/>
      <c r="ED52" s="226"/>
      <c r="EE52" s="226"/>
      <c r="EF52" s="226"/>
      <c r="EG52" s="226"/>
      <c r="EH52" s="226"/>
      <c r="EI52" s="226"/>
      <c r="EJ52" s="226"/>
      <c r="EK52" s="226"/>
      <c r="EL52" s="226"/>
      <c r="EM52" s="226"/>
      <c r="EN52" s="226"/>
      <c r="EO52" s="226"/>
      <c r="EP52" s="226"/>
      <c r="EQ52" s="226"/>
      <c r="ER52" s="226"/>
      <c r="ES52" s="226"/>
      <c r="ET52" s="226"/>
      <c r="EU52" s="226"/>
      <c r="EV52" s="226"/>
      <c r="EW52" s="226"/>
      <c r="EX52" s="226"/>
      <c r="EY52" s="226"/>
      <c r="EZ52" s="226"/>
      <c r="FA52" s="226"/>
      <c r="FB52" s="226"/>
      <c r="FC52" s="226"/>
      <c r="FD52" s="226"/>
      <c r="FE52" s="226"/>
      <c r="FF52" s="226"/>
      <c r="FG52" s="226"/>
      <c r="FH52" s="226"/>
      <c r="FI52" s="226"/>
      <c r="FJ52" s="226"/>
      <c r="FK52" s="226"/>
      <c r="FL52" s="226"/>
      <c r="FM52" s="226"/>
      <c r="FN52" s="226"/>
      <c r="FO52" s="226"/>
      <c r="FP52" s="226"/>
      <c r="FQ52" s="226"/>
      <c r="FR52" s="226"/>
      <c r="FS52" s="226"/>
      <c r="FT52" s="226"/>
      <c r="FU52" s="226"/>
      <c r="FV52" s="226"/>
      <c r="FW52" s="226"/>
      <c r="FX52" s="226"/>
      <c r="FY52" s="226"/>
      <c r="FZ52" s="226"/>
      <c r="GA52" s="226"/>
      <c r="GB52" s="226"/>
      <c r="GC52" s="226"/>
      <c r="GD52" s="226"/>
      <c r="GE52" s="226"/>
      <c r="GF52" s="226"/>
      <c r="GG52" s="226"/>
      <c r="GH52" s="226"/>
      <c r="GI52" s="226"/>
      <c r="GJ52" s="226"/>
      <c r="GK52" s="226"/>
      <c r="GL52" s="226"/>
      <c r="GM52" s="226"/>
      <c r="GN52" s="226"/>
      <c r="GO52" s="226"/>
      <c r="GP52" s="226"/>
      <c r="GQ52" s="226"/>
      <c r="GR52" s="226"/>
      <c r="GS52" s="226"/>
      <c r="GT52" s="226"/>
      <c r="GU52" s="226"/>
      <c r="GV52" s="226"/>
      <c r="GW52" s="226"/>
      <c r="GX52" s="226"/>
      <c r="GY52" s="226"/>
      <c r="GZ52" s="226"/>
      <c r="HA52" s="226"/>
      <c r="HB52" s="226"/>
      <c r="HC52" s="226"/>
      <c r="HD52" s="226"/>
      <c r="HE52" s="226"/>
      <c r="HF52" s="226"/>
      <c r="HG52" s="226"/>
      <c r="HH52" s="226"/>
      <c r="HI52" s="226"/>
      <c r="HJ52" s="226"/>
      <c r="HK52" s="226"/>
      <c r="HL52" s="226"/>
      <c r="HM52" s="226"/>
      <c r="HN52" s="226"/>
      <c r="HO52" s="226"/>
      <c r="HP52" s="226"/>
      <c r="HQ52" s="226"/>
      <c r="HR52" s="226"/>
      <c r="HS52" s="226"/>
      <c r="HT52" s="226"/>
      <c r="HU52" s="226"/>
      <c r="HV52" s="226"/>
      <c r="HW52" s="226"/>
      <c r="HX52" s="226"/>
      <c r="HY52" s="226"/>
      <c r="HZ52" s="226"/>
      <c r="IA52" s="226"/>
      <c r="IB52" s="226"/>
      <c r="IC52" s="226"/>
      <c r="ID52" s="226"/>
      <c r="IE52" s="226"/>
      <c r="IF52" s="226"/>
      <c r="IG52" s="226"/>
      <c r="IH52" s="226"/>
      <c r="II52" s="226"/>
      <c r="IJ52" s="226"/>
      <c r="IK52" s="226"/>
      <c r="IL52" s="226"/>
      <c r="IM52" s="226"/>
      <c r="IN52" s="226"/>
      <c r="IO52" s="226"/>
      <c r="IP52" s="226"/>
      <c r="IQ52" s="226"/>
      <c r="IR52" s="226"/>
      <c r="IS52" s="226"/>
      <c r="IT52" s="226"/>
      <c r="IU52" s="226"/>
      <c r="IV52" s="226"/>
      <c r="IW52" s="226"/>
      <c r="IX52" s="226"/>
      <c r="IY52" s="226"/>
      <c r="IZ52" s="226"/>
      <c r="JA52" s="226"/>
      <c r="JB52" s="226"/>
      <c r="JC52" s="226"/>
      <c r="JD52" s="226"/>
      <c r="JE52" s="226"/>
      <c r="JF52" s="226"/>
      <c r="JG52" s="226"/>
      <c r="JH52" s="226"/>
      <c r="JI52" s="226"/>
      <c r="JJ52" s="226"/>
      <c r="JK52" s="226"/>
      <c r="JL52" s="226"/>
      <c r="JM52" s="226"/>
      <c r="JN52" s="226"/>
      <c r="JO52" s="226"/>
      <c r="JP52" s="226"/>
      <c r="JQ52" s="226"/>
      <c r="JR52" s="226"/>
      <c r="JS52" s="226"/>
      <c r="JT52" s="226"/>
      <c r="JU52" s="226"/>
      <c r="JV52" s="226"/>
      <c r="JW52" s="226"/>
      <c r="JX52" s="226"/>
      <c r="JY52" s="226"/>
      <c r="JZ52" s="226"/>
      <c r="KA52" s="226"/>
      <c r="KB52" s="226"/>
      <c r="KC52" s="226"/>
      <c r="KD52" s="226"/>
      <c r="KE52" s="226"/>
      <c r="KF52" s="226"/>
      <c r="KG52" s="226"/>
    </row>
    <row r="53" spans="1:293" ht="15.75" customHeight="1" thickBot="1" x14ac:dyDescent="0.3">
      <c r="A53" s="422" t="s">
        <v>56</v>
      </c>
      <c r="B53" s="423"/>
      <c r="C53" s="311">
        <f t="shared" ref="C53:J53" si="25">SUM(C50:C52)</f>
        <v>37</v>
      </c>
      <c r="D53" s="312">
        <f t="shared" si="25"/>
        <v>3390000</v>
      </c>
      <c r="E53" s="310">
        <f t="shared" si="25"/>
        <v>1</v>
      </c>
      <c r="F53" s="312">
        <f t="shared" si="25"/>
        <v>100000</v>
      </c>
      <c r="G53" s="310">
        <f t="shared" si="25"/>
        <v>1</v>
      </c>
      <c r="H53" s="312">
        <f t="shared" si="25"/>
        <v>100000</v>
      </c>
      <c r="I53" s="310">
        <f t="shared" si="25"/>
        <v>1</v>
      </c>
      <c r="J53" s="312">
        <f t="shared" si="25"/>
        <v>100000</v>
      </c>
      <c r="K53" s="310">
        <f t="shared" ref="K53:Z53" si="26">SUM(K50:K52)</f>
        <v>2</v>
      </c>
      <c r="L53" s="312">
        <f t="shared" si="26"/>
        <v>100000</v>
      </c>
      <c r="M53" s="310">
        <f t="shared" si="26"/>
        <v>4</v>
      </c>
      <c r="N53" s="312">
        <f t="shared" si="26"/>
        <v>180000</v>
      </c>
      <c r="O53" s="310">
        <f t="shared" si="26"/>
        <v>6</v>
      </c>
      <c r="P53" s="312">
        <f t="shared" si="26"/>
        <v>280000</v>
      </c>
      <c r="Q53" s="310">
        <f t="shared" si="26"/>
        <v>3</v>
      </c>
      <c r="R53" s="312">
        <f t="shared" si="26"/>
        <v>270000</v>
      </c>
      <c r="S53" s="310">
        <f t="shared" si="26"/>
        <v>3</v>
      </c>
      <c r="T53" s="312">
        <f t="shared" si="26"/>
        <v>270000</v>
      </c>
      <c r="U53" s="310">
        <f t="shared" si="26"/>
        <v>3</v>
      </c>
      <c r="V53" s="312">
        <f t="shared" si="26"/>
        <v>270000</v>
      </c>
      <c r="W53" s="310">
        <f t="shared" si="26"/>
        <v>3</v>
      </c>
      <c r="X53" s="312">
        <f t="shared" si="26"/>
        <v>270000</v>
      </c>
      <c r="Y53" s="310">
        <f t="shared" si="26"/>
        <v>4</v>
      </c>
      <c r="Z53" s="312">
        <f t="shared" si="26"/>
        <v>360000</v>
      </c>
      <c r="AA53" s="310">
        <f>SUM(AA50:AA52)</f>
        <v>6</v>
      </c>
      <c r="AB53" s="312">
        <f t="shared" ref="AB53" si="27">SUM(AB50:AB52)</f>
        <v>550000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226"/>
      <c r="AS53" s="226"/>
      <c r="AT53" s="226"/>
      <c r="AU53" s="226"/>
      <c r="AV53" s="226"/>
      <c r="AW53" s="226"/>
      <c r="AX53" s="226"/>
      <c r="AY53" s="226"/>
      <c r="AZ53" s="226"/>
      <c r="BA53" s="226"/>
      <c r="BB53" s="226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6"/>
      <c r="BS53" s="226"/>
      <c r="BT53" s="226"/>
      <c r="BU53" s="226"/>
      <c r="BV53" s="226"/>
      <c r="BW53" s="226"/>
      <c r="BX53" s="226"/>
      <c r="BY53" s="226"/>
      <c r="BZ53" s="226"/>
      <c r="CA53" s="226"/>
      <c r="CB53" s="226"/>
      <c r="CC53" s="226"/>
      <c r="CD53" s="226"/>
      <c r="CE53" s="226"/>
      <c r="CF53" s="226"/>
      <c r="CG53" s="226"/>
      <c r="CH53" s="226"/>
      <c r="CI53" s="226"/>
      <c r="CJ53" s="226"/>
      <c r="CK53" s="226"/>
      <c r="CL53" s="226"/>
      <c r="CM53" s="226"/>
      <c r="CN53" s="226"/>
      <c r="CO53" s="226"/>
      <c r="CP53" s="226"/>
      <c r="CQ53" s="226"/>
      <c r="CR53" s="226"/>
      <c r="CS53" s="226"/>
      <c r="CT53" s="226"/>
      <c r="CU53" s="226"/>
      <c r="CV53" s="226"/>
      <c r="CW53" s="226"/>
      <c r="CX53" s="226"/>
      <c r="CY53" s="226"/>
      <c r="CZ53" s="226"/>
      <c r="DA53" s="226"/>
      <c r="DB53" s="226"/>
      <c r="DC53" s="226"/>
      <c r="DD53" s="226"/>
      <c r="DE53" s="226"/>
      <c r="DF53" s="226"/>
      <c r="DG53" s="226"/>
      <c r="DH53" s="226"/>
      <c r="DI53" s="226"/>
      <c r="DJ53" s="226"/>
      <c r="DK53" s="226"/>
      <c r="DL53" s="226"/>
      <c r="DM53" s="226"/>
      <c r="DN53" s="226"/>
      <c r="DO53" s="226"/>
      <c r="DP53" s="226"/>
      <c r="DQ53" s="226"/>
      <c r="DR53" s="226"/>
      <c r="DS53" s="226"/>
      <c r="DT53" s="226"/>
      <c r="DU53" s="226"/>
      <c r="DV53" s="226"/>
      <c r="DW53" s="226"/>
      <c r="DX53" s="226"/>
      <c r="DY53" s="226"/>
      <c r="DZ53" s="226"/>
      <c r="EA53" s="226"/>
      <c r="EB53" s="226"/>
      <c r="EC53" s="226"/>
      <c r="ED53" s="226"/>
      <c r="EE53" s="226"/>
      <c r="EF53" s="226"/>
      <c r="EG53" s="226"/>
      <c r="EH53" s="226"/>
      <c r="EI53" s="226"/>
      <c r="EJ53" s="226"/>
      <c r="EK53" s="226"/>
      <c r="EL53" s="226"/>
      <c r="EM53" s="226"/>
      <c r="EN53" s="226"/>
      <c r="EO53" s="226"/>
      <c r="EP53" s="226"/>
      <c r="EQ53" s="226"/>
      <c r="ER53" s="226"/>
      <c r="ES53" s="226"/>
      <c r="ET53" s="226"/>
      <c r="EU53" s="226"/>
      <c r="EV53" s="226"/>
      <c r="EW53" s="226"/>
      <c r="EX53" s="226"/>
      <c r="EY53" s="226"/>
      <c r="EZ53" s="226"/>
      <c r="FA53" s="226"/>
      <c r="FB53" s="226"/>
      <c r="FC53" s="226"/>
      <c r="FD53" s="226"/>
      <c r="FE53" s="226"/>
      <c r="FF53" s="226"/>
      <c r="FG53" s="226"/>
      <c r="FH53" s="226"/>
      <c r="FI53" s="226"/>
      <c r="FJ53" s="226"/>
      <c r="FK53" s="226"/>
      <c r="FL53" s="226"/>
      <c r="FM53" s="226"/>
      <c r="FN53" s="226"/>
      <c r="FO53" s="226"/>
      <c r="FP53" s="226"/>
      <c r="FQ53" s="226"/>
      <c r="FR53" s="226"/>
      <c r="FS53" s="226"/>
      <c r="FT53" s="226"/>
      <c r="FU53" s="226"/>
      <c r="FV53" s="226"/>
      <c r="FW53" s="226"/>
      <c r="FX53" s="226"/>
      <c r="FY53" s="226"/>
      <c r="FZ53" s="226"/>
      <c r="GA53" s="226"/>
      <c r="GB53" s="226"/>
      <c r="GC53" s="226"/>
      <c r="GD53" s="226"/>
      <c r="GE53" s="226"/>
      <c r="GF53" s="226"/>
      <c r="GG53" s="226"/>
      <c r="GH53" s="226"/>
      <c r="GI53" s="226"/>
      <c r="GJ53" s="226"/>
      <c r="GK53" s="226"/>
      <c r="GL53" s="226"/>
      <c r="GM53" s="226"/>
      <c r="GN53" s="226"/>
      <c r="GO53" s="226"/>
      <c r="GP53" s="226"/>
      <c r="GQ53" s="226"/>
      <c r="GR53" s="226"/>
      <c r="GS53" s="226"/>
      <c r="GT53" s="226"/>
      <c r="GU53" s="226"/>
      <c r="GV53" s="226"/>
      <c r="GW53" s="226"/>
      <c r="GX53" s="226"/>
      <c r="GY53" s="226"/>
      <c r="GZ53" s="226"/>
      <c r="HA53" s="226"/>
      <c r="HB53" s="226"/>
      <c r="HC53" s="226"/>
      <c r="HD53" s="226"/>
      <c r="HE53" s="226"/>
      <c r="HF53" s="226"/>
      <c r="HG53" s="226"/>
      <c r="HH53" s="226"/>
      <c r="HI53" s="226"/>
      <c r="HJ53" s="226"/>
      <c r="HK53" s="226"/>
      <c r="HL53" s="226"/>
      <c r="HM53" s="226"/>
      <c r="HN53" s="226"/>
      <c r="HO53" s="226"/>
      <c r="HP53" s="226"/>
      <c r="HQ53" s="226"/>
      <c r="HR53" s="226"/>
      <c r="HS53" s="226"/>
      <c r="HT53" s="226"/>
      <c r="HU53" s="226"/>
      <c r="HV53" s="226"/>
      <c r="HW53" s="226"/>
      <c r="HX53" s="226"/>
      <c r="HY53" s="226"/>
      <c r="HZ53" s="226"/>
      <c r="IA53" s="226"/>
      <c r="IB53" s="226"/>
      <c r="IC53" s="226"/>
      <c r="ID53" s="226"/>
      <c r="IE53" s="226"/>
      <c r="IF53" s="226"/>
      <c r="IG53" s="226"/>
      <c r="IH53" s="226"/>
      <c r="II53" s="226"/>
      <c r="IJ53" s="226"/>
      <c r="IK53" s="226"/>
      <c r="IL53" s="226"/>
      <c r="IM53" s="226"/>
      <c r="IN53" s="226"/>
      <c r="IO53" s="226"/>
      <c r="IP53" s="226"/>
      <c r="IQ53" s="226"/>
      <c r="IR53" s="226"/>
      <c r="IS53" s="226"/>
      <c r="IT53" s="226"/>
      <c r="IU53" s="226"/>
      <c r="IV53" s="226"/>
      <c r="IW53" s="226"/>
      <c r="IX53" s="226"/>
      <c r="IY53" s="226"/>
      <c r="IZ53" s="226"/>
      <c r="JA53" s="226"/>
      <c r="JB53" s="226"/>
      <c r="JC53" s="226"/>
      <c r="JD53" s="226"/>
      <c r="JE53" s="226"/>
      <c r="JF53" s="226"/>
      <c r="JG53" s="226"/>
      <c r="JH53" s="226"/>
      <c r="JI53" s="226"/>
      <c r="JJ53" s="226"/>
      <c r="JK53" s="226"/>
      <c r="JL53" s="226"/>
      <c r="JM53" s="226"/>
      <c r="JN53" s="226"/>
      <c r="JO53" s="226"/>
      <c r="JP53" s="226"/>
      <c r="JQ53" s="226"/>
      <c r="JR53" s="226"/>
      <c r="JS53" s="226"/>
      <c r="JT53" s="226"/>
      <c r="JU53" s="226"/>
      <c r="JV53" s="226"/>
      <c r="JW53" s="226"/>
      <c r="JX53" s="226"/>
      <c r="JY53" s="226"/>
      <c r="JZ53" s="226"/>
      <c r="KA53" s="226"/>
      <c r="KB53" s="226"/>
      <c r="KC53" s="226"/>
      <c r="KD53" s="226"/>
      <c r="KE53" s="226"/>
      <c r="KF53" s="226"/>
      <c r="KG53" s="226"/>
    </row>
    <row r="54" spans="1:293" ht="15.75" customHeight="1" thickBot="1" x14ac:dyDescent="0.3">
      <c r="A54" s="365" t="s">
        <v>220</v>
      </c>
      <c r="B54" s="366"/>
      <c r="C54" s="367"/>
      <c r="D54" s="287">
        <f>SUM(F54+H54+J54+L54+N54+P54+R54+T54+V54+X54+Z54+AB54)</f>
        <v>11520000</v>
      </c>
      <c r="E54" s="288">
        <f>E50+AA23</f>
        <v>9</v>
      </c>
      <c r="F54" s="289">
        <f>(E54+E50)*B50</f>
        <v>720000</v>
      </c>
      <c r="G54" s="288">
        <f>G50+E54</f>
        <v>9</v>
      </c>
      <c r="H54" s="289">
        <f>(E54+E50)*B50</f>
        <v>720000</v>
      </c>
      <c r="I54" s="288">
        <f>I50+G54</f>
        <v>9</v>
      </c>
      <c r="J54" s="289">
        <f>(E54+E50)*B50</f>
        <v>720000</v>
      </c>
      <c r="K54" s="288">
        <f>K50+I54</f>
        <v>9</v>
      </c>
      <c r="L54" s="289">
        <f>(E54+E50)*B50</f>
        <v>720000</v>
      </c>
      <c r="M54" s="288">
        <f>K54+M50</f>
        <v>10</v>
      </c>
      <c r="N54" s="290">
        <f>L54+B50*M50</f>
        <v>800000</v>
      </c>
      <c r="O54" s="288">
        <f>M54+O50</f>
        <v>11</v>
      </c>
      <c r="P54" s="290">
        <f>N54+B50*O50</f>
        <v>880000</v>
      </c>
      <c r="Q54" s="288">
        <f>O54+Q50</f>
        <v>12</v>
      </c>
      <c r="R54" s="288">
        <f>P54+B50*Q50</f>
        <v>960000</v>
      </c>
      <c r="S54" s="288">
        <f>Q54+1</f>
        <v>13</v>
      </c>
      <c r="T54" s="288">
        <f>R54+B50*S50</f>
        <v>1040000</v>
      </c>
      <c r="U54" s="288">
        <f>S54+1</f>
        <v>14</v>
      </c>
      <c r="V54" s="288">
        <f>T54+B50*U50</f>
        <v>1120000</v>
      </c>
      <c r="W54" s="288">
        <f>U54+1</f>
        <v>15</v>
      </c>
      <c r="X54" s="288">
        <f>V54+X50*W50</f>
        <v>1200000</v>
      </c>
      <c r="Y54" s="288">
        <f>W54+1</f>
        <v>16</v>
      </c>
      <c r="Z54" s="288">
        <f>X54+B50*Y50</f>
        <v>1280000</v>
      </c>
      <c r="AA54" s="288">
        <f>Y54+1</f>
        <v>17</v>
      </c>
      <c r="AB54" s="288">
        <f>Z54+B50*AA50</f>
        <v>1360000</v>
      </c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  <c r="AN54" s="144"/>
      <c r="AO54" s="144"/>
      <c r="AP54" s="144"/>
      <c r="AQ54" s="144"/>
      <c r="AR54" s="226"/>
      <c r="AS54" s="226"/>
      <c r="AT54" s="226"/>
      <c r="AU54" s="226"/>
      <c r="AV54" s="226"/>
      <c r="AW54" s="226"/>
      <c r="AX54" s="226"/>
      <c r="AY54" s="226"/>
      <c r="AZ54" s="226"/>
      <c r="BA54" s="226"/>
      <c r="BB54" s="226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6"/>
      <c r="BS54" s="226"/>
      <c r="BT54" s="226"/>
      <c r="BU54" s="226"/>
      <c r="BV54" s="226"/>
      <c r="BW54" s="226"/>
      <c r="BX54" s="226"/>
      <c r="BY54" s="226"/>
      <c r="BZ54" s="226"/>
      <c r="CA54" s="226"/>
      <c r="CB54" s="226"/>
      <c r="CC54" s="226"/>
      <c r="CD54" s="226"/>
      <c r="CE54" s="226"/>
      <c r="CF54" s="226"/>
      <c r="CG54" s="226"/>
      <c r="CH54" s="226"/>
      <c r="CI54" s="226"/>
      <c r="CJ54" s="226"/>
      <c r="CK54" s="226"/>
      <c r="CL54" s="226"/>
      <c r="CM54" s="226"/>
      <c r="CN54" s="226"/>
      <c r="CO54" s="226"/>
      <c r="CP54" s="226"/>
      <c r="CQ54" s="226"/>
      <c r="CR54" s="226"/>
      <c r="CS54" s="226"/>
      <c r="CT54" s="226"/>
      <c r="CU54" s="226"/>
      <c r="CV54" s="226"/>
      <c r="CW54" s="226"/>
      <c r="CX54" s="226"/>
      <c r="CY54" s="226"/>
      <c r="CZ54" s="226"/>
      <c r="DA54" s="226"/>
      <c r="DB54" s="226"/>
      <c r="DC54" s="226"/>
      <c r="DD54" s="226"/>
      <c r="DE54" s="226"/>
      <c r="DF54" s="226"/>
      <c r="DG54" s="226"/>
      <c r="DH54" s="226"/>
      <c r="DI54" s="226"/>
      <c r="DJ54" s="226"/>
      <c r="DK54" s="226"/>
      <c r="DL54" s="226"/>
      <c r="DM54" s="226"/>
      <c r="DN54" s="226"/>
      <c r="DO54" s="226"/>
      <c r="DP54" s="226"/>
      <c r="DQ54" s="226"/>
      <c r="DR54" s="226"/>
      <c r="DS54" s="226"/>
      <c r="DT54" s="226"/>
      <c r="DU54" s="226"/>
      <c r="DV54" s="226"/>
      <c r="DW54" s="226"/>
      <c r="DX54" s="226"/>
      <c r="DY54" s="226"/>
      <c r="DZ54" s="226"/>
      <c r="EA54" s="226"/>
      <c r="EB54" s="226"/>
      <c r="EC54" s="226"/>
      <c r="ED54" s="226"/>
      <c r="EE54" s="226"/>
      <c r="EF54" s="226"/>
      <c r="EG54" s="226"/>
      <c r="EH54" s="226"/>
      <c r="EI54" s="226"/>
      <c r="EJ54" s="226"/>
      <c r="EK54" s="226"/>
      <c r="EL54" s="226"/>
      <c r="EM54" s="226"/>
      <c r="EN54" s="226"/>
      <c r="EO54" s="226"/>
      <c r="EP54" s="226"/>
      <c r="EQ54" s="226"/>
      <c r="ER54" s="226"/>
      <c r="ES54" s="226"/>
      <c r="ET54" s="226"/>
      <c r="EU54" s="226"/>
      <c r="EV54" s="226"/>
      <c r="EW54" s="226"/>
      <c r="EX54" s="226"/>
      <c r="EY54" s="226"/>
      <c r="EZ54" s="226"/>
      <c r="FA54" s="226"/>
      <c r="FB54" s="226"/>
      <c r="FC54" s="226"/>
      <c r="FD54" s="226"/>
      <c r="FE54" s="226"/>
      <c r="FF54" s="226"/>
      <c r="FG54" s="226"/>
      <c r="FH54" s="226"/>
      <c r="FI54" s="226"/>
      <c r="FJ54" s="226"/>
      <c r="FK54" s="226"/>
      <c r="FL54" s="226"/>
      <c r="FM54" s="226"/>
      <c r="FN54" s="226"/>
      <c r="FO54" s="226"/>
      <c r="FP54" s="226"/>
      <c r="FQ54" s="226"/>
      <c r="FR54" s="226"/>
      <c r="FS54" s="226"/>
      <c r="FT54" s="226"/>
      <c r="FU54" s="226"/>
      <c r="FV54" s="226"/>
      <c r="FW54" s="226"/>
      <c r="FX54" s="226"/>
      <c r="FY54" s="226"/>
      <c r="FZ54" s="226"/>
      <c r="GA54" s="226"/>
      <c r="GB54" s="226"/>
      <c r="GC54" s="226"/>
      <c r="GD54" s="226"/>
      <c r="GE54" s="226"/>
      <c r="GF54" s="226"/>
      <c r="GG54" s="226"/>
      <c r="GH54" s="226"/>
      <c r="GI54" s="226"/>
      <c r="GJ54" s="226"/>
      <c r="GK54" s="226"/>
      <c r="GL54" s="226"/>
      <c r="GM54" s="226"/>
      <c r="GN54" s="226"/>
      <c r="GO54" s="226"/>
      <c r="GP54" s="226"/>
      <c r="GQ54" s="226"/>
      <c r="GR54" s="226"/>
      <c r="GS54" s="226"/>
      <c r="GT54" s="226"/>
      <c r="GU54" s="226"/>
      <c r="GV54" s="226"/>
      <c r="GW54" s="226"/>
      <c r="GX54" s="226"/>
      <c r="GY54" s="226"/>
      <c r="GZ54" s="226"/>
      <c r="HA54" s="226"/>
      <c r="HB54" s="226"/>
      <c r="HC54" s="226"/>
      <c r="HD54" s="226"/>
      <c r="HE54" s="226"/>
      <c r="HF54" s="226"/>
      <c r="HG54" s="226"/>
      <c r="HH54" s="226"/>
      <c r="HI54" s="226"/>
      <c r="HJ54" s="226"/>
      <c r="HK54" s="226"/>
      <c r="HL54" s="226"/>
      <c r="HM54" s="226"/>
      <c r="HN54" s="226"/>
      <c r="HO54" s="226"/>
      <c r="HP54" s="226"/>
      <c r="HQ54" s="226"/>
      <c r="HR54" s="226"/>
      <c r="HS54" s="226"/>
      <c r="HT54" s="226"/>
      <c r="HU54" s="226"/>
      <c r="HV54" s="226"/>
      <c r="HW54" s="226"/>
      <c r="HX54" s="226"/>
      <c r="HY54" s="226"/>
      <c r="HZ54" s="226"/>
      <c r="IA54" s="226"/>
      <c r="IB54" s="226"/>
      <c r="IC54" s="226"/>
      <c r="ID54" s="226"/>
      <c r="IE54" s="226"/>
      <c r="IF54" s="226"/>
      <c r="IG54" s="226"/>
      <c r="IH54" s="226"/>
      <c r="II54" s="226"/>
      <c r="IJ54" s="226"/>
      <c r="IK54" s="226"/>
      <c r="IL54" s="226"/>
      <c r="IM54" s="226"/>
      <c r="IN54" s="226"/>
      <c r="IO54" s="226"/>
      <c r="IP54" s="226"/>
      <c r="IQ54" s="226"/>
      <c r="IR54" s="226"/>
      <c r="IS54" s="226"/>
      <c r="IT54" s="226"/>
      <c r="IU54" s="226"/>
      <c r="IV54" s="226"/>
      <c r="IW54" s="226"/>
      <c r="IX54" s="226"/>
      <c r="IY54" s="226"/>
      <c r="IZ54" s="226"/>
      <c r="JA54" s="226"/>
      <c r="JB54" s="226"/>
      <c r="JC54" s="226"/>
      <c r="JD54" s="226"/>
      <c r="JE54" s="226"/>
      <c r="JF54" s="226"/>
      <c r="JG54" s="226"/>
      <c r="JH54" s="226"/>
      <c r="JI54" s="226"/>
      <c r="JJ54" s="226"/>
      <c r="JK54" s="226"/>
      <c r="JL54" s="226"/>
      <c r="JM54" s="226"/>
      <c r="JN54" s="226"/>
      <c r="JO54" s="226"/>
      <c r="JP54" s="226"/>
      <c r="JQ54" s="226"/>
      <c r="JR54" s="226"/>
      <c r="JS54" s="226"/>
      <c r="JT54" s="226"/>
      <c r="JU54" s="226"/>
      <c r="JV54" s="226"/>
      <c r="JW54" s="226"/>
      <c r="JX54" s="226"/>
      <c r="JY54" s="226"/>
      <c r="JZ54" s="226"/>
      <c r="KA54" s="226"/>
      <c r="KB54" s="226"/>
      <c r="KC54" s="226"/>
      <c r="KD54" s="226"/>
      <c r="KE54" s="226"/>
      <c r="KF54" s="226"/>
      <c r="KG54" s="226"/>
    </row>
    <row r="55" spans="1:293" ht="15.75" customHeight="1" thickBot="1" x14ac:dyDescent="0.3">
      <c r="A55" s="368" t="s">
        <v>221</v>
      </c>
      <c r="B55" s="369"/>
      <c r="C55" s="370"/>
      <c r="D55" s="291">
        <f>SUM(F55+H55+J55+L55+N55+P55+R55+T55+V55+X55+Z55+AB55)</f>
        <v>25830000</v>
      </c>
      <c r="E55" s="292">
        <f>E51+AA24</f>
        <v>18</v>
      </c>
      <c r="F55" s="293">
        <f>(E55+E51)*B51</f>
        <v>1620000</v>
      </c>
      <c r="G55" s="292">
        <f>G51+E55</f>
        <v>18</v>
      </c>
      <c r="H55" s="293">
        <f>(E55+E51)*B51</f>
        <v>1620000</v>
      </c>
      <c r="I55" s="292">
        <f>I51+G55</f>
        <v>18</v>
      </c>
      <c r="J55" s="293">
        <f>(E55+E51)*B51</f>
        <v>1620000</v>
      </c>
      <c r="K55" s="292">
        <f>K51+I55</f>
        <v>19</v>
      </c>
      <c r="L55" s="293">
        <f>B51*K55*K51</f>
        <v>1710000</v>
      </c>
      <c r="M55" s="292">
        <f>K55+M51</f>
        <v>21</v>
      </c>
      <c r="N55" s="294">
        <f>L55+B51*M51</f>
        <v>1890000</v>
      </c>
      <c r="O55" s="292">
        <f>M55+O51</f>
        <v>24</v>
      </c>
      <c r="P55" s="294">
        <f>N55+B51*O51</f>
        <v>2160000</v>
      </c>
      <c r="Q55" s="292">
        <f>O55+Q51</f>
        <v>25</v>
      </c>
      <c r="R55" s="292">
        <f>P55+B51*Q51</f>
        <v>2250000</v>
      </c>
      <c r="S55" s="292">
        <f>Q55+1</f>
        <v>26</v>
      </c>
      <c r="T55" s="292">
        <f>R55+B51*S51</f>
        <v>2340000</v>
      </c>
      <c r="U55" s="292">
        <f>S55+1</f>
        <v>27</v>
      </c>
      <c r="V55" s="292">
        <f>T55+B51*U51</f>
        <v>2430000</v>
      </c>
      <c r="W55" s="292">
        <f>U55+1</f>
        <v>28</v>
      </c>
      <c r="X55" s="292">
        <f>V55+X51*W51</f>
        <v>2520000</v>
      </c>
      <c r="Y55" s="292">
        <f>W55+1</f>
        <v>29</v>
      </c>
      <c r="Z55" s="292">
        <f>X55+B51*Y51</f>
        <v>2700000</v>
      </c>
      <c r="AA55" s="292">
        <f>Y55+1</f>
        <v>30</v>
      </c>
      <c r="AB55" s="292">
        <f>Z55+B51*AA51</f>
        <v>2970000</v>
      </c>
      <c r="AC55" s="144"/>
      <c r="AD55" s="144"/>
      <c r="AE55" s="144"/>
      <c r="AF55" s="144"/>
      <c r="AG55" s="144"/>
      <c r="AH55" s="144"/>
      <c r="AI55" s="144"/>
      <c r="AJ55" s="144"/>
      <c r="AK55" s="144"/>
      <c r="AL55" s="144"/>
      <c r="AM55" s="144"/>
      <c r="AN55" s="144"/>
      <c r="AO55" s="144"/>
      <c r="AP55" s="144"/>
      <c r="AQ55" s="144"/>
      <c r="AR55" s="226"/>
      <c r="AS55" s="226"/>
      <c r="AT55" s="226"/>
      <c r="AU55" s="226"/>
      <c r="AV55" s="226"/>
      <c r="AW55" s="226"/>
      <c r="AX55" s="226"/>
      <c r="AY55" s="226"/>
      <c r="AZ55" s="226"/>
      <c r="BA55" s="226"/>
      <c r="BB55" s="226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6"/>
      <c r="BS55" s="226"/>
      <c r="BT55" s="226"/>
      <c r="BU55" s="226"/>
      <c r="BV55" s="226"/>
      <c r="BW55" s="226"/>
      <c r="BX55" s="226"/>
      <c r="BY55" s="226"/>
      <c r="BZ55" s="226"/>
      <c r="CA55" s="226"/>
      <c r="CB55" s="226"/>
      <c r="CC55" s="226"/>
      <c r="CD55" s="226"/>
      <c r="CE55" s="226"/>
      <c r="CF55" s="226"/>
      <c r="CG55" s="226"/>
      <c r="CH55" s="226"/>
      <c r="CI55" s="226"/>
      <c r="CJ55" s="226"/>
      <c r="CK55" s="226"/>
      <c r="CL55" s="226"/>
      <c r="CM55" s="226"/>
      <c r="CN55" s="226"/>
      <c r="CO55" s="226"/>
      <c r="CP55" s="226"/>
      <c r="CQ55" s="226"/>
      <c r="CR55" s="226"/>
      <c r="CS55" s="226"/>
      <c r="CT55" s="226"/>
      <c r="CU55" s="226"/>
      <c r="CV55" s="226"/>
      <c r="CW55" s="226"/>
      <c r="CX55" s="226"/>
      <c r="CY55" s="226"/>
      <c r="CZ55" s="226"/>
      <c r="DA55" s="226"/>
      <c r="DB55" s="226"/>
      <c r="DC55" s="226"/>
      <c r="DD55" s="226"/>
      <c r="DE55" s="226"/>
      <c r="DF55" s="226"/>
      <c r="DG55" s="226"/>
      <c r="DH55" s="226"/>
      <c r="DI55" s="226"/>
      <c r="DJ55" s="226"/>
      <c r="DK55" s="226"/>
      <c r="DL55" s="226"/>
      <c r="DM55" s="226"/>
      <c r="DN55" s="226"/>
      <c r="DO55" s="226"/>
      <c r="DP55" s="226"/>
      <c r="DQ55" s="226"/>
      <c r="DR55" s="226"/>
      <c r="DS55" s="226"/>
      <c r="DT55" s="226"/>
      <c r="DU55" s="226"/>
      <c r="DV55" s="226"/>
      <c r="DW55" s="226"/>
      <c r="DX55" s="226"/>
      <c r="DY55" s="226"/>
      <c r="DZ55" s="226"/>
      <c r="EA55" s="226"/>
      <c r="EB55" s="226"/>
      <c r="EC55" s="226"/>
      <c r="ED55" s="226"/>
      <c r="EE55" s="226"/>
      <c r="EF55" s="226"/>
      <c r="EG55" s="226"/>
      <c r="EH55" s="226"/>
      <c r="EI55" s="226"/>
      <c r="EJ55" s="226"/>
      <c r="EK55" s="226"/>
      <c r="EL55" s="226"/>
      <c r="EM55" s="226"/>
      <c r="EN55" s="226"/>
      <c r="EO55" s="226"/>
      <c r="EP55" s="226"/>
      <c r="EQ55" s="226"/>
      <c r="ER55" s="226"/>
      <c r="ES55" s="226"/>
      <c r="ET55" s="226"/>
      <c r="EU55" s="226"/>
      <c r="EV55" s="226"/>
      <c r="EW55" s="226"/>
      <c r="EX55" s="226"/>
      <c r="EY55" s="226"/>
      <c r="EZ55" s="226"/>
      <c r="FA55" s="226"/>
      <c r="FB55" s="226"/>
      <c r="FC55" s="226"/>
      <c r="FD55" s="226"/>
      <c r="FE55" s="226"/>
      <c r="FF55" s="226"/>
      <c r="FG55" s="226"/>
      <c r="FH55" s="226"/>
      <c r="FI55" s="226"/>
      <c r="FJ55" s="226"/>
      <c r="FK55" s="226"/>
      <c r="FL55" s="226"/>
      <c r="FM55" s="226"/>
      <c r="FN55" s="226"/>
      <c r="FO55" s="226"/>
      <c r="FP55" s="226"/>
      <c r="FQ55" s="226"/>
      <c r="FR55" s="226"/>
      <c r="FS55" s="226"/>
      <c r="FT55" s="226"/>
      <c r="FU55" s="226"/>
      <c r="FV55" s="226"/>
      <c r="FW55" s="226"/>
      <c r="FX55" s="226"/>
      <c r="FY55" s="226"/>
      <c r="FZ55" s="226"/>
      <c r="GA55" s="226"/>
      <c r="GB55" s="226"/>
      <c r="GC55" s="226"/>
      <c r="GD55" s="226"/>
      <c r="GE55" s="226"/>
      <c r="GF55" s="226"/>
      <c r="GG55" s="226"/>
      <c r="GH55" s="226"/>
      <c r="GI55" s="226"/>
      <c r="GJ55" s="226"/>
      <c r="GK55" s="226"/>
      <c r="GL55" s="226"/>
      <c r="GM55" s="226"/>
      <c r="GN55" s="226"/>
      <c r="GO55" s="226"/>
      <c r="GP55" s="226"/>
      <c r="GQ55" s="226"/>
      <c r="GR55" s="226"/>
      <c r="GS55" s="226"/>
      <c r="GT55" s="226"/>
      <c r="GU55" s="226"/>
      <c r="GV55" s="226"/>
      <c r="GW55" s="226"/>
      <c r="GX55" s="226"/>
      <c r="GY55" s="226"/>
      <c r="GZ55" s="226"/>
      <c r="HA55" s="226"/>
      <c r="HB55" s="226"/>
      <c r="HC55" s="226"/>
      <c r="HD55" s="226"/>
      <c r="HE55" s="226"/>
      <c r="HF55" s="226"/>
      <c r="HG55" s="226"/>
      <c r="HH55" s="226"/>
      <c r="HI55" s="226"/>
      <c r="HJ55" s="226"/>
      <c r="HK55" s="226"/>
      <c r="HL55" s="226"/>
      <c r="HM55" s="226"/>
      <c r="HN55" s="226"/>
      <c r="HO55" s="226"/>
      <c r="HP55" s="226"/>
      <c r="HQ55" s="226"/>
      <c r="HR55" s="226"/>
      <c r="HS55" s="226"/>
      <c r="HT55" s="226"/>
      <c r="HU55" s="226"/>
      <c r="HV55" s="226"/>
      <c r="HW55" s="226"/>
      <c r="HX55" s="226"/>
      <c r="HY55" s="226"/>
      <c r="HZ55" s="226"/>
      <c r="IA55" s="226"/>
      <c r="IB55" s="226"/>
      <c r="IC55" s="226"/>
      <c r="ID55" s="226"/>
      <c r="IE55" s="226"/>
      <c r="IF55" s="226"/>
      <c r="IG55" s="226"/>
      <c r="IH55" s="226"/>
      <c r="II55" s="226"/>
      <c r="IJ55" s="226"/>
      <c r="IK55" s="226"/>
      <c r="IL55" s="226"/>
      <c r="IM55" s="226"/>
      <c r="IN55" s="226"/>
      <c r="IO55" s="226"/>
      <c r="IP55" s="226"/>
      <c r="IQ55" s="226"/>
      <c r="IR55" s="226"/>
      <c r="IS55" s="226"/>
      <c r="IT55" s="226"/>
      <c r="IU55" s="226"/>
      <c r="IV55" s="226"/>
      <c r="IW55" s="226"/>
      <c r="IX55" s="226"/>
      <c r="IY55" s="226"/>
      <c r="IZ55" s="226"/>
      <c r="JA55" s="226"/>
      <c r="JB55" s="226"/>
      <c r="JC55" s="226"/>
      <c r="JD55" s="226"/>
      <c r="JE55" s="226"/>
      <c r="JF55" s="226"/>
      <c r="JG55" s="226"/>
      <c r="JH55" s="226"/>
      <c r="JI55" s="226"/>
      <c r="JJ55" s="226"/>
      <c r="JK55" s="226"/>
      <c r="JL55" s="226"/>
      <c r="JM55" s="226"/>
      <c r="JN55" s="226"/>
      <c r="JO55" s="226"/>
      <c r="JP55" s="226"/>
      <c r="JQ55" s="226"/>
      <c r="JR55" s="226"/>
      <c r="JS55" s="226"/>
      <c r="JT55" s="226"/>
      <c r="JU55" s="226"/>
      <c r="JV55" s="226"/>
      <c r="JW55" s="226"/>
      <c r="JX55" s="226"/>
      <c r="JY55" s="226"/>
      <c r="JZ55" s="226"/>
      <c r="KA55" s="226"/>
      <c r="KB55" s="226"/>
      <c r="KC55" s="226"/>
      <c r="KD55" s="226"/>
      <c r="KE55" s="226"/>
      <c r="KF55" s="226"/>
      <c r="KG55" s="226"/>
    </row>
    <row r="56" spans="1:293" ht="15.75" customHeight="1" thickBot="1" x14ac:dyDescent="0.3">
      <c r="A56" s="371" t="s">
        <v>222</v>
      </c>
      <c r="B56" s="372"/>
      <c r="C56" s="373"/>
      <c r="D56" s="295">
        <f>SUM(F56+H56+J56+L56+N56+P56+R56+T56+V56+X56+Z56+AB56)</f>
        <v>25400000</v>
      </c>
      <c r="E56" s="296">
        <f>E52+AA25</f>
        <v>15</v>
      </c>
      <c r="F56" s="297">
        <f>B52*E56*E52</f>
        <v>1500000</v>
      </c>
      <c r="G56" s="296">
        <f>G52+E56</f>
        <v>16</v>
      </c>
      <c r="H56" s="297">
        <f>B52*G56*G52</f>
        <v>1600000</v>
      </c>
      <c r="I56" s="296">
        <f>I52+G56</f>
        <v>17</v>
      </c>
      <c r="J56" s="297">
        <f>B52*I56*I52</f>
        <v>1700000</v>
      </c>
      <c r="K56" s="296">
        <f>K52+I56</f>
        <v>18</v>
      </c>
      <c r="L56" s="297">
        <f>B52*K56*K52</f>
        <v>1800000</v>
      </c>
      <c r="M56" s="296">
        <f>K56+M52</f>
        <v>19</v>
      </c>
      <c r="N56" s="298">
        <f>L56+B52*M52</f>
        <v>1900000</v>
      </c>
      <c r="O56" s="296">
        <f>M56+O52</f>
        <v>21</v>
      </c>
      <c r="P56" s="298">
        <f>N56+B52*O52</f>
        <v>2100000</v>
      </c>
      <c r="Q56" s="296">
        <f>O56+Q52</f>
        <v>22</v>
      </c>
      <c r="R56" s="296">
        <f>P56+B52*Q52</f>
        <v>2200000</v>
      </c>
      <c r="S56" s="296">
        <f>Q56+1</f>
        <v>23</v>
      </c>
      <c r="T56" s="296">
        <f>R56+B52*S52</f>
        <v>2300000</v>
      </c>
      <c r="U56" s="296">
        <f>S56+1</f>
        <v>24</v>
      </c>
      <c r="V56" s="296">
        <f>T56+B52*U52</f>
        <v>2400000</v>
      </c>
      <c r="W56" s="296">
        <f>U56+1</f>
        <v>25</v>
      </c>
      <c r="X56" s="296">
        <f>V56+X52*W52</f>
        <v>2500000</v>
      </c>
      <c r="Y56" s="296">
        <f>W56+1</f>
        <v>26</v>
      </c>
      <c r="Z56" s="296">
        <f>X56+B52*Y52</f>
        <v>2600000</v>
      </c>
      <c r="AA56" s="296">
        <f>Y56+1</f>
        <v>27</v>
      </c>
      <c r="AB56" s="296">
        <f>Z56+B52*AA52</f>
        <v>2800000</v>
      </c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AM56" s="144"/>
      <c r="AN56" s="144"/>
      <c r="AO56" s="144"/>
      <c r="AP56" s="144"/>
      <c r="AQ56" s="144"/>
      <c r="AR56" s="226"/>
      <c r="AS56" s="226"/>
      <c r="AT56" s="226"/>
      <c r="AU56" s="226"/>
      <c r="AV56" s="226"/>
      <c r="AW56" s="226"/>
      <c r="AX56" s="226"/>
      <c r="AY56" s="226"/>
      <c r="AZ56" s="226"/>
      <c r="BA56" s="226"/>
      <c r="BB56" s="226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6"/>
      <c r="BS56" s="226"/>
      <c r="BT56" s="226"/>
      <c r="BU56" s="226"/>
      <c r="BV56" s="226"/>
      <c r="BW56" s="226"/>
      <c r="BX56" s="226"/>
      <c r="BY56" s="226"/>
      <c r="BZ56" s="226"/>
      <c r="CA56" s="226"/>
      <c r="CB56" s="226"/>
      <c r="CC56" s="226"/>
      <c r="CD56" s="226"/>
      <c r="CE56" s="226"/>
      <c r="CF56" s="226"/>
      <c r="CG56" s="226"/>
      <c r="CH56" s="226"/>
      <c r="CI56" s="226"/>
      <c r="CJ56" s="226"/>
      <c r="CK56" s="226"/>
      <c r="CL56" s="226"/>
      <c r="CM56" s="226"/>
      <c r="CN56" s="226"/>
      <c r="CO56" s="226"/>
      <c r="CP56" s="226"/>
      <c r="CQ56" s="226"/>
      <c r="CR56" s="226"/>
      <c r="CS56" s="226"/>
      <c r="CT56" s="226"/>
      <c r="CU56" s="226"/>
      <c r="CV56" s="226"/>
      <c r="CW56" s="226"/>
      <c r="CX56" s="226"/>
      <c r="CY56" s="226"/>
      <c r="CZ56" s="226"/>
      <c r="DA56" s="226"/>
      <c r="DB56" s="226"/>
      <c r="DC56" s="226"/>
      <c r="DD56" s="226"/>
      <c r="DE56" s="226"/>
      <c r="DF56" s="226"/>
      <c r="DG56" s="226"/>
      <c r="DH56" s="226"/>
      <c r="DI56" s="226"/>
      <c r="DJ56" s="226"/>
      <c r="DK56" s="226"/>
      <c r="DL56" s="226"/>
      <c r="DM56" s="226"/>
      <c r="DN56" s="226"/>
      <c r="DO56" s="226"/>
      <c r="DP56" s="226"/>
      <c r="DQ56" s="226"/>
      <c r="DR56" s="226"/>
      <c r="DS56" s="226"/>
      <c r="DT56" s="226"/>
      <c r="DU56" s="226"/>
      <c r="DV56" s="226"/>
      <c r="DW56" s="226"/>
      <c r="DX56" s="226"/>
      <c r="DY56" s="226"/>
      <c r="DZ56" s="226"/>
      <c r="EA56" s="226"/>
      <c r="EB56" s="226"/>
      <c r="EC56" s="226"/>
      <c r="ED56" s="226"/>
      <c r="EE56" s="226"/>
      <c r="EF56" s="226"/>
      <c r="EG56" s="226"/>
      <c r="EH56" s="226"/>
      <c r="EI56" s="226"/>
      <c r="EJ56" s="226"/>
      <c r="EK56" s="226"/>
      <c r="EL56" s="226"/>
      <c r="EM56" s="226"/>
      <c r="EN56" s="226"/>
      <c r="EO56" s="226"/>
      <c r="EP56" s="226"/>
      <c r="EQ56" s="226"/>
      <c r="ER56" s="226"/>
      <c r="ES56" s="226"/>
      <c r="ET56" s="226"/>
      <c r="EU56" s="226"/>
      <c r="EV56" s="226"/>
      <c r="EW56" s="226"/>
      <c r="EX56" s="226"/>
      <c r="EY56" s="226"/>
      <c r="EZ56" s="226"/>
      <c r="FA56" s="226"/>
      <c r="FB56" s="226"/>
      <c r="FC56" s="226"/>
      <c r="FD56" s="226"/>
      <c r="FE56" s="226"/>
      <c r="FF56" s="226"/>
      <c r="FG56" s="226"/>
      <c r="FH56" s="226"/>
      <c r="FI56" s="226"/>
      <c r="FJ56" s="226"/>
      <c r="FK56" s="226"/>
      <c r="FL56" s="226"/>
      <c r="FM56" s="226"/>
      <c r="FN56" s="226"/>
      <c r="FO56" s="226"/>
      <c r="FP56" s="226"/>
      <c r="FQ56" s="226"/>
      <c r="FR56" s="226"/>
      <c r="FS56" s="226"/>
      <c r="FT56" s="226"/>
      <c r="FU56" s="226"/>
      <c r="FV56" s="226"/>
      <c r="FW56" s="226"/>
      <c r="FX56" s="226"/>
      <c r="FY56" s="226"/>
      <c r="FZ56" s="226"/>
      <c r="GA56" s="226"/>
      <c r="GB56" s="226"/>
      <c r="GC56" s="226"/>
      <c r="GD56" s="226"/>
      <c r="GE56" s="226"/>
      <c r="GF56" s="226"/>
      <c r="GG56" s="226"/>
      <c r="GH56" s="226"/>
      <c r="GI56" s="226"/>
      <c r="GJ56" s="226"/>
      <c r="GK56" s="226"/>
      <c r="GL56" s="226"/>
      <c r="GM56" s="226"/>
      <c r="GN56" s="226"/>
      <c r="GO56" s="226"/>
      <c r="GP56" s="226"/>
      <c r="GQ56" s="226"/>
      <c r="GR56" s="226"/>
      <c r="GS56" s="226"/>
      <c r="GT56" s="226"/>
      <c r="GU56" s="226"/>
      <c r="GV56" s="226"/>
      <c r="GW56" s="226"/>
      <c r="GX56" s="226"/>
      <c r="GY56" s="226"/>
      <c r="GZ56" s="226"/>
      <c r="HA56" s="226"/>
      <c r="HB56" s="226"/>
      <c r="HC56" s="226"/>
      <c r="HD56" s="226"/>
      <c r="HE56" s="226"/>
      <c r="HF56" s="226"/>
      <c r="HG56" s="226"/>
      <c r="HH56" s="226"/>
      <c r="HI56" s="226"/>
      <c r="HJ56" s="226"/>
      <c r="HK56" s="226"/>
      <c r="HL56" s="226"/>
      <c r="HM56" s="226"/>
      <c r="HN56" s="226"/>
      <c r="HO56" s="226"/>
      <c r="HP56" s="226"/>
      <c r="HQ56" s="226"/>
      <c r="HR56" s="226"/>
      <c r="HS56" s="226"/>
      <c r="HT56" s="226"/>
      <c r="HU56" s="226"/>
      <c r="HV56" s="226"/>
      <c r="HW56" s="226"/>
      <c r="HX56" s="226"/>
      <c r="HY56" s="226"/>
      <c r="HZ56" s="226"/>
      <c r="IA56" s="226"/>
      <c r="IB56" s="226"/>
      <c r="IC56" s="226"/>
      <c r="ID56" s="226"/>
      <c r="IE56" s="226"/>
      <c r="IF56" s="226"/>
      <c r="IG56" s="226"/>
      <c r="IH56" s="226"/>
      <c r="II56" s="226"/>
      <c r="IJ56" s="226"/>
      <c r="IK56" s="226"/>
      <c r="IL56" s="226"/>
      <c r="IM56" s="226"/>
      <c r="IN56" s="226"/>
      <c r="IO56" s="226"/>
      <c r="IP56" s="226"/>
      <c r="IQ56" s="226"/>
      <c r="IR56" s="226"/>
      <c r="IS56" s="226"/>
      <c r="IT56" s="226"/>
      <c r="IU56" s="226"/>
      <c r="IV56" s="226"/>
      <c r="IW56" s="226"/>
      <c r="IX56" s="226"/>
      <c r="IY56" s="226"/>
      <c r="IZ56" s="226"/>
      <c r="JA56" s="226"/>
      <c r="JB56" s="226"/>
      <c r="JC56" s="226"/>
      <c r="JD56" s="226"/>
      <c r="JE56" s="226"/>
      <c r="JF56" s="226"/>
      <c r="JG56" s="226"/>
      <c r="JH56" s="226"/>
      <c r="JI56" s="226"/>
      <c r="JJ56" s="226"/>
      <c r="JK56" s="226"/>
      <c r="JL56" s="226"/>
      <c r="JM56" s="226"/>
      <c r="JN56" s="226"/>
      <c r="JO56" s="226"/>
      <c r="JP56" s="226"/>
      <c r="JQ56" s="226"/>
      <c r="JR56" s="226"/>
      <c r="JS56" s="226"/>
      <c r="JT56" s="226"/>
      <c r="JU56" s="226"/>
      <c r="JV56" s="226"/>
      <c r="JW56" s="226"/>
      <c r="JX56" s="226"/>
      <c r="JY56" s="226"/>
      <c r="JZ56" s="226"/>
      <c r="KA56" s="226"/>
      <c r="KB56" s="226"/>
      <c r="KC56" s="226"/>
      <c r="KD56" s="226"/>
      <c r="KE56" s="226"/>
      <c r="KF56" s="226"/>
      <c r="KG56" s="226"/>
    </row>
    <row r="57" spans="1:293" s="225" customFormat="1" ht="15.75" customHeight="1" thickBot="1" x14ac:dyDescent="0.3">
      <c r="A57" s="417" t="s">
        <v>169</v>
      </c>
      <c r="B57" s="418"/>
      <c r="C57" s="299">
        <f>C53+C26</f>
        <v>78</v>
      </c>
      <c r="D57" s="300">
        <f>SUM(D54:D56)</f>
        <v>62750000</v>
      </c>
      <c r="E57" s="301">
        <f>SUM(E54:E56)</f>
        <v>42</v>
      </c>
      <c r="F57" s="302">
        <f>SUM(F54:F56)</f>
        <v>3840000</v>
      </c>
      <c r="G57" s="301">
        <f t="shared" ref="G57:AB57" si="28">SUM(G54:G56)</f>
        <v>43</v>
      </c>
      <c r="H57" s="302">
        <f t="shared" si="28"/>
        <v>3940000</v>
      </c>
      <c r="I57" s="301">
        <f t="shared" si="28"/>
        <v>44</v>
      </c>
      <c r="J57" s="302">
        <f t="shared" si="28"/>
        <v>4040000</v>
      </c>
      <c r="K57" s="301">
        <f t="shared" si="28"/>
        <v>46</v>
      </c>
      <c r="L57" s="302">
        <f t="shared" si="28"/>
        <v>4230000</v>
      </c>
      <c r="M57" s="301">
        <f t="shared" si="28"/>
        <v>50</v>
      </c>
      <c r="N57" s="302">
        <f t="shared" si="28"/>
        <v>4590000</v>
      </c>
      <c r="O57" s="301">
        <f t="shared" si="28"/>
        <v>56</v>
      </c>
      <c r="P57" s="302">
        <f t="shared" si="28"/>
        <v>5140000</v>
      </c>
      <c r="Q57" s="301">
        <f t="shared" si="28"/>
        <v>59</v>
      </c>
      <c r="R57" s="302">
        <f t="shared" si="28"/>
        <v>5410000</v>
      </c>
      <c r="S57" s="301">
        <f t="shared" si="28"/>
        <v>62</v>
      </c>
      <c r="T57" s="302">
        <f t="shared" si="28"/>
        <v>5680000</v>
      </c>
      <c r="U57" s="301">
        <f t="shared" si="28"/>
        <v>65</v>
      </c>
      <c r="V57" s="302">
        <f t="shared" si="28"/>
        <v>5950000</v>
      </c>
      <c r="W57" s="301">
        <f t="shared" si="28"/>
        <v>68</v>
      </c>
      <c r="X57" s="302">
        <f t="shared" si="28"/>
        <v>6220000</v>
      </c>
      <c r="Y57" s="301">
        <f t="shared" si="28"/>
        <v>71</v>
      </c>
      <c r="Z57" s="302">
        <f t="shared" si="28"/>
        <v>6580000</v>
      </c>
      <c r="AA57" s="301">
        <f t="shared" si="28"/>
        <v>74</v>
      </c>
      <c r="AB57" s="302">
        <f t="shared" si="28"/>
        <v>7130000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226"/>
      <c r="AS57" s="226"/>
      <c r="AT57" s="226"/>
      <c r="AU57" s="226"/>
      <c r="AV57" s="226"/>
      <c r="AW57" s="226"/>
      <c r="AX57" s="226"/>
      <c r="AY57" s="226"/>
      <c r="AZ57" s="226"/>
      <c r="BA57" s="226"/>
      <c r="BB57" s="226"/>
      <c r="BC57" s="226"/>
      <c r="BD57" s="226"/>
      <c r="BE57" s="226"/>
      <c r="BF57" s="226"/>
      <c r="BG57" s="226"/>
      <c r="BH57" s="226"/>
      <c r="BI57" s="226"/>
      <c r="BJ57" s="226"/>
      <c r="BK57" s="226"/>
      <c r="BL57" s="226"/>
      <c r="BM57" s="226"/>
      <c r="BN57" s="226"/>
      <c r="BO57" s="226"/>
      <c r="BP57" s="226"/>
      <c r="BQ57" s="226"/>
      <c r="BR57" s="226"/>
      <c r="BS57" s="226"/>
      <c r="BT57" s="226"/>
      <c r="BU57" s="226"/>
      <c r="BV57" s="226"/>
      <c r="BW57" s="226"/>
      <c r="BX57" s="226"/>
      <c r="BY57" s="226"/>
      <c r="BZ57" s="226"/>
      <c r="CA57" s="226"/>
      <c r="CB57" s="226"/>
      <c r="CC57" s="226"/>
      <c r="CD57" s="226"/>
      <c r="CE57" s="226"/>
      <c r="CF57" s="226"/>
      <c r="CG57" s="226"/>
      <c r="CH57" s="226"/>
      <c r="CI57" s="226"/>
      <c r="CJ57" s="226"/>
      <c r="CK57" s="226"/>
      <c r="CL57" s="226"/>
      <c r="CM57" s="226"/>
      <c r="CN57" s="226"/>
      <c r="CO57" s="226"/>
      <c r="CP57" s="226"/>
      <c r="CQ57" s="226"/>
      <c r="CR57" s="226"/>
      <c r="CS57" s="226"/>
      <c r="CT57" s="226"/>
      <c r="CU57" s="226"/>
      <c r="CV57" s="226"/>
      <c r="CW57" s="226"/>
      <c r="CX57" s="226"/>
      <c r="CY57" s="226"/>
      <c r="CZ57" s="226"/>
      <c r="DA57" s="226"/>
      <c r="DB57" s="226"/>
      <c r="DC57" s="226"/>
      <c r="DD57" s="226"/>
      <c r="DE57" s="226"/>
      <c r="DF57" s="226"/>
      <c r="DG57" s="226"/>
      <c r="DH57" s="226"/>
      <c r="DI57" s="226"/>
      <c r="DJ57" s="226"/>
      <c r="DK57" s="226"/>
      <c r="DL57" s="226"/>
      <c r="DM57" s="226"/>
      <c r="DN57" s="226"/>
      <c r="DO57" s="226"/>
      <c r="DP57" s="226"/>
      <c r="DQ57" s="226"/>
      <c r="DR57" s="226"/>
      <c r="DS57" s="226"/>
      <c r="DT57" s="226"/>
      <c r="DU57" s="226"/>
      <c r="DV57" s="226"/>
      <c r="DW57" s="226"/>
      <c r="DX57" s="226"/>
      <c r="DY57" s="226"/>
      <c r="DZ57" s="226"/>
      <c r="EA57" s="226"/>
      <c r="EB57" s="226"/>
      <c r="EC57" s="226"/>
      <c r="ED57" s="226"/>
      <c r="EE57" s="226"/>
      <c r="EF57" s="226"/>
      <c r="EG57" s="226"/>
      <c r="EH57" s="226"/>
      <c r="EI57" s="226"/>
      <c r="EJ57" s="226"/>
      <c r="EK57" s="226"/>
      <c r="EL57" s="226"/>
      <c r="EM57" s="226"/>
      <c r="EN57" s="226"/>
      <c r="EO57" s="226"/>
      <c r="EP57" s="226"/>
      <c r="EQ57" s="226"/>
      <c r="ER57" s="226"/>
      <c r="ES57" s="226"/>
      <c r="ET57" s="226"/>
      <c r="EU57" s="226"/>
      <c r="EV57" s="226"/>
      <c r="EW57" s="226"/>
      <c r="EX57" s="226"/>
      <c r="EY57" s="226"/>
      <c r="EZ57" s="226"/>
      <c r="FA57" s="226"/>
      <c r="FB57" s="226"/>
      <c r="FC57" s="226"/>
      <c r="FD57" s="226"/>
      <c r="FE57" s="226"/>
      <c r="FF57" s="226"/>
      <c r="FG57" s="226"/>
      <c r="FH57" s="226"/>
      <c r="FI57" s="226"/>
      <c r="FJ57" s="226"/>
      <c r="FK57" s="226"/>
      <c r="FL57" s="226"/>
      <c r="FM57" s="226"/>
      <c r="FN57" s="226"/>
      <c r="FO57" s="226"/>
      <c r="FP57" s="226"/>
      <c r="FQ57" s="226"/>
      <c r="FR57" s="226"/>
      <c r="FS57" s="226"/>
      <c r="FT57" s="226"/>
      <c r="FU57" s="226"/>
      <c r="FV57" s="226"/>
      <c r="FW57" s="226"/>
      <c r="FX57" s="226"/>
      <c r="FY57" s="226"/>
      <c r="FZ57" s="226"/>
      <c r="GA57" s="226"/>
      <c r="GB57" s="226"/>
      <c r="GC57" s="226"/>
      <c r="GD57" s="226"/>
      <c r="GE57" s="226"/>
      <c r="GF57" s="226"/>
      <c r="GG57" s="226"/>
      <c r="GH57" s="226"/>
      <c r="GI57" s="226"/>
      <c r="GJ57" s="226"/>
      <c r="GK57" s="226"/>
      <c r="GL57" s="226"/>
      <c r="GM57" s="226"/>
      <c r="GN57" s="226"/>
      <c r="GO57" s="226"/>
      <c r="GP57" s="226"/>
      <c r="GQ57" s="226"/>
      <c r="GR57" s="226"/>
      <c r="GS57" s="226"/>
      <c r="GT57" s="226"/>
      <c r="GU57" s="226"/>
      <c r="GV57" s="226"/>
      <c r="GW57" s="226"/>
      <c r="GX57" s="226"/>
      <c r="GY57" s="226"/>
      <c r="GZ57" s="226"/>
      <c r="HA57" s="226"/>
      <c r="HB57" s="226"/>
      <c r="HC57" s="226"/>
      <c r="HD57" s="226"/>
      <c r="HE57" s="226"/>
      <c r="HF57" s="226"/>
      <c r="HG57" s="226"/>
      <c r="HH57" s="226"/>
      <c r="HI57" s="226"/>
      <c r="HJ57" s="226"/>
      <c r="HK57" s="226"/>
      <c r="HL57" s="226"/>
      <c r="HM57" s="226"/>
      <c r="HN57" s="226"/>
      <c r="HO57" s="226"/>
      <c r="HP57" s="226"/>
      <c r="HQ57" s="226"/>
      <c r="HR57" s="226"/>
      <c r="HS57" s="226"/>
      <c r="HT57" s="226"/>
      <c r="HU57" s="226"/>
      <c r="HV57" s="226"/>
      <c r="HW57" s="226"/>
      <c r="HX57" s="226"/>
      <c r="HY57" s="226"/>
      <c r="HZ57" s="226"/>
      <c r="IA57" s="226"/>
      <c r="IB57" s="226"/>
      <c r="IC57" s="226"/>
      <c r="ID57" s="226"/>
      <c r="IE57" s="226"/>
      <c r="IF57" s="226"/>
      <c r="IG57" s="226"/>
      <c r="IH57" s="226"/>
      <c r="II57" s="226"/>
      <c r="IJ57" s="226"/>
      <c r="IK57" s="226"/>
      <c r="IL57" s="226"/>
      <c r="IM57" s="226"/>
      <c r="IN57" s="226"/>
      <c r="IO57" s="226"/>
      <c r="IP57" s="226"/>
      <c r="IQ57" s="226"/>
      <c r="IR57" s="226"/>
      <c r="IS57" s="226"/>
      <c r="IT57" s="226"/>
      <c r="IU57" s="226"/>
      <c r="IV57" s="226"/>
      <c r="IW57" s="226"/>
      <c r="IX57" s="226"/>
      <c r="IY57" s="226"/>
      <c r="IZ57" s="226"/>
      <c r="JA57" s="226"/>
      <c r="JB57" s="226"/>
      <c r="JC57" s="226"/>
      <c r="JD57" s="226"/>
      <c r="JE57" s="226"/>
      <c r="JF57" s="226"/>
      <c r="JG57" s="226"/>
      <c r="JH57" s="226"/>
      <c r="JI57" s="226"/>
      <c r="JJ57" s="226"/>
      <c r="JK57" s="226"/>
      <c r="JL57" s="226"/>
      <c r="JM57" s="226"/>
      <c r="JN57" s="226"/>
      <c r="JO57" s="226"/>
      <c r="JP57" s="226"/>
      <c r="JQ57" s="226"/>
      <c r="JR57" s="226"/>
      <c r="JS57" s="226"/>
      <c r="JT57" s="226"/>
      <c r="JU57" s="226"/>
      <c r="JV57" s="226"/>
      <c r="JW57" s="226"/>
      <c r="JX57" s="226"/>
      <c r="JY57" s="226"/>
      <c r="JZ57" s="226"/>
      <c r="KA57" s="226"/>
      <c r="KB57" s="226"/>
      <c r="KC57" s="226"/>
      <c r="KD57" s="226"/>
      <c r="KE57" s="226"/>
      <c r="KF57" s="226"/>
      <c r="KG57" s="226"/>
    </row>
    <row r="58" spans="1:293" ht="15.75" customHeight="1" thickBot="1" x14ac:dyDescent="0.3">
      <c r="A58" s="1"/>
      <c r="B58" s="1"/>
      <c r="C58" s="1"/>
      <c r="D58" s="32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447" t="s">
        <v>75</v>
      </c>
      <c r="B59" s="448"/>
      <c r="C59" s="448"/>
      <c r="D59" s="448"/>
      <c r="E59" s="448"/>
      <c r="F59" s="448"/>
      <c r="G59" s="448"/>
      <c r="H59" s="448"/>
      <c r="I59" s="448"/>
      <c r="J59" s="448"/>
      <c r="K59" s="448"/>
      <c r="L59" s="448"/>
      <c r="M59" s="448"/>
      <c r="N59" s="448"/>
      <c r="O59" s="448"/>
      <c r="P59" s="448"/>
      <c r="Q59" s="448"/>
      <c r="R59" s="448"/>
      <c r="S59" s="448"/>
      <c r="T59" s="448"/>
      <c r="U59" s="448"/>
      <c r="V59" s="448"/>
      <c r="W59" s="448"/>
      <c r="X59" s="448"/>
      <c r="Y59" s="448"/>
      <c r="Z59" s="448"/>
      <c r="AA59" s="448"/>
      <c r="AB59" s="449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230" customFormat="1" ht="158.25" customHeight="1" thickBot="1" x14ac:dyDescent="0.3">
      <c r="A60" s="219" t="s">
        <v>57</v>
      </c>
      <c r="B60" s="444" t="s">
        <v>264</v>
      </c>
      <c r="C60" s="445"/>
      <c r="D60" s="445"/>
      <c r="E60" s="445"/>
      <c r="F60" s="445"/>
      <c r="G60" s="445"/>
      <c r="H60" s="445"/>
      <c r="I60" s="445"/>
      <c r="J60" s="445"/>
      <c r="K60" s="445"/>
      <c r="L60" s="445"/>
      <c r="M60" s="445"/>
      <c r="N60" s="445"/>
      <c r="O60" s="445"/>
      <c r="P60" s="445"/>
      <c r="Q60" s="445"/>
      <c r="R60" s="445"/>
      <c r="S60" s="445"/>
      <c r="T60" s="445"/>
      <c r="U60" s="445"/>
      <c r="V60" s="445"/>
      <c r="W60" s="445"/>
      <c r="X60" s="445"/>
      <c r="Y60" s="445"/>
      <c r="Z60" s="445"/>
      <c r="AA60" s="445"/>
      <c r="AB60" s="446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15.75" customHeight="1" thickBot="1" x14ac:dyDescent="0.4">
      <c r="A61" s="395" t="s">
        <v>58</v>
      </c>
      <c r="B61" s="396"/>
      <c r="C61" s="399" t="s">
        <v>59</v>
      </c>
      <c r="D61" s="387"/>
      <c r="E61" s="407" t="s">
        <v>60</v>
      </c>
      <c r="F61" s="386"/>
      <c r="G61" s="386"/>
      <c r="H61" s="386"/>
      <c r="I61" s="386"/>
      <c r="J61" s="386"/>
      <c r="K61" s="386"/>
      <c r="L61" s="386"/>
      <c r="M61" s="386"/>
      <c r="N61" s="386"/>
      <c r="O61" s="386"/>
      <c r="P61" s="386"/>
      <c r="Q61" s="386"/>
      <c r="R61" s="386"/>
      <c r="S61" s="386"/>
      <c r="T61" s="386"/>
      <c r="U61" s="386"/>
      <c r="V61" s="386"/>
      <c r="W61" s="386"/>
      <c r="X61" s="386"/>
      <c r="Y61" s="386"/>
      <c r="Z61" s="386"/>
      <c r="AA61" s="386"/>
      <c r="AB61" s="387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397"/>
      <c r="B62" s="398"/>
      <c r="C62" s="220" t="s">
        <v>55</v>
      </c>
      <c r="D62" s="221" t="s">
        <v>58</v>
      </c>
      <c r="E62" s="393" t="s">
        <v>42</v>
      </c>
      <c r="F62" s="387"/>
      <c r="G62" s="393" t="s">
        <v>43</v>
      </c>
      <c r="H62" s="387"/>
      <c r="I62" s="393" t="s">
        <v>44</v>
      </c>
      <c r="J62" s="387"/>
      <c r="K62" s="393" t="s">
        <v>45</v>
      </c>
      <c r="L62" s="387"/>
      <c r="M62" s="393" t="s">
        <v>46</v>
      </c>
      <c r="N62" s="387"/>
      <c r="O62" s="393" t="s">
        <v>47</v>
      </c>
      <c r="P62" s="387"/>
      <c r="Q62" s="393" t="s">
        <v>48</v>
      </c>
      <c r="R62" s="387"/>
      <c r="S62" s="393" t="s">
        <v>49</v>
      </c>
      <c r="T62" s="387"/>
      <c r="U62" s="393" t="s">
        <v>50</v>
      </c>
      <c r="V62" s="387"/>
      <c r="W62" s="393" t="s">
        <v>51</v>
      </c>
      <c r="X62" s="387"/>
      <c r="Y62" s="393" t="s">
        <v>52</v>
      </c>
      <c r="Z62" s="387"/>
      <c r="AA62" s="393" t="s">
        <v>53</v>
      </c>
      <c r="AB62" s="387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00" t="s">
        <v>61</v>
      </c>
      <c r="B63" s="396"/>
      <c r="C63" s="34">
        <f>'Anexo capacidad operativa'!A32</f>
        <v>1</v>
      </c>
      <c r="D63" s="35" t="str">
        <f>'Anexo capacidad operativa'!B32</f>
        <v>Gerente general</v>
      </c>
      <c r="E63" s="413" t="s">
        <v>63</v>
      </c>
      <c r="F63" s="326"/>
      <c r="G63" s="381" t="s">
        <v>63</v>
      </c>
      <c r="H63" s="326"/>
      <c r="I63" s="381" t="s">
        <v>63</v>
      </c>
      <c r="J63" s="326"/>
      <c r="K63" s="381" t="s">
        <v>63</v>
      </c>
      <c r="L63" s="326"/>
      <c r="M63" s="381" t="s">
        <v>63</v>
      </c>
      <c r="N63" s="326"/>
      <c r="O63" s="381" t="s">
        <v>63</v>
      </c>
      <c r="P63" s="326"/>
      <c r="Q63" s="381" t="s">
        <v>63</v>
      </c>
      <c r="R63" s="326"/>
      <c r="S63" s="381" t="s">
        <v>63</v>
      </c>
      <c r="T63" s="326"/>
      <c r="U63" s="381" t="s">
        <v>63</v>
      </c>
      <c r="V63" s="326"/>
      <c r="W63" s="381" t="s">
        <v>63</v>
      </c>
      <c r="X63" s="326"/>
      <c r="Y63" s="381" t="s">
        <v>63</v>
      </c>
      <c r="Z63" s="326"/>
      <c r="AA63" s="381" t="s">
        <v>63</v>
      </c>
      <c r="AB63" s="414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01"/>
      <c r="B64" s="402"/>
      <c r="C64" s="36">
        <f>'Anexo capacidad operativa'!A33</f>
        <v>1</v>
      </c>
      <c r="D64" s="37" t="str">
        <f>'Anexo capacidad operativa'!B33</f>
        <v>Gerente de servicios</v>
      </c>
      <c r="E64" s="394" t="s">
        <v>63</v>
      </c>
      <c r="F64" s="377"/>
      <c r="G64" s="375" t="s">
        <v>63</v>
      </c>
      <c r="H64" s="377"/>
      <c r="I64" s="375" t="s">
        <v>63</v>
      </c>
      <c r="J64" s="377"/>
      <c r="K64" s="375" t="s">
        <v>63</v>
      </c>
      <c r="L64" s="377"/>
      <c r="M64" s="375" t="s">
        <v>63</v>
      </c>
      <c r="N64" s="377"/>
      <c r="O64" s="375" t="s">
        <v>63</v>
      </c>
      <c r="P64" s="377"/>
      <c r="Q64" s="375" t="s">
        <v>63</v>
      </c>
      <c r="R64" s="377"/>
      <c r="S64" s="375" t="s">
        <v>63</v>
      </c>
      <c r="T64" s="377"/>
      <c r="U64" s="375" t="s">
        <v>63</v>
      </c>
      <c r="V64" s="377"/>
      <c r="W64" s="375" t="s">
        <v>63</v>
      </c>
      <c r="X64" s="377"/>
      <c r="Y64" s="375" t="s">
        <v>63</v>
      </c>
      <c r="Z64" s="377"/>
      <c r="AA64" s="375" t="s">
        <v>63</v>
      </c>
      <c r="AB64" s="376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01"/>
      <c r="B65" s="402"/>
      <c r="C65" s="36">
        <f>'Anexo capacidad operativa'!A34</f>
        <v>1</v>
      </c>
      <c r="D65" s="37" t="str">
        <f>'Anexo capacidad operativa'!B34</f>
        <v>Gerente de tecnologia</v>
      </c>
      <c r="E65" s="394" t="s">
        <v>63</v>
      </c>
      <c r="F65" s="377"/>
      <c r="G65" s="375" t="s">
        <v>63</v>
      </c>
      <c r="H65" s="377"/>
      <c r="I65" s="375" t="s">
        <v>63</v>
      </c>
      <c r="J65" s="377"/>
      <c r="K65" s="375" t="s">
        <v>63</v>
      </c>
      <c r="L65" s="377"/>
      <c r="M65" s="375" t="s">
        <v>63</v>
      </c>
      <c r="N65" s="377"/>
      <c r="O65" s="375" t="s">
        <v>63</v>
      </c>
      <c r="P65" s="377"/>
      <c r="Q65" s="375" t="s">
        <v>63</v>
      </c>
      <c r="R65" s="377"/>
      <c r="S65" s="375" t="s">
        <v>63</v>
      </c>
      <c r="T65" s="377"/>
      <c r="U65" s="375" t="s">
        <v>63</v>
      </c>
      <c r="V65" s="377"/>
      <c r="W65" s="375" t="s">
        <v>63</v>
      </c>
      <c r="X65" s="377"/>
      <c r="Y65" s="375" t="s">
        <v>63</v>
      </c>
      <c r="Z65" s="377"/>
      <c r="AA65" s="375" t="s">
        <v>63</v>
      </c>
      <c r="AB65" s="376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01"/>
      <c r="B66" s="402"/>
      <c r="C66" s="36">
        <f>'Anexo capacidad operativa'!A35</f>
        <v>1</v>
      </c>
      <c r="D66" s="37" t="str">
        <f>'Anexo capacidad operativa'!B35</f>
        <v>Gerente de administracion</v>
      </c>
      <c r="E66" s="394" t="s">
        <v>63</v>
      </c>
      <c r="F66" s="377"/>
      <c r="G66" s="375" t="s">
        <v>63</v>
      </c>
      <c r="H66" s="377"/>
      <c r="I66" s="375" t="s">
        <v>63</v>
      </c>
      <c r="J66" s="377"/>
      <c r="K66" s="375" t="s">
        <v>63</v>
      </c>
      <c r="L66" s="377"/>
      <c r="M66" s="375" t="s">
        <v>63</v>
      </c>
      <c r="N66" s="377"/>
      <c r="O66" s="375" t="s">
        <v>63</v>
      </c>
      <c r="P66" s="377"/>
      <c r="Q66" s="375" t="s">
        <v>63</v>
      </c>
      <c r="R66" s="377"/>
      <c r="S66" s="375" t="s">
        <v>63</v>
      </c>
      <c r="T66" s="377"/>
      <c r="U66" s="375" t="s">
        <v>63</v>
      </c>
      <c r="V66" s="377"/>
      <c r="W66" s="375" t="s">
        <v>63</v>
      </c>
      <c r="X66" s="377"/>
      <c r="Y66" s="375" t="s">
        <v>63</v>
      </c>
      <c r="Z66" s="377"/>
      <c r="AA66" s="375" t="s">
        <v>63</v>
      </c>
      <c r="AB66" s="376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x14ac:dyDescent="0.25">
      <c r="A67" s="401"/>
      <c r="B67" s="402"/>
      <c r="C67" s="36">
        <f>'Anexo capacidad operativa'!A36</f>
        <v>1</v>
      </c>
      <c r="D67" s="37" t="str">
        <f>'Anexo capacidad operativa'!B36</f>
        <v>Gerente de comuinicacion</v>
      </c>
      <c r="E67" s="426" t="s">
        <v>63</v>
      </c>
      <c r="F67" s="358"/>
      <c r="G67" s="357" t="s">
        <v>63</v>
      </c>
      <c r="H67" s="358"/>
      <c r="I67" s="357" t="s">
        <v>63</v>
      </c>
      <c r="J67" s="358"/>
      <c r="K67" s="357" t="s">
        <v>63</v>
      </c>
      <c r="L67" s="358"/>
      <c r="M67" s="357" t="s">
        <v>63</v>
      </c>
      <c r="N67" s="358"/>
      <c r="O67" s="357" t="s">
        <v>63</v>
      </c>
      <c r="P67" s="358"/>
      <c r="Q67" s="357" t="s">
        <v>63</v>
      </c>
      <c r="R67" s="358"/>
      <c r="S67" s="357" t="s">
        <v>63</v>
      </c>
      <c r="T67" s="358"/>
      <c r="U67" s="357" t="s">
        <v>63</v>
      </c>
      <c r="V67" s="358"/>
      <c r="W67" s="357" t="s">
        <v>63</v>
      </c>
      <c r="X67" s="358"/>
      <c r="Y67" s="357" t="s">
        <v>63</v>
      </c>
      <c r="Z67" s="358"/>
      <c r="AA67" s="357" t="s">
        <v>63</v>
      </c>
      <c r="AB67" s="378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03"/>
      <c r="B68" s="404"/>
      <c r="C68" s="151">
        <f>'Anexo capacidad operativa'!A37</f>
        <v>1</v>
      </c>
      <c r="D68" s="227" t="str">
        <f>'Anexo capacidad operativa'!B37</f>
        <v>Desarrollador</v>
      </c>
      <c r="E68" s="426" t="s">
        <v>63</v>
      </c>
      <c r="F68" s="358"/>
      <c r="G68" s="357" t="s">
        <v>63</v>
      </c>
      <c r="H68" s="358"/>
      <c r="I68" s="357" t="s">
        <v>63</v>
      </c>
      <c r="J68" s="358"/>
      <c r="K68" s="357" t="s">
        <v>63</v>
      </c>
      <c r="L68" s="358"/>
      <c r="M68" s="357" t="s">
        <v>63</v>
      </c>
      <c r="N68" s="358"/>
      <c r="O68" s="427" t="s">
        <v>170</v>
      </c>
      <c r="P68" s="428"/>
      <c r="Q68" s="357" t="s">
        <v>63</v>
      </c>
      <c r="R68" s="358"/>
      <c r="S68" s="357" t="s">
        <v>63</v>
      </c>
      <c r="T68" s="358"/>
      <c r="U68" s="357" t="s">
        <v>63</v>
      </c>
      <c r="V68" s="358"/>
      <c r="W68" s="357" t="s">
        <v>63</v>
      </c>
      <c r="X68" s="358"/>
      <c r="Y68" s="357" t="s">
        <v>63</v>
      </c>
      <c r="Z68" s="358"/>
      <c r="AA68" s="357" t="s">
        <v>63</v>
      </c>
      <c r="AB68" s="378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</row>
    <row r="69" spans="1:43" ht="15" customHeight="1" x14ac:dyDescent="0.25">
      <c r="A69" s="424" t="s">
        <v>65</v>
      </c>
      <c r="B69" s="425"/>
      <c r="C69" s="38">
        <v>2</v>
      </c>
      <c r="D69" s="39" t="s">
        <v>66</v>
      </c>
      <c r="E69" s="394" t="s">
        <v>63</v>
      </c>
      <c r="F69" s="377"/>
      <c r="G69" s="381" t="s">
        <v>63</v>
      </c>
      <c r="H69" s="326"/>
      <c r="I69" s="381" t="s">
        <v>63</v>
      </c>
      <c r="J69" s="326"/>
      <c r="K69" s="381" t="s">
        <v>63</v>
      </c>
      <c r="L69" s="326"/>
      <c r="M69" s="381" t="s">
        <v>63</v>
      </c>
      <c r="N69" s="326"/>
      <c r="O69" s="381" t="s">
        <v>63</v>
      </c>
      <c r="P69" s="326"/>
      <c r="Q69" s="381" t="s">
        <v>63</v>
      </c>
      <c r="R69" s="326"/>
      <c r="S69" s="381" t="s">
        <v>63</v>
      </c>
      <c r="T69" s="326"/>
      <c r="U69" s="381" t="s">
        <v>63</v>
      </c>
      <c r="V69" s="326"/>
      <c r="W69" s="381" t="s">
        <v>63</v>
      </c>
      <c r="X69" s="326"/>
      <c r="Y69" s="381" t="s">
        <v>63</v>
      </c>
      <c r="Z69" s="326"/>
      <c r="AA69" s="381" t="s">
        <v>63</v>
      </c>
      <c r="AB69" s="414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01"/>
      <c r="B70" s="402"/>
      <c r="C70" s="40">
        <v>1</v>
      </c>
      <c r="D70" s="41" t="s">
        <v>67</v>
      </c>
      <c r="E70" s="394" t="s">
        <v>63</v>
      </c>
      <c r="F70" s="377"/>
      <c r="G70" s="375" t="s">
        <v>63</v>
      </c>
      <c r="H70" s="377"/>
      <c r="I70" s="375" t="s">
        <v>63</v>
      </c>
      <c r="J70" s="377"/>
      <c r="K70" s="375" t="s">
        <v>63</v>
      </c>
      <c r="L70" s="377"/>
      <c r="M70" s="375" t="s">
        <v>63</v>
      </c>
      <c r="N70" s="377"/>
      <c r="O70" s="375" t="s">
        <v>63</v>
      </c>
      <c r="P70" s="377"/>
      <c r="Q70" s="375" t="s">
        <v>63</v>
      </c>
      <c r="R70" s="377"/>
      <c r="S70" s="375" t="s">
        <v>63</v>
      </c>
      <c r="T70" s="377"/>
      <c r="U70" s="375" t="s">
        <v>63</v>
      </c>
      <c r="V70" s="377"/>
      <c r="W70" s="375" t="s">
        <v>63</v>
      </c>
      <c r="X70" s="377"/>
      <c r="Y70" s="375" t="s">
        <v>63</v>
      </c>
      <c r="Z70" s="377"/>
      <c r="AA70" s="375" t="s">
        <v>63</v>
      </c>
      <c r="AB70" s="376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01"/>
      <c r="B71" s="402"/>
      <c r="C71" s="40">
        <v>1</v>
      </c>
      <c r="D71" s="41" t="s">
        <v>68</v>
      </c>
      <c r="E71" s="394" t="s">
        <v>63</v>
      </c>
      <c r="F71" s="377"/>
      <c r="G71" s="375" t="s">
        <v>63</v>
      </c>
      <c r="H71" s="377"/>
      <c r="I71" s="375" t="s">
        <v>63</v>
      </c>
      <c r="J71" s="377"/>
      <c r="K71" s="375" t="s">
        <v>63</v>
      </c>
      <c r="L71" s="377"/>
      <c r="M71" s="375" t="s">
        <v>63</v>
      </c>
      <c r="N71" s="377"/>
      <c r="O71" s="375" t="s">
        <v>63</v>
      </c>
      <c r="P71" s="377"/>
      <c r="Q71" s="375" t="s">
        <v>63</v>
      </c>
      <c r="R71" s="377"/>
      <c r="S71" s="375" t="s">
        <v>63</v>
      </c>
      <c r="T71" s="377"/>
      <c r="U71" s="375" t="s">
        <v>63</v>
      </c>
      <c r="V71" s="377"/>
      <c r="W71" s="375" t="s">
        <v>63</v>
      </c>
      <c r="X71" s="377"/>
      <c r="Y71" s="375" t="s">
        <v>63</v>
      </c>
      <c r="Z71" s="377"/>
      <c r="AA71" s="375" t="s">
        <v>63</v>
      </c>
      <c r="AB71" s="376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01"/>
      <c r="B72" s="402"/>
      <c r="C72" s="40">
        <v>1</v>
      </c>
      <c r="D72" s="41" t="s">
        <v>69</v>
      </c>
      <c r="E72" s="394" t="s">
        <v>63</v>
      </c>
      <c r="F72" s="377"/>
      <c r="G72" s="375" t="s">
        <v>63</v>
      </c>
      <c r="H72" s="377"/>
      <c r="I72" s="375" t="s">
        <v>63</v>
      </c>
      <c r="J72" s="377"/>
      <c r="K72" s="375" t="s">
        <v>63</v>
      </c>
      <c r="L72" s="377"/>
      <c r="M72" s="375" t="s">
        <v>63</v>
      </c>
      <c r="N72" s="377"/>
      <c r="O72" s="375" t="s">
        <v>63</v>
      </c>
      <c r="P72" s="377"/>
      <c r="Q72" s="375" t="s">
        <v>63</v>
      </c>
      <c r="R72" s="377"/>
      <c r="S72" s="375" t="s">
        <v>63</v>
      </c>
      <c r="T72" s="377"/>
      <c r="U72" s="375" t="s">
        <v>63</v>
      </c>
      <c r="V72" s="377"/>
      <c r="W72" s="375" t="s">
        <v>63</v>
      </c>
      <c r="X72" s="377"/>
      <c r="Y72" s="375" t="s">
        <v>63</v>
      </c>
      <c r="Z72" s="377"/>
      <c r="AA72" s="375" t="s">
        <v>63</v>
      </c>
      <c r="AB72" s="376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x14ac:dyDescent="0.25">
      <c r="A73" s="401"/>
      <c r="B73" s="402"/>
      <c r="C73" s="40">
        <v>1</v>
      </c>
      <c r="D73" s="41" t="s">
        <v>70</v>
      </c>
      <c r="E73" s="394" t="s">
        <v>63</v>
      </c>
      <c r="F73" s="377"/>
      <c r="G73" s="375" t="s">
        <v>63</v>
      </c>
      <c r="H73" s="377"/>
      <c r="I73" s="375" t="s">
        <v>63</v>
      </c>
      <c r="J73" s="377"/>
      <c r="K73" s="375" t="s">
        <v>63</v>
      </c>
      <c r="L73" s="377"/>
      <c r="M73" s="375" t="s">
        <v>63</v>
      </c>
      <c r="N73" s="377"/>
      <c r="O73" s="375" t="s">
        <v>63</v>
      </c>
      <c r="P73" s="377"/>
      <c r="Q73" s="375" t="s">
        <v>63</v>
      </c>
      <c r="R73" s="377"/>
      <c r="S73" s="375" t="s">
        <v>63</v>
      </c>
      <c r="T73" s="377"/>
      <c r="U73" s="375" t="s">
        <v>63</v>
      </c>
      <c r="V73" s="377"/>
      <c r="W73" s="375" t="s">
        <v>63</v>
      </c>
      <c r="X73" s="377"/>
      <c r="Y73" s="375" t="s">
        <v>63</v>
      </c>
      <c r="Z73" s="377"/>
      <c r="AA73" s="375" t="s">
        <v>63</v>
      </c>
      <c r="AB73" s="376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15" customHeight="1" thickBot="1" x14ac:dyDescent="0.3">
      <c r="A74" s="405"/>
      <c r="B74" s="406"/>
      <c r="C74" s="40">
        <v>2</v>
      </c>
      <c r="D74" s="41" t="s">
        <v>71</v>
      </c>
      <c r="E74" s="427" t="s">
        <v>170</v>
      </c>
      <c r="F74" s="428"/>
      <c r="G74" s="375" t="s">
        <v>63</v>
      </c>
      <c r="H74" s="377"/>
      <c r="I74" s="375" t="s">
        <v>63</v>
      </c>
      <c r="J74" s="377"/>
      <c r="K74" s="375" t="s">
        <v>63</v>
      </c>
      <c r="L74" s="377"/>
      <c r="M74" s="375" t="s">
        <v>63</v>
      </c>
      <c r="N74" s="377"/>
      <c r="O74" s="375" t="s">
        <v>63</v>
      </c>
      <c r="P74" s="377"/>
      <c r="Q74" s="375" t="s">
        <v>63</v>
      </c>
      <c r="R74" s="377"/>
      <c r="S74" s="375" t="s">
        <v>63</v>
      </c>
      <c r="T74" s="377"/>
      <c r="U74" s="375" t="s">
        <v>63</v>
      </c>
      <c r="V74" s="377"/>
      <c r="W74" s="375" t="s">
        <v>63</v>
      </c>
      <c r="X74" s="377"/>
      <c r="Y74" s="375" t="s">
        <v>63</v>
      </c>
      <c r="Z74" s="377"/>
      <c r="AA74" s="375" t="s">
        <v>63</v>
      </c>
      <c r="AB74" s="376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28.5" customHeight="1" thickBot="1" x14ac:dyDescent="0.3">
      <c r="A75" s="578" t="s">
        <v>72</v>
      </c>
      <c r="B75" s="579"/>
      <c r="C75" s="38">
        <f>SUM(C63:C68)</f>
        <v>6</v>
      </c>
      <c r="D75" s="213" t="s">
        <v>175</v>
      </c>
      <c r="E75" s="375" t="s">
        <v>63</v>
      </c>
      <c r="F75" s="377"/>
      <c r="G75" s="375" t="s">
        <v>63</v>
      </c>
      <c r="H75" s="377"/>
      <c r="I75" s="375" t="s">
        <v>63</v>
      </c>
      <c r="J75" s="377"/>
      <c r="K75" s="375" t="s">
        <v>63</v>
      </c>
      <c r="L75" s="377"/>
      <c r="M75" s="375" t="s">
        <v>63</v>
      </c>
      <c r="N75" s="377"/>
      <c r="O75" s="427" t="s">
        <v>170</v>
      </c>
      <c r="P75" s="428"/>
      <c r="Q75" s="375" t="s">
        <v>63</v>
      </c>
      <c r="R75" s="377"/>
      <c r="S75" s="375" t="s">
        <v>63</v>
      </c>
      <c r="T75" s="377"/>
      <c r="U75" s="375" t="s">
        <v>63</v>
      </c>
      <c r="V75" s="377"/>
      <c r="W75" s="375" t="s">
        <v>63</v>
      </c>
      <c r="X75" s="377"/>
      <c r="Y75" s="375" t="s">
        <v>63</v>
      </c>
      <c r="Z75" s="377"/>
      <c r="AA75" s="375" t="s">
        <v>63</v>
      </c>
      <c r="AB75" s="376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15.75" customHeight="1" x14ac:dyDescent="0.25">
      <c r="A76" s="42"/>
      <c r="B76" s="42"/>
      <c r="C76" s="32"/>
      <c r="D76" s="3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ht="9" customHeight="1" thickBot="1" x14ac:dyDescent="0.3">
      <c r="A77" s="44"/>
      <c r="B77" s="44"/>
      <c r="C77" s="46"/>
      <c r="D77" s="46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</row>
    <row r="78" spans="1:43" ht="27" thickBot="1" x14ac:dyDescent="0.45">
      <c r="A78" s="420" t="s">
        <v>217</v>
      </c>
      <c r="B78" s="420"/>
      <c r="C78" s="420"/>
      <c r="D78" s="420"/>
      <c r="E78" s="420"/>
      <c r="F78" s="420"/>
      <c r="G78" s="420"/>
      <c r="H78" s="420"/>
      <c r="I78" s="420"/>
      <c r="J78" s="420"/>
      <c r="K78" s="420"/>
      <c r="L78" s="420"/>
      <c r="M78" s="420"/>
      <c r="N78" s="420"/>
      <c r="O78" s="420"/>
      <c r="P78" s="420"/>
      <c r="Q78" s="420"/>
      <c r="R78" s="420"/>
      <c r="S78" s="420"/>
      <c r="T78" s="420"/>
      <c r="U78" s="420"/>
      <c r="V78" s="420"/>
      <c r="W78" s="420"/>
      <c r="X78" s="420"/>
      <c r="Y78" s="420"/>
      <c r="Z78" s="420"/>
      <c r="AA78" s="420"/>
      <c r="AB78" s="420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392" t="s">
        <v>210</v>
      </c>
      <c r="B79" s="392" t="s">
        <v>35</v>
      </c>
      <c r="C79" s="392" t="s">
        <v>41</v>
      </c>
      <c r="D79" s="380"/>
      <c r="E79" s="391" t="s">
        <v>42</v>
      </c>
      <c r="F79" s="380"/>
      <c r="G79" s="391" t="s">
        <v>43</v>
      </c>
      <c r="H79" s="380"/>
      <c r="I79" s="391" t="s">
        <v>44</v>
      </c>
      <c r="J79" s="380"/>
      <c r="K79" s="391" t="s">
        <v>45</v>
      </c>
      <c r="L79" s="380"/>
      <c r="M79" s="391" t="s">
        <v>46</v>
      </c>
      <c r="N79" s="380"/>
      <c r="O79" s="391" t="s">
        <v>47</v>
      </c>
      <c r="P79" s="380"/>
      <c r="Q79" s="391" t="s">
        <v>48</v>
      </c>
      <c r="R79" s="380"/>
      <c r="S79" s="391" t="s">
        <v>49</v>
      </c>
      <c r="T79" s="380"/>
      <c r="U79" s="391" t="s">
        <v>50</v>
      </c>
      <c r="V79" s="380"/>
      <c r="W79" s="391" t="s">
        <v>51</v>
      </c>
      <c r="X79" s="380"/>
      <c r="Y79" s="391" t="s">
        <v>52</v>
      </c>
      <c r="Z79" s="380"/>
      <c r="AA79" s="391" t="s">
        <v>53</v>
      </c>
      <c r="AB79" s="380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16"/>
      <c r="B80" s="416"/>
      <c r="C80" s="392" t="s">
        <v>55</v>
      </c>
      <c r="D80" s="392" t="s">
        <v>54</v>
      </c>
      <c r="E80" s="379">
        <v>0.05</v>
      </c>
      <c r="F80" s="380"/>
      <c r="G80" s="379">
        <v>0.05</v>
      </c>
      <c r="H80" s="379"/>
      <c r="I80" s="379">
        <v>0.05</v>
      </c>
      <c r="J80" s="380"/>
      <c r="K80" s="379">
        <v>7.0000000000000007E-2</v>
      </c>
      <c r="L80" s="379"/>
      <c r="M80" s="379">
        <v>0.1</v>
      </c>
      <c r="N80" s="380"/>
      <c r="O80" s="379">
        <v>0.15</v>
      </c>
      <c r="P80" s="379"/>
      <c r="Q80" s="379">
        <v>7.0000000000000007E-2</v>
      </c>
      <c r="R80" s="380"/>
      <c r="S80" s="379">
        <v>7.0000000000000007E-2</v>
      </c>
      <c r="T80" s="379"/>
      <c r="U80" s="379">
        <v>7.0000000000000007E-2</v>
      </c>
      <c r="V80" s="380"/>
      <c r="W80" s="379">
        <v>7.0000000000000007E-2</v>
      </c>
      <c r="X80" s="379"/>
      <c r="Y80" s="379">
        <v>0.1</v>
      </c>
      <c r="Z80" s="380"/>
      <c r="AA80" s="379">
        <v>0.15</v>
      </c>
      <c r="AB80" s="379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416"/>
      <c r="B81" s="416"/>
      <c r="C81" s="380"/>
      <c r="D81" s="380"/>
      <c r="E81" s="239" t="s">
        <v>55</v>
      </c>
      <c r="F81" s="239" t="s">
        <v>54</v>
      </c>
      <c r="G81" s="239" t="s">
        <v>55</v>
      </c>
      <c r="H81" s="239" t="s">
        <v>54</v>
      </c>
      <c r="I81" s="239" t="s">
        <v>55</v>
      </c>
      <c r="J81" s="239" t="s">
        <v>54</v>
      </c>
      <c r="K81" s="239" t="s">
        <v>55</v>
      </c>
      <c r="L81" s="239" t="s">
        <v>54</v>
      </c>
      <c r="M81" s="239" t="s">
        <v>55</v>
      </c>
      <c r="N81" s="239" t="s">
        <v>54</v>
      </c>
      <c r="O81" s="239" t="s">
        <v>55</v>
      </c>
      <c r="P81" s="239" t="s">
        <v>54</v>
      </c>
      <c r="Q81" s="239" t="s">
        <v>55</v>
      </c>
      <c r="R81" s="239" t="s">
        <v>54</v>
      </c>
      <c r="S81" s="239" t="s">
        <v>55</v>
      </c>
      <c r="T81" s="239" t="s">
        <v>54</v>
      </c>
      <c r="U81" s="239" t="s">
        <v>55</v>
      </c>
      <c r="V81" s="239" t="s">
        <v>54</v>
      </c>
      <c r="W81" s="239" t="s">
        <v>55</v>
      </c>
      <c r="X81" s="239" t="s">
        <v>54</v>
      </c>
      <c r="Y81" s="239" t="s">
        <v>55</v>
      </c>
      <c r="Z81" s="239" t="s">
        <v>54</v>
      </c>
      <c r="AA81" s="239" t="s">
        <v>55</v>
      </c>
      <c r="AB81" s="239" t="s">
        <v>54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240" t="s">
        <v>205</v>
      </c>
      <c r="B82" s="241">
        <f>B52</f>
        <v>100000</v>
      </c>
      <c r="C82" s="275">
        <f>E82+G82+I82+K82+M82+O82+Q82+S82+U82+W82+Y82+AA82</f>
        <v>8</v>
      </c>
      <c r="D82" s="274">
        <f>B82*C82</f>
        <v>800000</v>
      </c>
      <c r="E82" s="276">
        <v>0</v>
      </c>
      <c r="F82" s="274">
        <f>B82*E82</f>
        <v>0</v>
      </c>
      <c r="G82" s="276">
        <v>0</v>
      </c>
      <c r="H82" s="274">
        <f>B82*G82</f>
        <v>0</v>
      </c>
      <c r="I82" s="276">
        <v>0</v>
      </c>
      <c r="J82" s="274">
        <f t="shared" ref="J82:J84" si="29">F82*I82</f>
        <v>0</v>
      </c>
      <c r="K82" s="276"/>
      <c r="L82" s="274">
        <f>K82*B82</f>
        <v>0</v>
      </c>
      <c r="M82" s="276">
        <v>1</v>
      </c>
      <c r="N82" s="274">
        <f>M82*B82</f>
        <v>100000</v>
      </c>
      <c r="O82" s="276">
        <v>1</v>
      </c>
      <c r="P82" s="274">
        <f>O82*B82</f>
        <v>100000</v>
      </c>
      <c r="Q82" s="276">
        <v>1</v>
      </c>
      <c r="R82" s="274">
        <f t="shared" ref="R82" si="30">N82*Q82</f>
        <v>100000</v>
      </c>
      <c r="S82" s="276">
        <v>1</v>
      </c>
      <c r="T82" s="274">
        <f>S82*B82</f>
        <v>100000</v>
      </c>
      <c r="U82" s="276">
        <v>1</v>
      </c>
      <c r="V82" s="274">
        <f t="shared" ref="V82:V84" si="31">R82*U82</f>
        <v>100000</v>
      </c>
      <c r="W82" s="276">
        <v>1</v>
      </c>
      <c r="X82" s="274">
        <f t="shared" ref="X82:X84" si="32">R82*W82</f>
        <v>100000</v>
      </c>
      <c r="Y82" s="276">
        <v>1</v>
      </c>
      <c r="Z82" s="274">
        <f t="shared" ref="Z82:Z84" si="33">V82*Y82</f>
        <v>100000</v>
      </c>
      <c r="AA82" s="276">
        <v>1</v>
      </c>
      <c r="AB82" s="274">
        <f t="shared" ref="AB82:AB84" si="34">V82*AA82</f>
        <v>100000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242" t="s">
        <v>206</v>
      </c>
      <c r="B83" s="243">
        <f>Hipótesis!C40</f>
        <v>90000</v>
      </c>
      <c r="C83" s="278">
        <f>E83+G83+I83+K83+M83+O83+Q83+S83+U83+W83+Y83+AA83</f>
        <v>15</v>
      </c>
      <c r="D83" s="277">
        <f>B83*C83</f>
        <v>1350000</v>
      </c>
      <c r="E83" s="278">
        <v>0</v>
      </c>
      <c r="F83" s="279">
        <f>B83*E83</f>
        <v>0</v>
      </c>
      <c r="G83" s="278"/>
      <c r="H83" s="279">
        <f>B83*G83</f>
        <v>0</v>
      </c>
      <c r="I83" s="278"/>
      <c r="J83" s="279">
        <f t="shared" si="29"/>
        <v>0</v>
      </c>
      <c r="K83" s="278">
        <v>1</v>
      </c>
      <c r="L83" s="279">
        <f>K83*$B$83</f>
        <v>90000</v>
      </c>
      <c r="M83" s="278">
        <v>2</v>
      </c>
      <c r="N83" s="279">
        <f t="shared" ref="N83:P83" si="35">M83*$B$83</f>
        <v>180000</v>
      </c>
      <c r="O83" s="278">
        <v>3</v>
      </c>
      <c r="P83" s="279">
        <f t="shared" si="35"/>
        <v>270000</v>
      </c>
      <c r="Q83" s="278">
        <v>1</v>
      </c>
      <c r="R83" s="279">
        <f>Q83*B83</f>
        <v>90000</v>
      </c>
      <c r="S83" s="278">
        <v>1</v>
      </c>
      <c r="T83" s="279">
        <f>B83*S83</f>
        <v>90000</v>
      </c>
      <c r="U83" s="278">
        <v>1</v>
      </c>
      <c r="V83" s="279">
        <f t="shared" si="31"/>
        <v>90000</v>
      </c>
      <c r="W83" s="278">
        <v>1</v>
      </c>
      <c r="X83" s="279">
        <f t="shared" si="32"/>
        <v>90000</v>
      </c>
      <c r="Y83" s="278">
        <v>2</v>
      </c>
      <c r="Z83" s="279">
        <f t="shared" si="33"/>
        <v>180000</v>
      </c>
      <c r="AA83" s="278">
        <v>3</v>
      </c>
      <c r="AB83" s="279">
        <f t="shared" si="34"/>
        <v>270000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5.75" customHeight="1" thickBot="1" x14ac:dyDescent="0.3">
      <c r="A84" s="244" t="s">
        <v>37</v>
      </c>
      <c r="B84" s="245">
        <f>Hipótesis!C41</f>
        <v>100000</v>
      </c>
      <c r="C84" s="281">
        <f>E84+G84+I84+K84+M84+O84+Q84+S84+U84+W84+Y84+AA84</f>
        <v>14</v>
      </c>
      <c r="D84" s="280">
        <f>B84*C84</f>
        <v>1400000</v>
      </c>
      <c r="E84" s="282">
        <v>1</v>
      </c>
      <c r="F84" s="283">
        <f>B84*E84</f>
        <v>100000</v>
      </c>
      <c r="G84" s="282">
        <v>1</v>
      </c>
      <c r="H84" s="283">
        <f>B84*G84</f>
        <v>100000</v>
      </c>
      <c r="I84" s="282">
        <v>1</v>
      </c>
      <c r="J84" s="283">
        <f t="shared" si="29"/>
        <v>100000</v>
      </c>
      <c r="K84" s="282">
        <v>1</v>
      </c>
      <c r="L84" s="283">
        <f t="shared" ref="L84" si="36">F84*K84</f>
        <v>100000</v>
      </c>
      <c r="M84" s="282">
        <v>1</v>
      </c>
      <c r="N84" s="283">
        <f t="shared" ref="N84" si="37">J84*M84</f>
        <v>100000</v>
      </c>
      <c r="O84" s="282">
        <v>2</v>
      </c>
      <c r="P84" s="283">
        <f t="shared" ref="P84" si="38">J84*O84</f>
        <v>200000</v>
      </c>
      <c r="Q84" s="282">
        <v>1</v>
      </c>
      <c r="R84" s="283">
        <f t="shared" ref="R84" si="39">N84*Q84</f>
        <v>100000</v>
      </c>
      <c r="S84" s="282">
        <v>1</v>
      </c>
      <c r="T84" s="283">
        <f t="shared" ref="T84" si="40">N84*S84</f>
        <v>100000</v>
      </c>
      <c r="U84" s="282">
        <v>1</v>
      </c>
      <c r="V84" s="283">
        <f t="shared" si="31"/>
        <v>100000</v>
      </c>
      <c r="W84" s="282">
        <v>1</v>
      </c>
      <c r="X84" s="283">
        <f t="shared" si="32"/>
        <v>100000</v>
      </c>
      <c r="Y84" s="282">
        <v>1</v>
      </c>
      <c r="Z84" s="283">
        <f t="shared" si="33"/>
        <v>100000</v>
      </c>
      <c r="AA84" s="282">
        <v>2</v>
      </c>
      <c r="AB84" s="283">
        <f t="shared" si="34"/>
        <v>200000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15" t="s">
        <v>56</v>
      </c>
      <c r="B85" s="416"/>
      <c r="C85" s="311">
        <f t="shared" ref="C85:J85" si="41">SUM(C82:C84)</f>
        <v>37</v>
      </c>
      <c r="D85" s="312">
        <f t="shared" si="41"/>
        <v>3550000</v>
      </c>
      <c r="E85" s="310">
        <f t="shared" si="41"/>
        <v>1</v>
      </c>
      <c r="F85" s="312">
        <f t="shared" si="41"/>
        <v>100000</v>
      </c>
      <c r="G85" s="310">
        <f t="shared" si="41"/>
        <v>1</v>
      </c>
      <c r="H85" s="312">
        <f t="shared" si="41"/>
        <v>100000</v>
      </c>
      <c r="I85" s="310">
        <f t="shared" si="41"/>
        <v>1</v>
      </c>
      <c r="J85" s="312">
        <f t="shared" si="41"/>
        <v>100000</v>
      </c>
      <c r="K85" s="310">
        <f t="shared" ref="K85:Z85" si="42">SUM(K82:K84)</f>
        <v>2</v>
      </c>
      <c r="L85" s="312">
        <f t="shared" si="42"/>
        <v>190000</v>
      </c>
      <c r="M85" s="310">
        <f t="shared" si="42"/>
        <v>4</v>
      </c>
      <c r="N85" s="312">
        <f t="shared" si="42"/>
        <v>380000</v>
      </c>
      <c r="O85" s="310">
        <f t="shared" si="42"/>
        <v>6</v>
      </c>
      <c r="P85" s="312">
        <f t="shared" si="42"/>
        <v>570000</v>
      </c>
      <c r="Q85" s="310">
        <f t="shared" si="42"/>
        <v>3</v>
      </c>
      <c r="R85" s="312">
        <f t="shared" si="42"/>
        <v>290000</v>
      </c>
      <c r="S85" s="310">
        <f t="shared" si="42"/>
        <v>3</v>
      </c>
      <c r="T85" s="312">
        <f t="shared" si="42"/>
        <v>290000</v>
      </c>
      <c r="U85" s="310">
        <f t="shared" si="42"/>
        <v>3</v>
      </c>
      <c r="V85" s="312">
        <f t="shared" si="42"/>
        <v>290000</v>
      </c>
      <c r="W85" s="310">
        <f t="shared" si="42"/>
        <v>3</v>
      </c>
      <c r="X85" s="312">
        <f t="shared" si="42"/>
        <v>290000</v>
      </c>
      <c r="Y85" s="310">
        <f t="shared" si="42"/>
        <v>4</v>
      </c>
      <c r="Z85" s="312">
        <f t="shared" si="42"/>
        <v>380000</v>
      </c>
      <c r="AA85" s="310">
        <f>SUM(AA82:AA84)</f>
        <v>6</v>
      </c>
      <c r="AB85" s="312">
        <f t="shared" ref="AB85" si="43">SUM(AB82:AB84)</f>
        <v>570000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ht="16.5" thickBot="1" x14ac:dyDescent="0.3">
      <c r="A86" s="365" t="s">
        <v>220</v>
      </c>
      <c r="B86" s="366"/>
      <c r="C86" s="367"/>
      <c r="D86" s="287">
        <f t="shared" ref="D86:D88" si="44">SUM(F86+H86+J86+L86+N86+P86+R86+T86+V86+X86+Z86+AB86)</f>
        <v>24400000</v>
      </c>
      <c r="E86" s="288">
        <f>E82+AA54</f>
        <v>17</v>
      </c>
      <c r="F86" s="289">
        <f>E86*$B$82</f>
        <v>1700000</v>
      </c>
      <c r="G86" s="288">
        <f>G82+E86</f>
        <v>17</v>
      </c>
      <c r="H86" s="289">
        <f t="shared" ref="H86" si="45">(G86+G82)*$B$82</f>
        <v>1700000</v>
      </c>
      <c r="I86" s="288">
        <f t="shared" ref="I86:I88" si="46">I82+G86</f>
        <v>17</v>
      </c>
      <c r="J86" s="289">
        <f t="shared" ref="J86" si="47">(I86+I82)*$B$82</f>
        <v>1700000</v>
      </c>
      <c r="K86" s="288">
        <f t="shared" ref="K86:K88" si="48">K82+I86</f>
        <v>17</v>
      </c>
      <c r="L86" s="289">
        <f t="shared" ref="L86" si="49">(K86+K82)*$B$82</f>
        <v>1700000</v>
      </c>
      <c r="M86" s="288">
        <f t="shared" ref="M86:M88" si="50">M82+K86</f>
        <v>18</v>
      </c>
      <c r="N86" s="289">
        <f>M86*$B$82</f>
        <v>1800000</v>
      </c>
      <c r="O86" s="288">
        <f t="shared" ref="O86" si="51">O82+M86</f>
        <v>19</v>
      </c>
      <c r="P86" s="289">
        <f t="shared" ref="P86:AB86" si="52">(O86+O82)*$B$82</f>
        <v>2000000</v>
      </c>
      <c r="Q86" s="288">
        <f t="shared" ref="Q86" si="53">Q82+O86</f>
        <v>20</v>
      </c>
      <c r="R86" s="289">
        <f t="shared" ref="R86:AB86" si="54">Q86*$B$82</f>
        <v>2000000</v>
      </c>
      <c r="S86" s="288">
        <f t="shared" ref="S86" si="55">S82+Q86</f>
        <v>21</v>
      </c>
      <c r="T86" s="289">
        <f t="shared" si="52"/>
        <v>2200000</v>
      </c>
      <c r="U86" s="288">
        <f t="shared" ref="U86" si="56">U82+S86</f>
        <v>22</v>
      </c>
      <c r="V86" s="289">
        <f t="shared" ref="V86:AB86" si="57">U86*$B$82</f>
        <v>2200000</v>
      </c>
      <c r="W86" s="288">
        <f t="shared" ref="W86" si="58">W82+U86</f>
        <v>23</v>
      </c>
      <c r="X86" s="289">
        <f t="shared" si="52"/>
        <v>2400000</v>
      </c>
      <c r="Y86" s="288">
        <f t="shared" ref="Y86" si="59">Y82+W86</f>
        <v>24</v>
      </c>
      <c r="Z86" s="289">
        <f t="shared" ref="Z86:AB86" si="60">Y86*$B$82</f>
        <v>2400000</v>
      </c>
      <c r="AA86" s="288">
        <f t="shared" ref="AA86" si="61">AA82+Y86</f>
        <v>25</v>
      </c>
      <c r="AB86" s="289">
        <f t="shared" si="52"/>
        <v>2600000</v>
      </c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  <c r="AN86" s="144"/>
      <c r="AO86" s="144"/>
      <c r="AP86" s="144"/>
      <c r="AQ86" s="144"/>
    </row>
    <row r="87" spans="1:43" ht="16.5" thickBot="1" x14ac:dyDescent="0.3">
      <c r="A87" s="368" t="s">
        <v>221</v>
      </c>
      <c r="B87" s="369"/>
      <c r="C87" s="370"/>
      <c r="D87" s="291">
        <f t="shared" si="44"/>
        <v>40140000</v>
      </c>
      <c r="E87" s="292">
        <f>E83+AA55</f>
        <v>30</v>
      </c>
      <c r="F87" s="293">
        <f>E87*B83</f>
        <v>2700000</v>
      </c>
      <c r="G87" s="292">
        <f>G83+E87</f>
        <v>30</v>
      </c>
      <c r="H87" s="293">
        <f>(G87+G83)*$B$83</f>
        <v>2700000</v>
      </c>
      <c r="I87" s="292">
        <f t="shared" si="46"/>
        <v>30</v>
      </c>
      <c r="J87" s="293">
        <f t="shared" ref="J87:AB87" si="62">(I87+I83)*$B$83</f>
        <v>2700000</v>
      </c>
      <c r="K87" s="292">
        <f t="shared" si="48"/>
        <v>31</v>
      </c>
      <c r="L87" s="293">
        <f t="shared" ref="L87:AB87" si="63">(K87+K83)*$B$83</f>
        <v>2880000</v>
      </c>
      <c r="M87" s="292">
        <f t="shared" si="50"/>
        <v>33</v>
      </c>
      <c r="N87" s="293">
        <f t="shared" ref="N87:AB87" si="64">(M87+M83)*$B$83</f>
        <v>3150000</v>
      </c>
      <c r="O87" s="292">
        <f t="shared" ref="O87:O88" si="65">O83+M87</f>
        <v>36</v>
      </c>
      <c r="P87" s="293">
        <f t="shared" ref="P87:AB87" si="66">(O87+O83)*$B$83</f>
        <v>3510000</v>
      </c>
      <c r="Q87" s="292">
        <f t="shared" ref="Q87:Q88" si="67">Q83+O87</f>
        <v>37</v>
      </c>
      <c r="R87" s="293">
        <f t="shared" ref="R87:AB87" si="68">(Q87+Q83)*$B$83</f>
        <v>3420000</v>
      </c>
      <c r="S87" s="292">
        <f t="shared" ref="S87:S88" si="69">S83+Q87</f>
        <v>38</v>
      </c>
      <c r="T87" s="293">
        <f t="shared" ref="T87:AB87" si="70">(S87+S83)*$B$83</f>
        <v>3510000</v>
      </c>
      <c r="U87" s="292">
        <f t="shared" ref="U87:U88" si="71">U83+S87</f>
        <v>39</v>
      </c>
      <c r="V87" s="293">
        <f t="shared" ref="V87:AB87" si="72">(U87+U83)*$B$83</f>
        <v>3600000</v>
      </c>
      <c r="W87" s="292">
        <f t="shared" ref="W87:W88" si="73">W83+U87</f>
        <v>40</v>
      </c>
      <c r="X87" s="293">
        <f t="shared" ref="X87:AB87" si="74">(W87+W83)*$B$83</f>
        <v>3690000</v>
      </c>
      <c r="Y87" s="292">
        <f t="shared" ref="Y87:Y88" si="75">Y83+W87</f>
        <v>42</v>
      </c>
      <c r="Z87" s="293">
        <f t="shared" ref="Z87:AB87" si="76">(Y87+Y83)*$B$83</f>
        <v>3960000</v>
      </c>
      <c r="AA87" s="292">
        <f t="shared" ref="AA87:AA88" si="77">AA83+Y87</f>
        <v>45</v>
      </c>
      <c r="AB87" s="293">
        <f t="shared" ref="AB87" si="78">(AA87+AA83)*$B$83</f>
        <v>4320000</v>
      </c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  <c r="AN87" s="144"/>
      <c r="AO87" s="144"/>
      <c r="AP87" s="144"/>
      <c r="AQ87" s="144"/>
    </row>
    <row r="88" spans="1:43" ht="16.5" thickBot="1" x14ac:dyDescent="0.3">
      <c r="A88" s="371" t="s">
        <v>222</v>
      </c>
      <c r="B88" s="372"/>
      <c r="C88" s="373"/>
      <c r="D88" s="295">
        <f t="shared" si="44"/>
        <v>41000000</v>
      </c>
      <c r="E88" s="296">
        <f>E84+AA56</f>
        <v>28</v>
      </c>
      <c r="F88" s="297">
        <f>E88*$B$84</f>
        <v>2800000</v>
      </c>
      <c r="G88" s="296">
        <f>G84+E88</f>
        <v>29</v>
      </c>
      <c r="H88" s="297">
        <f>G88*$B$84</f>
        <v>2900000</v>
      </c>
      <c r="I88" s="296">
        <f t="shared" si="46"/>
        <v>30</v>
      </c>
      <c r="J88" s="297">
        <f t="shared" ref="J88:AB88" si="79">I88*$B$84</f>
        <v>3000000</v>
      </c>
      <c r="K88" s="296">
        <f t="shared" si="48"/>
        <v>31</v>
      </c>
      <c r="L88" s="297">
        <f t="shared" ref="L88:AB88" si="80">K88*$B$84</f>
        <v>3100000</v>
      </c>
      <c r="M88" s="296">
        <f t="shared" si="50"/>
        <v>32</v>
      </c>
      <c r="N88" s="297">
        <f t="shared" ref="N88:AB88" si="81">M88*$B$84</f>
        <v>3200000</v>
      </c>
      <c r="O88" s="296">
        <f t="shared" si="65"/>
        <v>34</v>
      </c>
      <c r="P88" s="297">
        <f t="shared" ref="P88:AB88" si="82">O88*$B$84</f>
        <v>3400000</v>
      </c>
      <c r="Q88" s="296">
        <f t="shared" si="67"/>
        <v>35</v>
      </c>
      <c r="R88" s="297">
        <f t="shared" ref="R88:AB88" si="83">Q88*$B$84</f>
        <v>3500000</v>
      </c>
      <c r="S88" s="296">
        <f t="shared" si="69"/>
        <v>36</v>
      </c>
      <c r="T88" s="297">
        <f t="shared" ref="T88:AB88" si="84">S88*$B$84</f>
        <v>3600000</v>
      </c>
      <c r="U88" s="296">
        <f t="shared" si="71"/>
        <v>37</v>
      </c>
      <c r="V88" s="297">
        <f t="shared" ref="V88:AB88" si="85">U88*$B$84</f>
        <v>3700000</v>
      </c>
      <c r="W88" s="296">
        <f t="shared" si="73"/>
        <v>38</v>
      </c>
      <c r="X88" s="297">
        <f t="shared" ref="X88:AB88" si="86">W88*$B$84</f>
        <v>3800000</v>
      </c>
      <c r="Y88" s="296">
        <f t="shared" si="75"/>
        <v>39</v>
      </c>
      <c r="Z88" s="297">
        <f t="shared" ref="Z88:AB88" si="87">Y88*$B$84</f>
        <v>3900000</v>
      </c>
      <c r="AA88" s="296">
        <f t="shared" si="77"/>
        <v>41</v>
      </c>
      <c r="AB88" s="297">
        <f t="shared" ref="AB88" si="88">AA88*$B$84</f>
        <v>4100000</v>
      </c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</row>
    <row r="89" spans="1:43" ht="15.75" customHeight="1" thickBot="1" x14ac:dyDescent="0.3">
      <c r="A89" s="417" t="s">
        <v>169</v>
      </c>
      <c r="B89" s="418"/>
      <c r="C89" s="299">
        <f>C85+C57</f>
        <v>115</v>
      </c>
      <c r="D89" s="300">
        <f>SUM(F89+H89+J89+L89+N89+P89+R89+T89+V89+X89+Z89+AB89)</f>
        <v>104150000</v>
      </c>
      <c r="E89" s="301">
        <f>SUM(E86:E88)</f>
        <v>75</v>
      </c>
      <c r="F89" s="302">
        <f>F85+AB57</f>
        <v>7230000</v>
      </c>
      <c r="G89" s="301">
        <f>SUM(G86:G88)</f>
        <v>76</v>
      </c>
      <c r="H89" s="302">
        <f>F89+H85</f>
        <v>7330000</v>
      </c>
      <c r="I89" s="301">
        <f t="shared" ref="I89" si="89">SUM(I86:I88)</f>
        <v>77</v>
      </c>
      <c r="J89" s="302">
        <f t="shared" ref="J89" si="90">H89+J85</f>
        <v>7430000</v>
      </c>
      <c r="K89" s="301">
        <f t="shared" ref="K89" si="91">SUM(K86:K88)</f>
        <v>79</v>
      </c>
      <c r="L89" s="302">
        <f t="shared" ref="L89" si="92">J89+L85</f>
        <v>7620000</v>
      </c>
      <c r="M89" s="301">
        <f t="shared" ref="M89" si="93">SUM(M86:M88)</f>
        <v>83</v>
      </c>
      <c r="N89" s="302">
        <f t="shared" ref="N89" si="94">L89+N85</f>
        <v>8000000</v>
      </c>
      <c r="O89" s="301">
        <f t="shared" ref="O89" si="95">SUM(O86:O88)</f>
        <v>89</v>
      </c>
      <c r="P89" s="302">
        <f t="shared" ref="P89" si="96">N89+P85</f>
        <v>8570000</v>
      </c>
      <c r="Q89" s="301">
        <f t="shared" ref="Q89" si="97">SUM(Q86:Q88)</f>
        <v>92</v>
      </c>
      <c r="R89" s="302">
        <f t="shared" ref="R89" si="98">P89+R85</f>
        <v>8860000</v>
      </c>
      <c r="S89" s="301">
        <f t="shared" ref="S89" si="99">SUM(S86:S88)</f>
        <v>95</v>
      </c>
      <c r="T89" s="302">
        <f t="shared" ref="T89" si="100">R89+T85</f>
        <v>9150000</v>
      </c>
      <c r="U89" s="301">
        <f t="shared" ref="U89" si="101">SUM(U86:U88)</f>
        <v>98</v>
      </c>
      <c r="V89" s="302">
        <f t="shared" ref="V89" si="102">T89+V85</f>
        <v>9440000</v>
      </c>
      <c r="W89" s="301">
        <f t="shared" ref="W89" si="103">SUM(W86:W88)</f>
        <v>101</v>
      </c>
      <c r="X89" s="302">
        <f t="shared" ref="X89" si="104">V89+X85</f>
        <v>9730000</v>
      </c>
      <c r="Y89" s="301">
        <f t="shared" ref="Y89" si="105">SUM(Y86:Y88)</f>
        <v>105</v>
      </c>
      <c r="Z89" s="302">
        <f t="shared" ref="Z89" si="106">X89+Z85</f>
        <v>10110000</v>
      </c>
      <c r="AA89" s="301">
        <f t="shared" ref="AA89" si="107">SUM(AA86:AA88)</f>
        <v>111</v>
      </c>
      <c r="AB89" s="302">
        <f t="shared" ref="AB89" si="108">Z89+AB85</f>
        <v>10680000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15.75" thickBot="1" x14ac:dyDescent="0.3">
      <c r="A90" s="1"/>
      <c r="B90" s="1"/>
      <c r="C90" s="1"/>
      <c r="D90" s="31"/>
      <c r="E90" s="31"/>
      <c r="F90" s="3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27" thickBot="1" x14ac:dyDescent="0.45">
      <c r="A91" s="420" t="s">
        <v>218</v>
      </c>
      <c r="B91" s="420"/>
      <c r="C91" s="420"/>
      <c r="D91" s="420"/>
      <c r="E91" s="420"/>
      <c r="F91" s="420"/>
      <c r="G91" s="420"/>
      <c r="H91" s="420"/>
      <c r="I91" s="420"/>
      <c r="J91" s="420"/>
      <c r="K91" s="420"/>
      <c r="L91" s="420"/>
      <c r="M91" s="420"/>
      <c r="N91" s="420"/>
      <c r="O91" s="420"/>
      <c r="P91" s="420"/>
      <c r="Q91" s="420"/>
      <c r="R91" s="420"/>
      <c r="S91" s="420"/>
      <c r="T91" s="420"/>
      <c r="U91" s="420"/>
      <c r="V91" s="420"/>
      <c r="W91" s="420"/>
      <c r="X91" s="420"/>
      <c r="Y91" s="420"/>
      <c r="Z91" s="420"/>
      <c r="AA91" s="420"/>
      <c r="AB91" s="420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152.25" customHeight="1" thickBot="1" x14ac:dyDescent="0.3">
      <c r="A92" s="219" t="s">
        <v>57</v>
      </c>
      <c r="B92" s="421" t="s">
        <v>242</v>
      </c>
      <c r="C92" s="421"/>
      <c r="D92" s="421"/>
      <c r="E92" s="421"/>
      <c r="F92" s="421"/>
      <c r="G92" s="421"/>
      <c r="H92" s="421"/>
      <c r="I92" s="421"/>
      <c r="J92" s="421"/>
      <c r="K92" s="421"/>
      <c r="L92" s="421"/>
      <c r="M92" s="421"/>
      <c r="N92" s="421"/>
      <c r="O92" s="421"/>
      <c r="P92" s="421"/>
      <c r="Q92" s="421"/>
      <c r="R92" s="421"/>
      <c r="S92" s="421"/>
      <c r="T92" s="421"/>
      <c r="U92" s="421"/>
      <c r="V92" s="421"/>
      <c r="W92" s="421"/>
      <c r="X92" s="421"/>
      <c r="Y92" s="421"/>
      <c r="Z92" s="421"/>
      <c r="AA92" s="421"/>
      <c r="AB92" s="42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ht="15.75" customHeight="1" thickBot="1" x14ac:dyDescent="0.4">
      <c r="A93" s="429" t="s">
        <v>58</v>
      </c>
      <c r="B93" s="416"/>
      <c r="C93" s="419" t="s">
        <v>59</v>
      </c>
      <c r="D93" s="416"/>
      <c r="E93" s="430" t="s">
        <v>60</v>
      </c>
      <c r="F93" s="416"/>
      <c r="G93" s="416"/>
      <c r="H93" s="416"/>
      <c r="I93" s="416"/>
      <c r="J93" s="416"/>
      <c r="K93" s="416"/>
      <c r="L93" s="416"/>
      <c r="M93" s="416"/>
      <c r="N93" s="416"/>
      <c r="O93" s="416"/>
      <c r="P93" s="416"/>
      <c r="Q93" s="416"/>
      <c r="R93" s="416"/>
      <c r="S93" s="416"/>
      <c r="T93" s="416"/>
      <c r="U93" s="416"/>
      <c r="V93" s="416"/>
      <c r="W93" s="416"/>
      <c r="X93" s="416"/>
      <c r="Y93" s="416"/>
      <c r="Z93" s="416"/>
      <c r="AA93" s="416"/>
      <c r="AB93" s="416"/>
    </row>
    <row r="94" spans="1:43" ht="15.75" customHeight="1" thickBot="1" x14ac:dyDescent="0.3">
      <c r="A94" s="416"/>
      <c r="B94" s="416"/>
      <c r="C94" s="221" t="s">
        <v>55</v>
      </c>
      <c r="D94" s="221" t="s">
        <v>58</v>
      </c>
      <c r="E94" s="391" t="s">
        <v>42</v>
      </c>
      <c r="F94" s="416"/>
      <c r="G94" s="391" t="s">
        <v>43</v>
      </c>
      <c r="H94" s="416"/>
      <c r="I94" s="391" t="s">
        <v>44</v>
      </c>
      <c r="J94" s="416"/>
      <c r="K94" s="391" t="s">
        <v>45</v>
      </c>
      <c r="L94" s="416"/>
      <c r="M94" s="391" t="s">
        <v>46</v>
      </c>
      <c r="N94" s="416"/>
      <c r="O94" s="391" t="s">
        <v>47</v>
      </c>
      <c r="P94" s="416"/>
      <c r="Q94" s="391" t="s">
        <v>48</v>
      </c>
      <c r="R94" s="416"/>
      <c r="S94" s="391" t="s">
        <v>49</v>
      </c>
      <c r="T94" s="416"/>
      <c r="U94" s="391" t="s">
        <v>50</v>
      </c>
      <c r="V94" s="416"/>
      <c r="W94" s="391" t="s">
        <v>51</v>
      </c>
      <c r="X94" s="416"/>
      <c r="Y94" s="391" t="s">
        <v>52</v>
      </c>
      <c r="Z94" s="416"/>
      <c r="AA94" s="391" t="s">
        <v>53</v>
      </c>
      <c r="AB94" s="416"/>
    </row>
    <row r="95" spans="1:43" ht="15.75" customHeight="1" thickBot="1" x14ac:dyDescent="0.3">
      <c r="A95" s="361" t="s">
        <v>61</v>
      </c>
      <c r="B95" s="362"/>
      <c r="C95" s="313">
        <f>'Anexo capacidad operativa'!A43</f>
        <v>1</v>
      </c>
      <c r="D95" s="314" t="str">
        <f>'Anexo capacidad operativa'!B43</f>
        <v>Gerente general</v>
      </c>
      <c r="E95" s="359" t="s">
        <v>63</v>
      </c>
      <c r="F95" s="360"/>
      <c r="G95" s="359" t="s">
        <v>63</v>
      </c>
      <c r="H95" s="360"/>
      <c r="I95" s="359" t="s">
        <v>63</v>
      </c>
      <c r="J95" s="360"/>
      <c r="K95" s="359" t="s">
        <v>63</v>
      </c>
      <c r="L95" s="360"/>
      <c r="M95" s="359" t="s">
        <v>63</v>
      </c>
      <c r="N95" s="360"/>
      <c r="O95" s="359" t="s">
        <v>63</v>
      </c>
      <c r="P95" s="360"/>
      <c r="Q95" s="359" t="s">
        <v>63</v>
      </c>
      <c r="R95" s="360"/>
      <c r="S95" s="359" t="s">
        <v>63</v>
      </c>
      <c r="T95" s="360"/>
      <c r="U95" s="359" t="s">
        <v>63</v>
      </c>
      <c r="V95" s="360"/>
      <c r="W95" s="359" t="s">
        <v>63</v>
      </c>
      <c r="X95" s="360"/>
      <c r="Y95" s="359" t="s">
        <v>63</v>
      </c>
      <c r="Z95" s="360"/>
      <c r="AA95" s="359" t="s">
        <v>63</v>
      </c>
      <c r="AB95" s="360"/>
    </row>
    <row r="96" spans="1:43" ht="15.75" customHeight="1" thickBot="1" x14ac:dyDescent="0.3">
      <c r="A96" s="363"/>
      <c r="B96" s="364"/>
      <c r="C96" s="313">
        <f>'Anexo capacidad operativa'!A44</f>
        <v>1</v>
      </c>
      <c r="D96" s="315" t="str">
        <f>'Anexo capacidad operativa'!B44</f>
        <v>Gerente de servicios</v>
      </c>
      <c r="E96" s="359" t="s">
        <v>63</v>
      </c>
      <c r="F96" s="360"/>
      <c r="G96" s="359" t="s">
        <v>63</v>
      </c>
      <c r="H96" s="360"/>
      <c r="I96" s="359" t="s">
        <v>63</v>
      </c>
      <c r="J96" s="360"/>
      <c r="K96" s="359" t="s">
        <v>63</v>
      </c>
      <c r="L96" s="360"/>
      <c r="M96" s="359" t="s">
        <v>63</v>
      </c>
      <c r="N96" s="360"/>
      <c r="O96" s="359" t="s">
        <v>63</v>
      </c>
      <c r="P96" s="360"/>
      <c r="Q96" s="359" t="s">
        <v>63</v>
      </c>
      <c r="R96" s="360"/>
      <c r="S96" s="359" t="s">
        <v>63</v>
      </c>
      <c r="T96" s="360"/>
      <c r="U96" s="359" t="s">
        <v>63</v>
      </c>
      <c r="V96" s="360"/>
      <c r="W96" s="359" t="s">
        <v>63</v>
      </c>
      <c r="X96" s="360"/>
      <c r="Y96" s="359" t="s">
        <v>63</v>
      </c>
      <c r="Z96" s="360"/>
      <c r="AA96" s="359" t="s">
        <v>63</v>
      </c>
      <c r="AB96" s="360"/>
    </row>
    <row r="97" spans="1:28" ht="15.75" customHeight="1" thickBot="1" x14ac:dyDescent="0.3">
      <c r="A97" s="363"/>
      <c r="B97" s="364"/>
      <c r="C97" s="313">
        <f>'Anexo capacidad operativa'!A45</f>
        <v>1</v>
      </c>
      <c r="D97" s="315" t="str">
        <f>'Anexo capacidad operativa'!B45</f>
        <v>Gerente de tecnologia</v>
      </c>
      <c r="E97" s="359" t="s">
        <v>63</v>
      </c>
      <c r="F97" s="360"/>
      <c r="G97" s="359" t="s">
        <v>63</v>
      </c>
      <c r="H97" s="360"/>
      <c r="I97" s="359" t="s">
        <v>63</v>
      </c>
      <c r="J97" s="360"/>
      <c r="K97" s="359" t="s">
        <v>63</v>
      </c>
      <c r="L97" s="360"/>
      <c r="M97" s="359" t="s">
        <v>63</v>
      </c>
      <c r="N97" s="360"/>
      <c r="O97" s="359" t="s">
        <v>63</v>
      </c>
      <c r="P97" s="360"/>
      <c r="Q97" s="359" t="s">
        <v>63</v>
      </c>
      <c r="R97" s="360"/>
      <c r="S97" s="359" t="s">
        <v>63</v>
      </c>
      <c r="T97" s="360"/>
      <c r="U97" s="359" t="s">
        <v>63</v>
      </c>
      <c r="V97" s="360"/>
      <c r="W97" s="359" t="s">
        <v>63</v>
      </c>
      <c r="X97" s="360"/>
      <c r="Y97" s="359" t="s">
        <v>63</v>
      </c>
      <c r="Z97" s="360"/>
      <c r="AA97" s="359" t="s">
        <v>63</v>
      </c>
      <c r="AB97" s="360"/>
    </row>
    <row r="98" spans="1:28" ht="15.75" customHeight="1" thickBot="1" x14ac:dyDescent="0.3">
      <c r="A98" s="363"/>
      <c r="B98" s="364"/>
      <c r="C98" s="313">
        <f>'Anexo capacidad operativa'!A46</f>
        <v>1</v>
      </c>
      <c r="D98" s="315" t="str">
        <f>'Anexo capacidad operativa'!B46</f>
        <v>Gerente de administracion</v>
      </c>
      <c r="E98" s="359" t="s">
        <v>63</v>
      </c>
      <c r="F98" s="360"/>
      <c r="G98" s="359" t="s">
        <v>63</v>
      </c>
      <c r="H98" s="360"/>
      <c r="I98" s="359" t="s">
        <v>63</v>
      </c>
      <c r="J98" s="360"/>
      <c r="K98" s="359" t="s">
        <v>63</v>
      </c>
      <c r="L98" s="360"/>
      <c r="M98" s="359" t="s">
        <v>63</v>
      </c>
      <c r="N98" s="360"/>
      <c r="O98" s="359" t="s">
        <v>63</v>
      </c>
      <c r="P98" s="360"/>
      <c r="Q98" s="359" t="s">
        <v>63</v>
      </c>
      <c r="R98" s="360"/>
      <c r="S98" s="359" t="s">
        <v>63</v>
      </c>
      <c r="T98" s="360"/>
      <c r="U98" s="359" t="s">
        <v>63</v>
      </c>
      <c r="V98" s="360"/>
      <c r="W98" s="359" t="s">
        <v>63</v>
      </c>
      <c r="X98" s="360"/>
      <c r="Y98" s="359" t="s">
        <v>63</v>
      </c>
      <c r="Z98" s="360"/>
      <c r="AA98" s="359" t="s">
        <v>63</v>
      </c>
      <c r="AB98" s="360"/>
    </row>
    <row r="99" spans="1:28" ht="15.75" customHeight="1" thickBot="1" x14ac:dyDescent="0.3">
      <c r="A99" s="363"/>
      <c r="B99" s="364"/>
      <c r="C99" s="313">
        <f>'Anexo capacidad operativa'!A47</f>
        <v>1</v>
      </c>
      <c r="D99" s="315" t="str">
        <f>'Anexo capacidad operativa'!B47</f>
        <v>Gerente de comuinicacion</v>
      </c>
      <c r="E99" s="359" t="s">
        <v>63</v>
      </c>
      <c r="F99" s="359"/>
      <c r="G99" s="359" t="s">
        <v>63</v>
      </c>
      <c r="H99" s="359"/>
      <c r="I99" s="359" t="s">
        <v>63</v>
      </c>
      <c r="J99" s="359"/>
      <c r="K99" s="359" t="s">
        <v>63</v>
      </c>
      <c r="L99" s="359"/>
      <c r="M99" s="359" t="s">
        <v>63</v>
      </c>
      <c r="N99" s="359"/>
      <c r="O99" s="359" t="s">
        <v>63</v>
      </c>
      <c r="P99" s="359"/>
      <c r="Q99" s="359" t="s">
        <v>63</v>
      </c>
      <c r="R99" s="359"/>
      <c r="S99" s="359" t="s">
        <v>63</v>
      </c>
      <c r="T99" s="359"/>
      <c r="U99" s="359" t="s">
        <v>63</v>
      </c>
      <c r="V99" s="359"/>
      <c r="W99" s="359" t="s">
        <v>63</v>
      </c>
      <c r="X99" s="359"/>
      <c r="Y99" s="359" t="s">
        <v>63</v>
      </c>
      <c r="Z99" s="359"/>
      <c r="AA99" s="359" t="s">
        <v>63</v>
      </c>
      <c r="AB99" s="359"/>
    </row>
    <row r="100" spans="1:28" ht="15.75" customHeight="1" thickBot="1" x14ac:dyDescent="0.3">
      <c r="A100" s="363"/>
      <c r="B100" s="364"/>
      <c r="C100" s="316">
        <f>'Anexo capacidad operativa'!A48</f>
        <v>2</v>
      </c>
      <c r="D100" s="317" t="str">
        <f>'Anexo capacidad operativa'!B48</f>
        <v>Desarrollador</v>
      </c>
      <c r="E100" s="359" t="s">
        <v>63</v>
      </c>
      <c r="F100" s="359"/>
      <c r="G100" s="359" t="s">
        <v>63</v>
      </c>
      <c r="H100" s="359"/>
      <c r="I100" s="359" t="s">
        <v>63</v>
      </c>
      <c r="J100" s="359"/>
      <c r="K100" s="359" t="s">
        <v>63</v>
      </c>
      <c r="L100" s="359"/>
      <c r="M100" s="359" t="s">
        <v>63</v>
      </c>
      <c r="N100" s="359"/>
      <c r="O100" s="374" t="s">
        <v>170</v>
      </c>
      <c r="P100" s="374"/>
      <c r="Q100" s="359" t="s">
        <v>63</v>
      </c>
      <c r="R100" s="359"/>
      <c r="S100" s="359" t="s">
        <v>63</v>
      </c>
      <c r="T100" s="359"/>
      <c r="U100" s="359" t="s">
        <v>63</v>
      </c>
      <c r="V100" s="359"/>
      <c r="W100" s="359" t="s">
        <v>63</v>
      </c>
      <c r="X100" s="359"/>
      <c r="Y100" s="359" t="s">
        <v>63</v>
      </c>
      <c r="Z100" s="359"/>
      <c r="AA100" s="359" t="s">
        <v>63</v>
      </c>
      <c r="AB100" s="359"/>
    </row>
    <row r="101" spans="1:28" ht="15.75" customHeight="1" thickBot="1" x14ac:dyDescent="0.3">
      <c r="A101" s="431" t="s">
        <v>65</v>
      </c>
      <c r="B101" s="416"/>
      <c r="C101" s="313">
        <v>2</v>
      </c>
      <c r="D101" s="315" t="s">
        <v>66</v>
      </c>
      <c r="E101" s="359" t="s">
        <v>63</v>
      </c>
      <c r="F101" s="360"/>
      <c r="G101" s="359" t="s">
        <v>63</v>
      </c>
      <c r="H101" s="360"/>
      <c r="I101" s="359" t="s">
        <v>63</v>
      </c>
      <c r="J101" s="360"/>
      <c r="K101" s="359" t="s">
        <v>63</v>
      </c>
      <c r="L101" s="360"/>
      <c r="M101" s="359" t="s">
        <v>63</v>
      </c>
      <c r="N101" s="360"/>
      <c r="O101" s="359" t="s">
        <v>63</v>
      </c>
      <c r="P101" s="360"/>
      <c r="Q101" s="359" t="s">
        <v>63</v>
      </c>
      <c r="R101" s="360"/>
      <c r="S101" s="359" t="s">
        <v>63</v>
      </c>
      <c r="T101" s="360"/>
      <c r="U101" s="359" t="s">
        <v>63</v>
      </c>
      <c r="V101" s="360"/>
      <c r="W101" s="359" t="s">
        <v>63</v>
      </c>
      <c r="X101" s="360"/>
      <c r="Y101" s="359" t="s">
        <v>63</v>
      </c>
      <c r="Z101" s="360"/>
      <c r="AA101" s="359" t="s">
        <v>63</v>
      </c>
      <c r="AB101" s="360"/>
    </row>
    <row r="102" spans="1:28" ht="15.75" customHeight="1" thickBot="1" x14ac:dyDescent="0.3">
      <c r="A102" s="416"/>
      <c r="B102" s="416"/>
      <c r="C102" s="313">
        <v>1</v>
      </c>
      <c r="D102" s="315" t="s">
        <v>67</v>
      </c>
      <c r="E102" s="359" t="s">
        <v>63</v>
      </c>
      <c r="F102" s="360"/>
      <c r="G102" s="359" t="s">
        <v>63</v>
      </c>
      <c r="H102" s="360"/>
      <c r="I102" s="359" t="s">
        <v>63</v>
      </c>
      <c r="J102" s="360"/>
      <c r="K102" s="359" t="s">
        <v>63</v>
      </c>
      <c r="L102" s="360"/>
      <c r="M102" s="359" t="s">
        <v>63</v>
      </c>
      <c r="N102" s="360"/>
      <c r="O102" s="359" t="s">
        <v>63</v>
      </c>
      <c r="P102" s="360"/>
      <c r="Q102" s="359" t="s">
        <v>63</v>
      </c>
      <c r="R102" s="360"/>
      <c r="S102" s="359" t="s">
        <v>63</v>
      </c>
      <c r="T102" s="360"/>
      <c r="U102" s="359" t="s">
        <v>63</v>
      </c>
      <c r="V102" s="360"/>
      <c r="W102" s="359" t="s">
        <v>63</v>
      </c>
      <c r="X102" s="360"/>
      <c r="Y102" s="359" t="s">
        <v>63</v>
      </c>
      <c r="Z102" s="360"/>
      <c r="AA102" s="359" t="s">
        <v>63</v>
      </c>
      <c r="AB102" s="360"/>
    </row>
    <row r="103" spans="1:28" ht="15.75" customHeight="1" thickBot="1" x14ac:dyDescent="0.3">
      <c r="A103" s="416"/>
      <c r="B103" s="416"/>
      <c r="C103" s="313">
        <v>1</v>
      </c>
      <c r="D103" s="315" t="s">
        <v>68</v>
      </c>
      <c r="E103" s="359" t="s">
        <v>63</v>
      </c>
      <c r="F103" s="360"/>
      <c r="G103" s="359" t="s">
        <v>63</v>
      </c>
      <c r="H103" s="360"/>
      <c r="I103" s="359" t="s">
        <v>63</v>
      </c>
      <c r="J103" s="360"/>
      <c r="K103" s="359" t="s">
        <v>63</v>
      </c>
      <c r="L103" s="360"/>
      <c r="M103" s="359" t="s">
        <v>63</v>
      </c>
      <c r="N103" s="360"/>
      <c r="O103" s="359" t="s">
        <v>63</v>
      </c>
      <c r="P103" s="360"/>
      <c r="Q103" s="359" t="s">
        <v>63</v>
      </c>
      <c r="R103" s="360"/>
      <c r="S103" s="359" t="s">
        <v>63</v>
      </c>
      <c r="T103" s="360"/>
      <c r="U103" s="359" t="s">
        <v>63</v>
      </c>
      <c r="V103" s="360"/>
      <c r="W103" s="359" t="s">
        <v>63</v>
      </c>
      <c r="X103" s="360"/>
      <c r="Y103" s="359" t="s">
        <v>63</v>
      </c>
      <c r="Z103" s="360"/>
      <c r="AA103" s="359" t="s">
        <v>63</v>
      </c>
      <c r="AB103" s="360"/>
    </row>
    <row r="104" spans="1:28" ht="15.75" customHeight="1" thickBot="1" x14ac:dyDescent="0.3">
      <c r="A104" s="416"/>
      <c r="B104" s="416"/>
      <c r="C104" s="313">
        <v>1</v>
      </c>
      <c r="D104" s="315" t="s">
        <v>69</v>
      </c>
      <c r="E104" s="359" t="s">
        <v>63</v>
      </c>
      <c r="F104" s="360"/>
      <c r="G104" s="359" t="s">
        <v>63</v>
      </c>
      <c r="H104" s="360"/>
      <c r="I104" s="359" t="s">
        <v>63</v>
      </c>
      <c r="J104" s="360"/>
      <c r="K104" s="359" t="s">
        <v>63</v>
      </c>
      <c r="L104" s="360"/>
      <c r="M104" s="359" t="s">
        <v>63</v>
      </c>
      <c r="N104" s="360"/>
      <c r="O104" s="359" t="s">
        <v>63</v>
      </c>
      <c r="P104" s="360"/>
      <c r="Q104" s="359" t="s">
        <v>63</v>
      </c>
      <c r="R104" s="360"/>
      <c r="S104" s="359" t="s">
        <v>63</v>
      </c>
      <c r="T104" s="360"/>
      <c r="U104" s="359" t="s">
        <v>63</v>
      </c>
      <c r="V104" s="360"/>
      <c r="W104" s="359" t="s">
        <v>63</v>
      </c>
      <c r="X104" s="360"/>
      <c r="Y104" s="359" t="s">
        <v>63</v>
      </c>
      <c r="Z104" s="360"/>
      <c r="AA104" s="359" t="s">
        <v>63</v>
      </c>
      <c r="AB104" s="360"/>
    </row>
    <row r="105" spans="1:28" ht="15.75" customHeight="1" thickBot="1" x14ac:dyDescent="0.3">
      <c r="A105" s="416"/>
      <c r="B105" s="416"/>
      <c r="C105" s="313">
        <v>1</v>
      </c>
      <c r="D105" s="315" t="s">
        <v>70</v>
      </c>
      <c r="E105" s="359" t="s">
        <v>63</v>
      </c>
      <c r="F105" s="360"/>
      <c r="G105" s="359" t="s">
        <v>63</v>
      </c>
      <c r="H105" s="360"/>
      <c r="I105" s="359" t="s">
        <v>63</v>
      </c>
      <c r="J105" s="360"/>
      <c r="K105" s="359" t="s">
        <v>63</v>
      </c>
      <c r="L105" s="360"/>
      <c r="M105" s="359" t="s">
        <v>63</v>
      </c>
      <c r="N105" s="360"/>
      <c r="O105" s="359" t="s">
        <v>63</v>
      </c>
      <c r="P105" s="360"/>
      <c r="Q105" s="359" t="s">
        <v>63</v>
      </c>
      <c r="R105" s="360"/>
      <c r="S105" s="359" t="s">
        <v>63</v>
      </c>
      <c r="T105" s="360"/>
      <c r="U105" s="359" t="s">
        <v>63</v>
      </c>
      <c r="V105" s="360"/>
      <c r="W105" s="359" t="s">
        <v>63</v>
      </c>
      <c r="X105" s="360"/>
      <c r="Y105" s="359" t="s">
        <v>63</v>
      </c>
      <c r="Z105" s="360"/>
      <c r="AA105" s="359" t="s">
        <v>63</v>
      </c>
      <c r="AB105" s="360"/>
    </row>
    <row r="106" spans="1:28" ht="15.75" customHeight="1" thickBot="1" x14ac:dyDescent="0.3">
      <c r="A106" s="416"/>
      <c r="B106" s="416"/>
      <c r="C106" s="313">
        <v>3</v>
      </c>
      <c r="D106" s="315" t="s">
        <v>71</v>
      </c>
      <c r="E106" s="374" t="s">
        <v>170</v>
      </c>
      <c r="F106" s="374"/>
      <c r="G106" s="359" t="s">
        <v>63</v>
      </c>
      <c r="H106" s="360"/>
      <c r="I106" s="359" t="s">
        <v>63</v>
      </c>
      <c r="J106" s="360"/>
      <c r="K106" s="359" t="s">
        <v>63</v>
      </c>
      <c r="L106" s="360"/>
      <c r="M106" s="359" t="s">
        <v>63</v>
      </c>
      <c r="N106" s="360"/>
      <c r="O106" s="359" t="s">
        <v>63</v>
      </c>
      <c r="P106" s="360"/>
      <c r="Q106" s="359" t="s">
        <v>63</v>
      </c>
      <c r="R106" s="360"/>
      <c r="S106" s="359" t="s">
        <v>63</v>
      </c>
      <c r="T106" s="360"/>
      <c r="U106" s="359" t="s">
        <v>63</v>
      </c>
      <c r="V106" s="360"/>
      <c r="W106" s="359" t="s">
        <v>63</v>
      </c>
      <c r="X106" s="360"/>
      <c r="Y106" s="359" t="s">
        <v>63</v>
      </c>
      <c r="Z106" s="360"/>
      <c r="AA106" s="359" t="s">
        <v>63</v>
      </c>
      <c r="AB106" s="360"/>
    </row>
    <row r="107" spans="1:28" ht="25.5" customHeight="1" thickBot="1" x14ac:dyDescent="0.25">
      <c r="A107" s="431" t="s">
        <v>72</v>
      </c>
      <c r="B107" s="431"/>
      <c r="C107" s="313">
        <f>SUM(C95:C100)</f>
        <v>7</v>
      </c>
      <c r="D107" s="318" t="s">
        <v>175</v>
      </c>
      <c r="E107" s="359" t="s">
        <v>63</v>
      </c>
      <c r="F107" s="360"/>
      <c r="G107" s="359" t="s">
        <v>63</v>
      </c>
      <c r="H107" s="360"/>
      <c r="I107" s="359" t="s">
        <v>63</v>
      </c>
      <c r="J107" s="360"/>
      <c r="K107" s="359" t="s">
        <v>63</v>
      </c>
      <c r="L107" s="360"/>
      <c r="M107" s="359" t="s">
        <v>63</v>
      </c>
      <c r="N107" s="360"/>
      <c r="O107" s="374" t="s">
        <v>170</v>
      </c>
      <c r="P107" s="374"/>
      <c r="Q107" s="359" t="s">
        <v>63</v>
      </c>
      <c r="R107" s="360"/>
      <c r="S107" s="359" t="s">
        <v>63</v>
      </c>
      <c r="T107" s="360"/>
      <c r="U107" s="359" t="s">
        <v>63</v>
      </c>
      <c r="V107" s="360"/>
      <c r="W107" s="359" t="s">
        <v>63</v>
      </c>
      <c r="X107" s="360"/>
      <c r="Y107" s="359" t="s">
        <v>63</v>
      </c>
      <c r="Z107" s="360"/>
      <c r="AA107" s="359" t="s">
        <v>63</v>
      </c>
      <c r="AB107" s="360"/>
    </row>
    <row r="108" spans="1:28" ht="1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</sheetData>
  <mergeCells count="625">
    <mergeCell ref="A93:B94"/>
    <mergeCell ref="E93:AB93"/>
    <mergeCell ref="A101:B106"/>
    <mergeCell ref="A107:B107"/>
    <mergeCell ref="F5:K5"/>
    <mergeCell ref="F6:K12"/>
    <mergeCell ref="A78:AB78"/>
    <mergeCell ref="B60:AB60"/>
    <mergeCell ref="A59:AB59"/>
    <mergeCell ref="U75:V75"/>
    <mergeCell ref="W75:X75"/>
    <mergeCell ref="Y75:Z75"/>
    <mergeCell ref="AA75:AB75"/>
    <mergeCell ref="E74:F74"/>
    <mergeCell ref="G74:H74"/>
    <mergeCell ref="I74:J74"/>
    <mergeCell ref="K74:L74"/>
    <mergeCell ref="M74:N74"/>
    <mergeCell ref="O74:P74"/>
    <mergeCell ref="Q74:R74"/>
    <mergeCell ref="S74:T74"/>
    <mergeCell ref="A75:B75"/>
    <mergeCell ref="E75:F75"/>
    <mergeCell ref="G75:H75"/>
    <mergeCell ref="I75:J75"/>
    <mergeCell ref="K75:L75"/>
    <mergeCell ref="M75:N75"/>
    <mergeCell ref="O75:P75"/>
    <mergeCell ref="Q75:R75"/>
    <mergeCell ref="S75:T75"/>
    <mergeCell ref="E68:F68"/>
    <mergeCell ref="G68:H68"/>
    <mergeCell ref="I68:J68"/>
    <mergeCell ref="K68:L68"/>
    <mergeCell ref="M68:N68"/>
    <mergeCell ref="O68:P68"/>
    <mergeCell ref="Q68:R68"/>
    <mergeCell ref="S68:T68"/>
    <mergeCell ref="U68:V68"/>
    <mergeCell ref="W68:X68"/>
    <mergeCell ref="Y68:Z68"/>
    <mergeCell ref="AA68:AB68"/>
    <mergeCell ref="E73:F73"/>
    <mergeCell ref="G73:H73"/>
    <mergeCell ref="I73:J73"/>
    <mergeCell ref="K73:L73"/>
    <mergeCell ref="M73:N73"/>
    <mergeCell ref="O73:P73"/>
    <mergeCell ref="Q73:R73"/>
    <mergeCell ref="S73:T73"/>
    <mergeCell ref="U73:V73"/>
    <mergeCell ref="W73:X73"/>
    <mergeCell ref="Y73:Z73"/>
    <mergeCell ref="AA73:AB73"/>
    <mergeCell ref="E72:F72"/>
    <mergeCell ref="G72:H72"/>
    <mergeCell ref="I72:J72"/>
    <mergeCell ref="K72:L72"/>
    <mergeCell ref="M72:N72"/>
    <mergeCell ref="O72:P72"/>
    <mergeCell ref="Q72:R72"/>
    <mergeCell ref="U69:V69"/>
    <mergeCell ref="W69:X69"/>
    <mergeCell ref="U74:V74"/>
    <mergeCell ref="W74:X74"/>
    <mergeCell ref="Y74:Z74"/>
    <mergeCell ref="AA74:AB74"/>
    <mergeCell ref="S71:T71"/>
    <mergeCell ref="U71:V71"/>
    <mergeCell ref="W71:X71"/>
    <mergeCell ref="Y71:Z71"/>
    <mergeCell ref="AA71:AB71"/>
    <mergeCell ref="S72:T72"/>
    <mergeCell ref="U72:V72"/>
    <mergeCell ref="W72:X72"/>
    <mergeCell ref="Y72:Z72"/>
    <mergeCell ref="AA72:AB72"/>
    <mergeCell ref="A69:B74"/>
    <mergeCell ref="E69:F69"/>
    <mergeCell ref="G69:H69"/>
    <mergeCell ref="I69:J69"/>
    <mergeCell ref="K69:L69"/>
    <mergeCell ref="M69:N69"/>
    <mergeCell ref="O69:P69"/>
    <mergeCell ref="Q69:R69"/>
    <mergeCell ref="S69:T69"/>
    <mergeCell ref="E71:F71"/>
    <mergeCell ref="G71:H71"/>
    <mergeCell ref="I71:J71"/>
    <mergeCell ref="K71:L71"/>
    <mergeCell ref="M71:N71"/>
    <mergeCell ref="O71:P71"/>
    <mergeCell ref="Q71:R71"/>
    <mergeCell ref="Y69:Z69"/>
    <mergeCell ref="AA69:AB69"/>
    <mergeCell ref="E70:F70"/>
    <mergeCell ref="G70:H70"/>
    <mergeCell ref="I70:J70"/>
    <mergeCell ref="K70:L70"/>
    <mergeCell ref="M70:N70"/>
    <mergeCell ref="O70:P70"/>
    <mergeCell ref="Q70:R70"/>
    <mergeCell ref="S70:T70"/>
    <mergeCell ref="U70:V70"/>
    <mergeCell ref="W70:X70"/>
    <mergeCell ref="Y70:Z70"/>
    <mergeCell ref="AA70:AB70"/>
    <mergeCell ref="U67:V67"/>
    <mergeCell ref="E67:F67"/>
    <mergeCell ref="G67:H67"/>
    <mergeCell ref="I67:J67"/>
    <mergeCell ref="K67:L67"/>
    <mergeCell ref="M67:N67"/>
    <mergeCell ref="O67:P67"/>
    <mergeCell ref="Q67:R67"/>
    <mergeCell ref="S67:T67"/>
    <mergeCell ref="Q65:R65"/>
    <mergeCell ref="S65:T65"/>
    <mergeCell ref="U65:V65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E66:F66"/>
    <mergeCell ref="G66:H66"/>
    <mergeCell ref="I66:J66"/>
    <mergeCell ref="K66:L66"/>
    <mergeCell ref="M66:N66"/>
    <mergeCell ref="O66:P66"/>
    <mergeCell ref="Q66:R66"/>
    <mergeCell ref="S66:T66"/>
    <mergeCell ref="U66:V66"/>
    <mergeCell ref="W66:X66"/>
    <mergeCell ref="Y66:Z66"/>
    <mergeCell ref="AA66:AB66"/>
    <mergeCell ref="E65:F65"/>
    <mergeCell ref="G65:H65"/>
    <mergeCell ref="I65:J65"/>
    <mergeCell ref="K65:L65"/>
    <mergeCell ref="M65:N65"/>
    <mergeCell ref="O65:P65"/>
    <mergeCell ref="E64:F64"/>
    <mergeCell ref="G64:H64"/>
    <mergeCell ref="I64:J64"/>
    <mergeCell ref="K64:L64"/>
    <mergeCell ref="M64:N64"/>
    <mergeCell ref="O64:P64"/>
    <mergeCell ref="Q64:R64"/>
    <mergeCell ref="S64:T64"/>
    <mergeCell ref="U64:V64"/>
    <mergeCell ref="AA62:AB62"/>
    <mergeCell ref="W47:X47"/>
    <mergeCell ref="Y47:Z47"/>
    <mergeCell ref="AA47:AB47"/>
    <mergeCell ref="AA48:AB48"/>
    <mergeCell ref="O63:P63"/>
    <mergeCell ref="Q63:R63"/>
    <mergeCell ref="S63:T63"/>
    <mergeCell ref="U63:V63"/>
    <mergeCell ref="W63:X63"/>
    <mergeCell ref="Y63:Z63"/>
    <mergeCell ref="AA63:AB63"/>
    <mergeCell ref="I62:J62"/>
    <mergeCell ref="K62:L62"/>
    <mergeCell ref="M62:N62"/>
    <mergeCell ref="O62:P62"/>
    <mergeCell ref="Q62:R62"/>
    <mergeCell ref="S62:T62"/>
    <mergeCell ref="U62:V62"/>
    <mergeCell ref="W62:X62"/>
    <mergeCell ref="Y62:Z62"/>
    <mergeCell ref="E35:F35"/>
    <mergeCell ref="G35:H35"/>
    <mergeCell ref="I35:J35"/>
    <mergeCell ref="K35:L35"/>
    <mergeCell ref="E36:F36"/>
    <mergeCell ref="G36:H36"/>
    <mergeCell ref="I36:J36"/>
    <mergeCell ref="K36:L36"/>
    <mergeCell ref="W40:X40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AA37:AB37"/>
    <mergeCell ref="S38:T38"/>
    <mergeCell ref="U38:V38"/>
    <mergeCell ref="Q39:R39"/>
    <mergeCell ref="S39:T39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U41:V41"/>
    <mergeCell ref="W41:X41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U42:V42"/>
    <mergeCell ref="W42:X42"/>
    <mergeCell ref="Y42:Z42"/>
    <mergeCell ref="AA42:AB42"/>
    <mergeCell ref="E42:F42"/>
    <mergeCell ref="G42:H42"/>
    <mergeCell ref="I42:J42"/>
    <mergeCell ref="K42:L42"/>
    <mergeCell ref="M42:N42"/>
    <mergeCell ref="O42:P42"/>
    <mergeCell ref="Q42:R42"/>
    <mergeCell ref="U43:V43"/>
    <mergeCell ref="W43:X43"/>
    <mergeCell ref="Y43:Z43"/>
    <mergeCell ref="AA43:AB43"/>
    <mergeCell ref="G43:H43"/>
    <mergeCell ref="I43:J43"/>
    <mergeCell ref="W48:X48"/>
    <mergeCell ref="Y48:Z48"/>
    <mergeCell ref="K43:L43"/>
    <mergeCell ref="M43:N43"/>
    <mergeCell ref="O43:P43"/>
    <mergeCell ref="Q43:R43"/>
    <mergeCell ref="S43:T43"/>
    <mergeCell ref="G47:H47"/>
    <mergeCell ref="I47:J47"/>
    <mergeCell ref="K47:L47"/>
    <mergeCell ref="U47:V47"/>
    <mergeCell ref="O48:P48"/>
    <mergeCell ref="Q48:R48"/>
    <mergeCell ref="S48:T48"/>
    <mergeCell ref="U48:V48"/>
    <mergeCell ref="A46:AB46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I39:J39"/>
    <mergeCell ref="K39:L39"/>
    <mergeCell ref="S37:T37"/>
    <mergeCell ref="E43:F43"/>
    <mergeCell ref="S42:T42"/>
    <mergeCell ref="S41:T41"/>
    <mergeCell ref="E38:F38"/>
    <mergeCell ref="A63:B68"/>
    <mergeCell ref="E63:F63"/>
    <mergeCell ref="G63:H63"/>
    <mergeCell ref="I63:J63"/>
    <mergeCell ref="K63:L63"/>
    <mergeCell ref="M63:N63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A61:B62"/>
    <mergeCell ref="C61:D61"/>
    <mergeCell ref="E61:AB61"/>
    <mergeCell ref="E62:F62"/>
    <mergeCell ref="G62:H62"/>
    <mergeCell ref="AA80:AB80"/>
    <mergeCell ref="I80:J80"/>
    <mergeCell ref="K80:L80"/>
    <mergeCell ref="M80:N80"/>
    <mergeCell ref="O80:P80"/>
    <mergeCell ref="Q80:R80"/>
    <mergeCell ref="S80:T80"/>
    <mergeCell ref="U80:V80"/>
    <mergeCell ref="M79:N79"/>
    <mergeCell ref="O79:P79"/>
    <mergeCell ref="Q79:R79"/>
    <mergeCell ref="S79:T79"/>
    <mergeCell ref="U79:V79"/>
    <mergeCell ref="W79:X79"/>
    <mergeCell ref="Y79:Z79"/>
    <mergeCell ref="AA79:AB79"/>
    <mergeCell ref="I79:J79"/>
    <mergeCell ref="K79:L79"/>
    <mergeCell ref="E94:F94"/>
    <mergeCell ref="G94:H94"/>
    <mergeCell ref="I94:J94"/>
    <mergeCell ref="K94:L94"/>
    <mergeCell ref="M94:N94"/>
    <mergeCell ref="O94:P94"/>
    <mergeCell ref="Q94:R94"/>
    <mergeCell ref="K97:L97"/>
    <mergeCell ref="M97:N97"/>
    <mergeCell ref="O97:P97"/>
    <mergeCell ref="Q97:R97"/>
    <mergeCell ref="S97:T97"/>
    <mergeCell ref="U97:V97"/>
    <mergeCell ref="E95:F95"/>
    <mergeCell ref="G95:H95"/>
    <mergeCell ref="M99:N99"/>
    <mergeCell ref="O99:P99"/>
    <mergeCell ref="Q99:R99"/>
    <mergeCell ref="S99:T99"/>
    <mergeCell ref="U99:V99"/>
    <mergeCell ref="I97:J97"/>
    <mergeCell ref="S94:T94"/>
    <mergeCell ref="U94:V94"/>
    <mergeCell ref="W94:X94"/>
    <mergeCell ref="Y94:Z94"/>
    <mergeCell ref="AA94:AB94"/>
    <mergeCell ref="AA95:AB95"/>
    <mergeCell ref="I95:J95"/>
    <mergeCell ref="K95:L95"/>
    <mergeCell ref="M95:N95"/>
    <mergeCell ref="O95:P95"/>
    <mergeCell ref="Q95:R95"/>
    <mergeCell ref="E96:F96"/>
    <mergeCell ref="G96:H96"/>
    <mergeCell ref="I96:J96"/>
    <mergeCell ref="K96:L96"/>
    <mergeCell ref="M96:N96"/>
    <mergeCell ref="O96:P96"/>
    <mergeCell ref="Q96:R96"/>
    <mergeCell ref="W96:X96"/>
    <mergeCell ref="Y96:Z96"/>
    <mergeCell ref="AA96:AB96"/>
    <mergeCell ref="AA97:AB97"/>
    <mergeCell ref="E97:F97"/>
    <mergeCell ref="G97:H97"/>
    <mergeCell ref="W97:X97"/>
    <mergeCell ref="Y97:Z97"/>
    <mergeCell ref="S98:T98"/>
    <mergeCell ref="U98:V98"/>
    <mergeCell ref="E98:F98"/>
    <mergeCell ref="G98:H98"/>
    <mergeCell ref="S96:T96"/>
    <mergeCell ref="U96:V96"/>
    <mergeCell ref="AA100:AB100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W103:X103"/>
    <mergeCell ref="Y103:Z103"/>
    <mergeCell ref="M103:N103"/>
    <mergeCell ref="O103:P103"/>
    <mergeCell ref="Q103:R103"/>
    <mergeCell ref="S103:T103"/>
    <mergeCell ref="U103:V103"/>
    <mergeCell ref="W105:X105"/>
    <mergeCell ref="Y105:Z105"/>
    <mergeCell ref="W80:X80"/>
    <mergeCell ref="Y80:Z80"/>
    <mergeCell ref="W95:X95"/>
    <mergeCell ref="Y95:Z95"/>
    <mergeCell ref="E101:F101"/>
    <mergeCell ref="G101:H101"/>
    <mergeCell ref="E102:F102"/>
    <mergeCell ref="G102:H102"/>
    <mergeCell ref="M104:N104"/>
    <mergeCell ref="O104:P104"/>
    <mergeCell ref="E99:F99"/>
    <mergeCell ref="G99:H99"/>
    <mergeCell ref="E103:F103"/>
    <mergeCell ref="G103:H103"/>
    <mergeCell ref="E104:F104"/>
    <mergeCell ref="G104:H104"/>
    <mergeCell ref="E105:F105"/>
    <mergeCell ref="G105:H105"/>
    <mergeCell ref="K98:L98"/>
    <mergeCell ref="A85:B85"/>
    <mergeCell ref="A89:B89"/>
    <mergeCell ref="A79:A81"/>
    <mergeCell ref="B79:B81"/>
    <mergeCell ref="C79:D79"/>
    <mergeCell ref="E79:F79"/>
    <mergeCell ref="G79:H79"/>
    <mergeCell ref="C80:C81"/>
    <mergeCell ref="C93:D93"/>
    <mergeCell ref="D80:D81"/>
    <mergeCell ref="E80:F80"/>
    <mergeCell ref="A91:AB91"/>
    <mergeCell ref="B92:AB92"/>
    <mergeCell ref="W98:X98"/>
    <mergeCell ref="Y98:Z98"/>
    <mergeCell ref="AA98:AB98"/>
    <mergeCell ref="I98:J98"/>
    <mergeCell ref="Y99:Z99"/>
    <mergeCell ref="AA99:AB99"/>
    <mergeCell ref="I99:J99"/>
    <mergeCell ref="K99:L99"/>
    <mergeCell ref="G106:H106"/>
    <mergeCell ref="G107:H107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U32:V32"/>
    <mergeCell ref="O33:P33"/>
    <mergeCell ref="Q33:R33"/>
    <mergeCell ref="S33:T33"/>
    <mergeCell ref="A30:B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Y36:Z36"/>
    <mergeCell ref="G80:H80"/>
    <mergeCell ref="G31:H31"/>
    <mergeCell ref="E33:F33"/>
    <mergeCell ref="G33:H33"/>
    <mergeCell ref="I37:J37"/>
    <mergeCell ref="K37:L37"/>
    <mergeCell ref="M37:N37"/>
    <mergeCell ref="O37:P37"/>
    <mergeCell ref="Q37:R37"/>
    <mergeCell ref="M39:N39"/>
    <mergeCell ref="O39:P39"/>
    <mergeCell ref="W34:X34"/>
    <mergeCell ref="Y34:Z34"/>
    <mergeCell ref="M31:N31"/>
    <mergeCell ref="O31:P31"/>
    <mergeCell ref="W33:X33"/>
    <mergeCell ref="Y33:Z33"/>
    <mergeCell ref="I33:J33"/>
    <mergeCell ref="I38:J38"/>
    <mergeCell ref="Y37:Z37"/>
    <mergeCell ref="C1:F1"/>
    <mergeCell ref="B5:D5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D17:D18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AA35:AB3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4:AB34"/>
    <mergeCell ref="Y100:Z100"/>
    <mergeCell ref="S95:T95"/>
    <mergeCell ref="U95:V95"/>
    <mergeCell ref="M98:N98"/>
    <mergeCell ref="O98:P98"/>
    <mergeCell ref="Q98:R98"/>
    <mergeCell ref="W99:X99"/>
    <mergeCell ref="U104:V104"/>
    <mergeCell ref="AA101:AB101"/>
    <mergeCell ref="I101:J101"/>
    <mergeCell ref="K101:L101"/>
    <mergeCell ref="M101:N101"/>
    <mergeCell ref="O101:P101"/>
    <mergeCell ref="Q101:R101"/>
    <mergeCell ref="S101:T101"/>
    <mergeCell ref="U101:V101"/>
    <mergeCell ref="W102:X102"/>
    <mergeCell ref="Y102:Z102"/>
    <mergeCell ref="AA102:AB102"/>
    <mergeCell ref="I102:J102"/>
    <mergeCell ref="K102:L102"/>
    <mergeCell ref="M102:N102"/>
    <mergeCell ref="O102:P102"/>
    <mergeCell ref="Q102:R102"/>
    <mergeCell ref="S102:T102"/>
    <mergeCell ref="U102:V102"/>
    <mergeCell ref="AA103:AB103"/>
    <mergeCell ref="I103:J103"/>
    <mergeCell ref="K103:L103"/>
    <mergeCell ref="W101:X101"/>
    <mergeCell ref="Y101:Z101"/>
    <mergeCell ref="AA104:AB104"/>
    <mergeCell ref="I104:J104"/>
    <mergeCell ref="K104:L104"/>
    <mergeCell ref="AA107:AB107"/>
    <mergeCell ref="E106:F106"/>
    <mergeCell ref="E107:F107"/>
    <mergeCell ref="I107:J107"/>
    <mergeCell ref="K107:L107"/>
    <mergeCell ref="M107:N107"/>
    <mergeCell ref="O107:P107"/>
    <mergeCell ref="Q107:R107"/>
    <mergeCell ref="AA105:AB105"/>
    <mergeCell ref="I105:J105"/>
    <mergeCell ref="K105:L105"/>
    <mergeCell ref="M105:N105"/>
    <mergeCell ref="O105:P105"/>
    <mergeCell ref="Q105:R105"/>
    <mergeCell ref="S105:T105"/>
    <mergeCell ref="U105:V105"/>
    <mergeCell ref="W106:X106"/>
    <mergeCell ref="Y106:Z106"/>
    <mergeCell ref="AA106:AB106"/>
    <mergeCell ref="I106:J106"/>
    <mergeCell ref="K106:L106"/>
    <mergeCell ref="A23:C23"/>
    <mergeCell ref="A24:C24"/>
    <mergeCell ref="A25:C25"/>
    <mergeCell ref="S107:T107"/>
    <mergeCell ref="U107:V107"/>
    <mergeCell ref="W107:X107"/>
    <mergeCell ref="Y107:Z107"/>
    <mergeCell ref="A95:B100"/>
    <mergeCell ref="A86:C86"/>
    <mergeCell ref="A87:C87"/>
    <mergeCell ref="A88:C88"/>
    <mergeCell ref="A54:C54"/>
    <mergeCell ref="A55:C55"/>
    <mergeCell ref="A56:C56"/>
    <mergeCell ref="W104:X104"/>
    <mergeCell ref="Y104:Z104"/>
    <mergeCell ref="M106:N106"/>
    <mergeCell ref="O106:P106"/>
    <mergeCell ref="Q106:R106"/>
    <mergeCell ref="S106:T106"/>
    <mergeCell ref="U106:V106"/>
    <mergeCell ref="Q104:R104"/>
    <mergeCell ref="S104:T10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4"/>
  <sheetViews>
    <sheetView zoomScale="115" zoomScaleNormal="115" workbookViewId="0">
      <pane ySplit="1" topLeftCell="A29" activePane="bottomLeft" state="frozen"/>
      <selection pane="bottomLeft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6" ht="83.25" customHeight="1" x14ac:dyDescent="0.25">
      <c r="A1" s="190"/>
      <c r="B1" s="214"/>
      <c r="C1" s="215"/>
      <c r="D1" s="190"/>
      <c r="E1" s="215" t="s">
        <v>76</v>
      </c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2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461" t="s">
        <v>77</v>
      </c>
      <c r="B3" s="322"/>
      <c r="C3" s="322"/>
      <c r="D3" s="322"/>
      <c r="E3" s="32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">
      <c r="A4" s="462" t="s">
        <v>215</v>
      </c>
      <c r="B4" s="411"/>
      <c r="C4" s="411"/>
      <c r="D4" s="411"/>
      <c r="E4" s="41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45">
      <c r="A6" s="461" t="s">
        <v>78</v>
      </c>
      <c r="B6" s="322"/>
      <c r="C6" s="323"/>
      <c r="D6" s="49"/>
      <c r="E6" s="4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50" t="s">
        <v>79</v>
      </c>
      <c r="B7" s="51">
        <v>52</v>
      </c>
      <c r="C7" s="52" t="s">
        <v>80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50" t="s">
        <v>81</v>
      </c>
      <c r="B8" s="51">
        <v>2</v>
      </c>
      <c r="C8" s="52" t="s">
        <v>80</v>
      </c>
      <c r="D8" s="1" t="s">
        <v>82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50" t="s">
        <v>83</v>
      </c>
      <c r="B9" s="51">
        <v>10</v>
      </c>
      <c r="C9" s="52" t="s">
        <v>84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50" t="s">
        <v>85</v>
      </c>
      <c r="B10" s="51">
        <f>(B7-B8)*5.5-B9</f>
        <v>265</v>
      </c>
      <c r="C10" s="52" t="s">
        <v>84</v>
      </c>
      <c r="D10" s="1" t="s">
        <v>86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50" t="s">
        <v>87</v>
      </c>
      <c r="B11" s="51">
        <v>8</v>
      </c>
      <c r="C11" s="52" t="s">
        <v>88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thickBot="1" x14ac:dyDescent="0.3">
      <c r="A12" s="53" t="s">
        <v>89</v>
      </c>
      <c r="B12" s="54">
        <f>B10*B11</f>
        <v>2120</v>
      </c>
      <c r="C12" s="55" t="s">
        <v>88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">
      <c r="A13" s="463" t="s">
        <v>90</v>
      </c>
      <c r="B13" s="56">
        <f>B12</f>
        <v>2120</v>
      </c>
      <c r="C13" s="57" t="s">
        <v>91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">
      <c r="A14" s="464"/>
      <c r="B14" s="58">
        <f>B13/12</f>
        <v>176.66666666666666</v>
      </c>
      <c r="C14" s="59" t="s">
        <v>92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60"/>
      <c r="B15" s="61"/>
      <c r="C15" s="6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25">
      <c r="A16" s="63"/>
      <c r="B16" s="64"/>
      <c r="C16" s="6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25">
      <c r="A17" s="1"/>
      <c r="B17" s="2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2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45">
      <c r="A19" s="460" t="s">
        <v>166</v>
      </c>
      <c r="B19" s="322"/>
      <c r="C19" s="322"/>
      <c r="D19" s="322"/>
      <c r="E19" s="32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465"/>
      <c r="AB19" s="465"/>
    </row>
    <row r="20" spans="1:28" ht="15.75" customHeight="1" x14ac:dyDescent="0.2">
      <c r="A20" s="450" t="s">
        <v>167</v>
      </c>
      <c r="B20" s="451"/>
      <c r="C20" s="454" t="s">
        <v>42</v>
      </c>
      <c r="D20" s="455"/>
      <c r="E20" s="456" t="s">
        <v>43</v>
      </c>
      <c r="F20" s="457"/>
      <c r="G20" s="458" t="s">
        <v>44</v>
      </c>
      <c r="H20" s="459"/>
      <c r="I20" s="458" t="s">
        <v>45</v>
      </c>
      <c r="J20" s="459"/>
      <c r="K20" s="458" t="s">
        <v>46</v>
      </c>
      <c r="L20" s="459"/>
      <c r="M20" s="458" t="s">
        <v>47</v>
      </c>
      <c r="N20" s="459"/>
      <c r="O20" s="458" t="s">
        <v>48</v>
      </c>
      <c r="P20" s="459"/>
      <c r="Q20" s="458" t="s">
        <v>49</v>
      </c>
      <c r="R20" s="459"/>
      <c r="S20" s="458" t="s">
        <v>50</v>
      </c>
      <c r="T20" s="459"/>
      <c r="U20" s="458" t="s">
        <v>51</v>
      </c>
      <c r="V20" s="459"/>
      <c r="W20" s="458" t="s">
        <v>52</v>
      </c>
      <c r="X20" s="459"/>
      <c r="Y20" s="458" t="s">
        <v>53</v>
      </c>
      <c r="Z20" s="459"/>
      <c r="AA20" s="465"/>
      <c r="AB20" s="465"/>
    </row>
    <row r="21" spans="1:28" ht="31.5" customHeight="1" thickBot="1" x14ac:dyDescent="0.25">
      <c r="A21" s="452"/>
      <c r="B21" s="453"/>
      <c r="C21" s="216" t="s">
        <v>165</v>
      </c>
      <c r="D21" s="217" t="s">
        <v>93</v>
      </c>
      <c r="E21" s="216" t="s">
        <v>165</v>
      </c>
      <c r="F21" s="217" t="s">
        <v>93</v>
      </c>
      <c r="G21" s="216" t="s">
        <v>165</v>
      </c>
      <c r="H21" s="217" t="s">
        <v>93</v>
      </c>
      <c r="I21" s="216" t="s">
        <v>165</v>
      </c>
      <c r="J21" s="217" t="s">
        <v>93</v>
      </c>
      <c r="K21" s="216" t="s">
        <v>165</v>
      </c>
      <c r="L21" s="217" t="s">
        <v>93</v>
      </c>
      <c r="M21" s="216" t="s">
        <v>165</v>
      </c>
      <c r="N21" s="217" t="s">
        <v>93</v>
      </c>
      <c r="O21" s="216" t="s">
        <v>165</v>
      </c>
      <c r="P21" s="217" t="s">
        <v>93</v>
      </c>
      <c r="Q21" s="216" t="s">
        <v>165</v>
      </c>
      <c r="R21" s="217" t="s">
        <v>93</v>
      </c>
      <c r="S21" s="216" t="s">
        <v>165</v>
      </c>
      <c r="T21" s="217" t="s">
        <v>93</v>
      </c>
      <c r="U21" s="216" t="s">
        <v>165</v>
      </c>
      <c r="V21" s="217" t="s">
        <v>93</v>
      </c>
      <c r="W21" s="216" t="s">
        <v>165</v>
      </c>
      <c r="X21" s="217" t="s">
        <v>93</v>
      </c>
      <c r="Y21" s="216" t="s">
        <v>165</v>
      </c>
      <c r="Z21" s="217" t="s">
        <v>93</v>
      </c>
      <c r="AA21" s="465"/>
      <c r="AB21" s="465"/>
    </row>
    <row r="22" spans="1:28" x14ac:dyDescent="0.25">
      <c r="A22" s="34">
        <v>1</v>
      </c>
      <c r="B22" s="35" t="s">
        <v>62</v>
      </c>
      <c r="C22" s="147">
        <v>1</v>
      </c>
      <c r="D22" s="146">
        <v>200</v>
      </c>
      <c r="E22" s="147">
        <v>1</v>
      </c>
      <c r="F22" s="146">
        <v>200</v>
      </c>
      <c r="G22" s="147">
        <v>1</v>
      </c>
      <c r="H22" s="146">
        <v>200</v>
      </c>
      <c r="I22" s="147">
        <v>1</v>
      </c>
      <c r="J22" s="146">
        <v>200</v>
      </c>
      <c r="K22" s="147">
        <v>1</v>
      </c>
      <c r="L22" s="146">
        <v>200</v>
      </c>
      <c r="M22" s="147">
        <v>1</v>
      </c>
      <c r="N22" s="146">
        <v>200</v>
      </c>
      <c r="O22" s="147">
        <v>1</v>
      </c>
      <c r="P22" s="146">
        <v>200</v>
      </c>
      <c r="Q22" s="147">
        <v>1</v>
      </c>
      <c r="R22" s="146">
        <v>200</v>
      </c>
      <c r="S22" s="147">
        <v>1</v>
      </c>
      <c r="T22" s="146">
        <v>200</v>
      </c>
      <c r="U22" s="147">
        <v>1</v>
      </c>
      <c r="V22" s="146">
        <v>200</v>
      </c>
      <c r="W22" s="147">
        <v>1</v>
      </c>
      <c r="X22" s="146">
        <v>200</v>
      </c>
      <c r="Y22" s="147">
        <v>1</v>
      </c>
      <c r="Z22" s="146">
        <v>200</v>
      </c>
      <c r="AA22" s="465"/>
      <c r="AB22" s="465"/>
    </row>
    <row r="23" spans="1:28" x14ac:dyDescent="0.25">
      <c r="A23" s="36">
        <v>1</v>
      </c>
      <c r="B23" s="37" t="s">
        <v>212</v>
      </c>
      <c r="C23" s="147">
        <v>1</v>
      </c>
      <c r="D23" s="146">
        <v>200</v>
      </c>
      <c r="E23" s="147">
        <v>1</v>
      </c>
      <c r="F23" s="146">
        <v>200</v>
      </c>
      <c r="G23" s="147">
        <v>1</v>
      </c>
      <c r="H23" s="146">
        <v>200</v>
      </c>
      <c r="I23" s="147">
        <v>1</v>
      </c>
      <c r="J23" s="146">
        <v>200</v>
      </c>
      <c r="K23" s="147">
        <v>1</v>
      </c>
      <c r="L23" s="146">
        <v>200</v>
      </c>
      <c r="M23" s="147">
        <v>1</v>
      </c>
      <c r="N23" s="146">
        <v>200</v>
      </c>
      <c r="O23" s="147">
        <v>1</v>
      </c>
      <c r="P23" s="146">
        <v>200</v>
      </c>
      <c r="Q23" s="147">
        <v>1</v>
      </c>
      <c r="R23" s="146">
        <v>200</v>
      </c>
      <c r="S23" s="147">
        <v>1</v>
      </c>
      <c r="T23" s="146">
        <v>200</v>
      </c>
      <c r="U23" s="147">
        <v>1</v>
      </c>
      <c r="V23" s="146">
        <v>200</v>
      </c>
      <c r="W23" s="147">
        <v>1</v>
      </c>
      <c r="X23" s="146">
        <v>200</v>
      </c>
      <c r="Y23" s="147">
        <v>1</v>
      </c>
      <c r="Z23" s="146">
        <v>200</v>
      </c>
      <c r="AA23" s="465"/>
      <c r="AB23" s="465"/>
    </row>
    <row r="24" spans="1:28" x14ac:dyDescent="0.25">
      <c r="A24" s="36">
        <v>1</v>
      </c>
      <c r="B24" s="37" t="s">
        <v>64</v>
      </c>
      <c r="C24" s="147">
        <v>1</v>
      </c>
      <c r="D24" s="146">
        <v>200</v>
      </c>
      <c r="E24" s="147">
        <v>1</v>
      </c>
      <c r="F24" s="146">
        <v>200</v>
      </c>
      <c r="G24" s="147">
        <v>1</v>
      </c>
      <c r="H24" s="146">
        <v>200</v>
      </c>
      <c r="I24" s="147">
        <v>1</v>
      </c>
      <c r="J24" s="146">
        <v>200</v>
      </c>
      <c r="K24" s="147">
        <v>1</v>
      </c>
      <c r="L24" s="146">
        <v>200</v>
      </c>
      <c r="M24" s="147">
        <v>1</v>
      </c>
      <c r="N24" s="146">
        <v>200</v>
      </c>
      <c r="O24" s="147">
        <v>1</v>
      </c>
      <c r="P24" s="146">
        <v>200</v>
      </c>
      <c r="Q24" s="147">
        <v>1</v>
      </c>
      <c r="R24" s="146">
        <v>200</v>
      </c>
      <c r="S24" s="147">
        <v>1</v>
      </c>
      <c r="T24" s="146">
        <v>200</v>
      </c>
      <c r="U24" s="147">
        <v>1</v>
      </c>
      <c r="V24" s="146">
        <v>200</v>
      </c>
      <c r="W24" s="147">
        <v>1</v>
      </c>
      <c r="X24" s="146">
        <v>200</v>
      </c>
      <c r="Y24" s="147">
        <v>1</v>
      </c>
      <c r="Z24" s="146">
        <v>200</v>
      </c>
      <c r="AA24" s="465"/>
      <c r="AB24" s="465"/>
    </row>
    <row r="25" spans="1:28" x14ac:dyDescent="0.25">
      <c r="A25" s="36">
        <v>1</v>
      </c>
      <c r="B25" s="37" t="s">
        <v>213</v>
      </c>
      <c r="C25" s="147">
        <v>1</v>
      </c>
      <c r="D25" s="146">
        <v>200</v>
      </c>
      <c r="E25" s="147">
        <v>1</v>
      </c>
      <c r="F25" s="146">
        <v>200</v>
      </c>
      <c r="G25" s="147">
        <v>1</v>
      </c>
      <c r="H25" s="146">
        <v>200</v>
      </c>
      <c r="I25" s="147">
        <v>1</v>
      </c>
      <c r="J25" s="146">
        <v>200</v>
      </c>
      <c r="K25" s="147">
        <v>1</v>
      </c>
      <c r="L25" s="146">
        <v>200</v>
      </c>
      <c r="M25" s="147">
        <v>1</v>
      </c>
      <c r="N25" s="146">
        <v>200</v>
      </c>
      <c r="O25" s="147">
        <v>1</v>
      </c>
      <c r="P25" s="146">
        <v>200</v>
      </c>
      <c r="Q25" s="147">
        <v>1</v>
      </c>
      <c r="R25" s="146">
        <v>200</v>
      </c>
      <c r="S25" s="147">
        <v>1</v>
      </c>
      <c r="T25" s="146">
        <v>200</v>
      </c>
      <c r="U25" s="147">
        <v>1</v>
      </c>
      <c r="V25" s="146">
        <v>200</v>
      </c>
      <c r="W25" s="147">
        <v>1</v>
      </c>
      <c r="X25" s="146">
        <v>200</v>
      </c>
      <c r="Y25" s="147">
        <v>1</v>
      </c>
      <c r="Z25" s="146">
        <v>200</v>
      </c>
      <c r="AA25" s="465"/>
      <c r="AB25" s="465"/>
    </row>
    <row r="26" spans="1:28" x14ac:dyDescent="0.25">
      <c r="A26" s="36">
        <v>1</v>
      </c>
      <c r="B26" s="37" t="s">
        <v>258</v>
      </c>
      <c r="C26" s="147">
        <v>1</v>
      </c>
      <c r="D26" s="146">
        <v>200</v>
      </c>
      <c r="E26" s="147">
        <v>1</v>
      </c>
      <c r="F26" s="146">
        <v>200</v>
      </c>
      <c r="G26" s="147">
        <v>1</v>
      </c>
      <c r="H26" s="146">
        <v>200</v>
      </c>
      <c r="I26" s="147">
        <v>1</v>
      </c>
      <c r="J26" s="146">
        <v>200</v>
      </c>
      <c r="K26" s="147">
        <v>1</v>
      </c>
      <c r="L26" s="146">
        <v>200</v>
      </c>
      <c r="M26" s="147">
        <v>1</v>
      </c>
      <c r="N26" s="146">
        <v>200</v>
      </c>
      <c r="O26" s="147">
        <v>1</v>
      </c>
      <c r="P26" s="146">
        <v>200</v>
      </c>
      <c r="Q26" s="147">
        <v>1</v>
      </c>
      <c r="R26" s="146">
        <v>200</v>
      </c>
      <c r="S26" s="147">
        <v>1</v>
      </c>
      <c r="T26" s="146">
        <v>200</v>
      </c>
      <c r="U26" s="147">
        <v>1</v>
      </c>
      <c r="V26" s="146">
        <v>200</v>
      </c>
      <c r="W26" s="147">
        <v>1</v>
      </c>
      <c r="X26" s="146">
        <v>200</v>
      </c>
      <c r="Y26" s="147">
        <v>2</v>
      </c>
      <c r="Z26" s="146">
        <v>200</v>
      </c>
      <c r="AA26" s="465"/>
      <c r="AB26" s="465"/>
    </row>
    <row r="27" spans="1:28" ht="9.75" customHeight="1" x14ac:dyDescent="0.2"/>
    <row r="28" spans="1:28" ht="9" customHeight="1" thickBot="1" x14ac:dyDescent="0.25"/>
    <row r="29" spans="1:28" ht="27" thickBot="1" x14ac:dyDescent="0.45">
      <c r="A29" s="460" t="s">
        <v>166</v>
      </c>
      <c r="B29" s="322"/>
      <c r="C29" s="322"/>
      <c r="D29" s="322"/>
      <c r="E29" s="323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">
      <c r="A30" s="450" t="s">
        <v>168</v>
      </c>
      <c r="B30" s="451"/>
      <c r="C30" s="454" t="s">
        <v>42</v>
      </c>
      <c r="D30" s="455"/>
      <c r="E30" s="456" t="s">
        <v>43</v>
      </c>
      <c r="F30" s="457"/>
      <c r="G30" s="458" t="s">
        <v>44</v>
      </c>
      <c r="H30" s="459"/>
      <c r="I30" s="458" t="s">
        <v>45</v>
      </c>
      <c r="J30" s="459"/>
      <c r="K30" s="458" t="s">
        <v>46</v>
      </c>
      <c r="L30" s="459"/>
      <c r="M30" s="458" t="s">
        <v>47</v>
      </c>
      <c r="N30" s="459"/>
      <c r="O30" s="458" t="s">
        <v>48</v>
      </c>
      <c r="P30" s="459"/>
      <c r="Q30" s="458" t="s">
        <v>49</v>
      </c>
      <c r="R30" s="459"/>
      <c r="S30" s="458" t="s">
        <v>50</v>
      </c>
      <c r="T30" s="459"/>
      <c r="U30" s="458" t="s">
        <v>51</v>
      </c>
      <c r="V30" s="459"/>
      <c r="W30" s="458" t="s">
        <v>52</v>
      </c>
      <c r="X30" s="459"/>
      <c r="Y30" s="458" t="s">
        <v>53</v>
      </c>
      <c r="Z30" s="459"/>
    </row>
    <row r="31" spans="1:28" ht="30.75" thickBot="1" x14ac:dyDescent="0.25">
      <c r="A31" s="452"/>
      <c r="B31" s="453"/>
      <c r="C31" s="216" t="s">
        <v>165</v>
      </c>
      <c r="D31" s="217" t="s">
        <v>93</v>
      </c>
      <c r="E31" s="216" t="s">
        <v>165</v>
      </c>
      <c r="F31" s="217" t="s">
        <v>93</v>
      </c>
      <c r="G31" s="216" t="s">
        <v>165</v>
      </c>
      <c r="H31" s="217" t="s">
        <v>93</v>
      </c>
      <c r="I31" s="216" t="s">
        <v>165</v>
      </c>
      <c r="J31" s="217" t="s">
        <v>93</v>
      </c>
      <c r="K31" s="216" t="s">
        <v>165</v>
      </c>
      <c r="L31" s="217" t="s">
        <v>93</v>
      </c>
      <c r="M31" s="216" t="s">
        <v>165</v>
      </c>
      <c r="N31" s="217" t="s">
        <v>93</v>
      </c>
      <c r="O31" s="216" t="s">
        <v>165</v>
      </c>
      <c r="P31" s="217" t="s">
        <v>93</v>
      </c>
      <c r="Q31" s="216" t="s">
        <v>165</v>
      </c>
      <c r="R31" s="217" t="s">
        <v>93</v>
      </c>
      <c r="S31" s="216" t="s">
        <v>165</v>
      </c>
      <c r="T31" s="217" t="s">
        <v>93</v>
      </c>
      <c r="U31" s="216" t="s">
        <v>165</v>
      </c>
      <c r="V31" s="217" t="s">
        <v>93</v>
      </c>
      <c r="W31" s="216" t="s">
        <v>165</v>
      </c>
      <c r="X31" s="217" t="s">
        <v>93</v>
      </c>
      <c r="Y31" s="216" t="s">
        <v>165</v>
      </c>
      <c r="Z31" s="217" t="s">
        <v>93</v>
      </c>
    </row>
    <row r="32" spans="1:28" ht="15.75" customHeight="1" x14ac:dyDescent="0.25">
      <c r="A32" s="34">
        <v>1</v>
      </c>
      <c r="B32" s="35" t="s">
        <v>62</v>
      </c>
      <c r="C32" s="147">
        <v>1</v>
      </c>
      <c r="D32" s="146">
        <v>200</v>
      </c>
      <c r="E32" s="147">
        <v>1</v>
      </c>
      <c r="F32" s="146">
        <v>200</v>
      </c>
      <c r="G32" s="147">
        <v>1</v>
      </c>
      <c r="H32" s="146">
        <v>200</v>
      </c>
      <c r="I32" s="147">
        <v>1</v>
      </c>
      <c r="J32" s="146">
        <v>200</v>
      </c>
      <c r="K32" s="147">
        <v>1</v>
      </c>
      <c r="L32" s="146">
        <v>200</v>
      </c>
      <c r="M32" s="147">
        <v>1</v>
      </c>
      <c r="N32" s="146">
        <v>200</v>
      </c>
      <c r="O32" s="147">
        <v>1</v>
      </c>
      <c r="P32" s="146">
        <v>200</v>
      </c>
      <c r="Q32" s="147">
        <v>1</v>
      </c>
      <c r="R32" s="146">
        <v>200</v>
      </c>
      <c r="S32" s="147">
        <v>1</v>
      </c>
      <c r="T32" s="146">
        <v>200</v>
      </c>
      <c r="U32" s="147">
        <v>1</v>
      </c>
      <c r="V32" s="146">
        <v>200</v>
      </c>
      <c r="W32" s="147">
        <v>1</v>
      </c>
      <c r="X32" s="146">
        <v>200</v>
      </c>
      <c r="Y32" s="147">
        <v>1</v>
      </c>
      <c r="Z32" s="146">
        <v>200</v>
      </c>
    </row>
    <row r="33" spans="1:26" ht="15.75" customHeight="1" x14ac:dyDescent="0.25">
      <c r="A33" s="36">
        <v>1</v>
      </c>
      <c r="B33" s="37" t="s">
        <v>212</v>
      </c>
      <c r="C33" s="147">
        <v>1</v>
      </c>
      <c r="D33" s="146">
        <v>200</v>
      </c>
      <c r="E33" s="147">
        <v>1</v>
      </c>
      <c r="F33" s="146">
        <v>200</v>
      </c>
      <c r="G33" s="147">
        <v>1</v>
      </c>
      <c r="H33" s="146">
        <v>200</v>
      </c>
      <c r="I33" s="147">
        <v>1</v>
      </c>
      <c r="J33" s="146">
        <v>200</v>
      </c>
      <c r="K33" s="147">
        <v>1</v>
      </c>
      <c r="L33" s="146">
        <v>200</v>
      </c>
      <c r="M33" s="147">
        <v>1</v>
      </c>
      <c r="N33" s="146">
        <v>200</v>
      </c>
      <c r="O33" s="147">
        <v>1</v>
      </c>
      <c r="P33" s="146">
        <v>200</v>
      </c>
      <c r="Q33" s="147">
        <v>1</v>
      </c>
      <c r="R33" s="146">
        <v>200</v>
      </c>
      <c r="S33" s="147">
        <v>1</v>
      </c>
      <c r="T33" s="146">
        <v>200</v>
      </c>
      <c r="U33" s="147">
        <v>1</v>
      </c>
      <c r="V33" s="146">
        <v>200</v>
      </c>
      <c r="W33" s="147">
        <v>1</v>
      </c>
      <c r="X33" s="146">
        <v>200</v>
      </c>
      <c r="Y33" s="147">
        <v>1</v>
      </c>
      <c r="Z33" s="146">
        <v>200</v>
      </c>
    </row>
    <row r="34" spans="1:26" ht="14.25" customHeight="1" x14ac:dyDescent="0.25">
      <c r="A34" s="36">
        <v>1</v>
      </c>
      <c r="B34" s="37" t="s">
        <v>64</v>
      </c>
      <c r="C34" s="147">
        <v>1</v>
      </c>
      <c r="D34" s="146">
        <v>200</v>
      </c>
      <c r="E34" s="147">
        <v>1</v>
      </c>
      <c r="F34" s="146">
        <v>200</v>
      </c>
      <c r="G34" s="147">
        <v>1</v>
      </c>
      <c r="H34" s="146">
        <v>200</v>
      </c>
      <c r="I34" s="147">
        <v>1</v>
      </c>
      <c r="J34" s="146">
        <v>200</v>
      </c>
      <c r="K34" s="147">
        <v>1</v>
      </c>
      <c r="L34" s="146">
        <v>200</v>
      </c>
      <c r="M34" s="147">
        <v>1</v>
      </c>
      <c r="N34" s="146">
        <v>200</v>
      </c>
      <c r="O34" s="147">
        <v>1</v>
      </c>
      <c r="P34" s="146">
        <v>200</v>
      </c>
      <c r="Q34" s="147">
        <v>1</v>
      </c>
      <c r="R34" s="146">
        <v>200</v>
      </c>
      <c r="S34" s="147">
        <v>1</v>
      </c>
      <c r="T34" s="146">
        <v>200</v>
      </c>
      <c r="U34" s="147">
        <v>1</v>
      </c>
      <c r="V34" s="146">
        <v>200</v>
      </c>
      <c r="W34" s="147">
        <v>1</v>
      </c>
      <c r="X34" s="146">
        <v>200</v>
      </c>
      <c r="Y34" s="147">
        <v>1</v>
      </c>
      <c r="Z34" s="146">
        <v>200</v>
      </c>
    </row>
    <row r="35" spans="1:26" ht="15.75" customHeight="1" x14ac:dyDescent="0.25">
      <c r="A35" s="36">
        <v>1</v>
      </c>
      <c r="B35" s="37" t="s">
        <v>213</v>
      </c>
      <c r="C35" s="147">
        <v>1</v>
      </c>
      <c r="D35" s="146">
        <v>200</v>
      </c>
      <c r="E35" s="147">
        <v>1</v>
      </c>
      <c r="F35" s="146">
        <v>200</v>
      </c>
      <c r="G35" s="147">
        <v>1</v>
      </c>
      <c r="H35" s="146">
        <v>200</v>
      </c>
      <c r="I35" s="147">
        <v>1</v>
      </c>
      <c r="J35" s="146">
        <v>200</v>
      </c>
      <c r="K35" s="147">
        <v>1</v>
      </c>
      <c r="L35" s="146">
        <v>200</v>
      </c>
      <c r="M35" s="147">
        <v>1</v>
      </c>
      <c r="N35" s="146">
        <v>200</v>
      </c>
      <c r="O35" s="147">
        <v>1</v>
      </c>
      <c r="P35" s="146">
        <v>200</v>
      </c>
      <c r="Q35" s="147">
        <v>1</v>
      </c>
      <c r="R35" s="146">
        <v>200</v>
      </c>
      <c r="S35" s="147">
        <v>1</v>
      </c>
      <c r="T35" s="146">
        <v>200</v>
      </c>
      <c r="U35" s="147">
        <v>1</v>
      </c>
      <c r="V35" s="146">
        <v>200</v>
      </c>
      <c r="W35" s="147">
        <v>1</v>
      </c>
      <c r="X35" s="146">
        <v>200</v>
      </c>
      <c r="Y35" s="147">
        <v>1</v>
      </c>
      <c r="Z35" s="146">
        <v>200</v>
      </c>
    </row>
    <row r="36" spans="1:26" ht="15.75" customHeight="1" x14ac:dyDescent="0.25">
      <c r="A36" s="36">
        <v>1</v>
      </c>
      <c r="B36" s="37" t="s">
        <v>214</v>
      </c>
      <c r="C36" s="147">
        <v>1</v>
      </c>
      <c r="D36" s="146">
        <v>200</v>
      </c>
      <c r="E36" s="147">
        <v>1</v>
      </c>
      <c r="F36" s="146">
        <v>200</v>
      </c>
      <c r="G36" s="147">
        <v>1</v>
      </c>
      <c r="H36" s="146">
        <v>200</v>
      </c>
      <c r="I36" s="147">
        <v>1</v>
      </c>
      <c r="J36" s="146">
        <v>200</v>
      </c>
      <c r="K36" s="147">
        <v>1</v>
      </c>
      <c r="L36" s="146">
        <v>200</v>
      </c>
      <c r="M36" s="147">
        <v>1</v>
      </c>
      <c r="N36" s="146">
        <v>200</v>
      </c>
      <c r="O36" s="147">
        <v>1</v>
      </c>
      <c r="P36" s="146">
        <v>200</v>
      </c>
      <c r="Q36" s="147">
        <v>1</v>
      </c>
      <c r="R36" s="146">
        <v>200</v>
      </c>
      <c r="S36" s="147">
        <v>1</v>
      </c>
      <c r="T36" s="146">
        <v>200</v>
      </c>
      <c r="U36" s="147">
        <v>1</v>
      </c>
      <c r="V36" s="146">
        <v>200</v>
      </c>
      <c r="W36" s="147">
        <v>1</v>
      </c>
      <c r="X36" s="146">
        <v>200</v>
      </c>
      <c r="Y36" s="147">
        <v>1</v>
      </c>
      <c r="Z36" s="146">
        <v>200</v>
      </c>
    </row>
    <row r="37" spans="1:26" ht="15.75" customHeight="1" x14ac:dyDescent="0.25">
      <c r="A37" s="145">
        <v>1</v>
      </c>
      <c r="B37" s="227" t="s">
        <v>262</v>
      </c>
      <c r="C37" s="147">
        <v>0</v>
      </c>
      <c r="D37" s="146">
        <v>0</v>
      </c>
      <c r="E37" s="147">
        <v>0</v>
      </c>
      <c r="F37" s="146">
        <v>0</v>
      </c>
      <c r="G37" s="147">
        <v>0</v>
      </c>
      <c r="H37" s="146">
        <v>0</v>
      </c>
      <c r="I37" s="147">
        <v>0</v>
      </c>
      <c r="J37" s="146">
        <v>0</v>
      </c>
      <c r="K37" s="147">
        <v>0</v>
      </c>
      <c r="L37" s="146">
        <v>0</v>
      </c>
      <c r="M37" s="149">
        <v>1</v>
      </c>
      <c r="N37" s="150">
        <v>200</v>
      </c>
      <c r="O37" s="149">
        <v>1</v>
      </c>
      <c r="P37" s="150">
        <v>200</v>
      </c>
      <c r="Q37" s="149">
        <v>1</v>
      </c>
      <c r="R37" s="150">
        <v>200</v>
      </c>
      <c r="S37" s="149">
        <v>1</v>
      </c>
      <c r="T37" s="150">
        <v>200</v>
      </c>
      <c r="U37" s="149">
        <v>1</v>
      </c>
      <c r="V37" s="150">
        <v>200</v>
      </c>
      <c r="W37" s="149">
        <v>1</v>
      </c>
      <c r="X37" s="150">
        <v>200</v>
      </c>
      <c r="Y37" s="149">
        <v>1</v>
      </c>
      <c r="Z37" s="150">
        <v>200</v>
      </c>
    </row>
    <row r="38" spans="1:26" x14ac:dyDescent="0.25">
      <c r="A38" s="228"/>
      <c r="B38" s="229"/>
    </row>
    <row r="39" spans="1:26" ht="15.75" thickBot="1" x14ac:dyDescent="0.3">
      <c r="A39" s="228"/>
      <c r="B39" s="229"/>
    </row>
    <row r="40" spans="1:26" ht="27" thickBot="1" x14ac:dyDescent="0.45">
      <c r="A40" s="460" t="s">
        <v>166</v>
      </c>
      <c r="B40" s="322"/>
      <c r="C40" s="322"/>
      <c r="D40" s="322"/>
      <c r="E40" s="323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customHeight="1" x14ac:dyDescent="0.2">
      <c r="A41" s="450" t="s">
        <v>219</v>
      </c>
      <c r="B41" s="451"/>
      <c r="C41" s="454" t="s">
        <v>42</v>
      </c>
      <c r="D41" s="455"/>
      <c r="E41" s="456" t="s">
        <v>43</v>
      </c>
      <c r="F41" s="457"/>
      <c r="G41" s="458" t="s">
        <v>44</v>
      </c>
      <c r="H41" s="459"/>
      <c r="I41" s="458" t="s">
        <v>45</v>
      </c>
      <c r="J41" s="459"/>
      <c r="K41" s="458" t="s">
        <v>46</v>
      </c>
      <c r="L41" s="459"/>
      <c r="M41" s="458" t="s">
        <v>47</v>
      </c>
      <c r="N41" s="459"/>
      <c r="O41" s="458" t="s">
        <v>48</v>
      </c>
      <c r="P41" s="459"/>
      <c r="Q41" s="458" t="s">
        <v>49</v>
      </c>
      <c r="R41" s="459"/>
      <c r="S41" s="458" t="s">
        <v>50</v>
      </c>
      <c r="T41" s="459"/>
      <c r="U41" s="458" t="s">
        <v>51</v>
      </c>
      <c r="V41" s="459"/>
      <c r="W41" s="458" t="s">
        <v>52</v>
      </c>
      <c r="X41" s="459"/>
      <c r="Y41" s="458" t="s">
        <v>53</v>
      </c>
      <c r="Z41" s="459"/>
    </row>
    <row r="42" spans="1:26" ht="30.75" thickBot="1" x14ac:dyDescent="0.25">
      <c r="A42" s="452"/>
      <c r="B42" s="453"/>
      <c r="C42" s="216" t="s">
        <v>165</v>
      </c>
      <c r="D42" s="217" t="s">
        <v>93</v>
      </c>
      <c r="E42" s="216" t="s">
        <v>165</v>
      </c>
      <c r="F42" s="217" t="s">
        <v>93</v>
      </c>
      <c r="G42" s="216" t="s">
        <v>165</v>
      </c>
      <c r="H42" s="217" t="s">
        <v>93</v>
      </c>
      <c r="I42" s="216" t="s">
        <v>165</v>
      </c>
      <c r="J42" s="217" t="s">
        <v>93</v>
      </c>
      <c r="K42" s="216" t="s">
        <v>165</v>
      </c>
      <c r="L42" s="217" t="s">
        <v>93</v>
      </c>
      <c r="M42" s="216" t="s">
        <v>165</v>
      </c>
      <c r="N42" s="217" t="s">
        <v>93</v>
      </c>
      <c r="O42" s="216" t="s">
        <v>165</v>
      </c>
      <c r="P42" s="217" t="s">
        <v>93</v>
      </c>
      <c r="Q42" s="216" t="s">
        <v>165</v>
      </c>
      <c r="R42" s="217" t="s">
        <v>93</v>
      </c>
      <c r="S42" s="216" t="s">
        <v>165</v>
      </c>
      <c r="T42" s="217" t="s">
        <v>93</v>
      </c>
      <c r="U42" s="216" t="s">
        <v>165</v>
      </c>
      <c r="V42" s="217" t="s">
        <v>93</v>
      </c>
      <c r="W42" s="216" t="s">
        <v>165</v>
      </c>
      <c r="X42" s="217" t="s">
        <v>93</v>
      </c>
      <c r="Y42" s="216" t="s">
        <v>165</v>
      </c>
      <c r="Z42" s="217" t="s">
        <v>93</v>
      </c>
    </row>
    <row r="43" spans="1:26" ht="15.75" customHeight="1" x14ac:dyDescent="0.25">
      <c r="A43" s="34">
        <v>1</v>
      </c>
      <c r="B43" s="35" t="s">
        <v>62</v>
      </c>
      <c r="C43" s="147">
        <v>1</v>
      </c>
      <c r="D43" s="146">
        <v>200</v>
      </c>
      <c r="E43" s="147">
        <v>1</v>
      </c>
      <c r="F43" s="146">
        <v>200</v>
      </c>
      <c r="G43" s="147">
        <v>1</v>
      </c>
      <c r="H43" s="146">
        <v>200</v>
      </c>
      <c r="I43" s="147">
        <v>1</v>
      </c>
      <c r="J43" s="146">
        <v>200</v>
      </c>
      <c r="K43" s="147">
        <v>1</v>
      </c>
      <c r="L43" s="146">
        <v>200</v>
      </c>
      <c r="M43" s="147">
        <v>1</v>
      </c>
      <c r="N43" s="146">
        <v>200</v>
      </c>
      <c r="O43" s="147">
        <v>1</v>
      </c>
      <c r="P43" s="146">
        <v>200</v>
      </c>
      <c r="Q43" s="147">
        <v>1</v>
      </c>
      <c r="R43" s="146">
        <v>200</v>
      </c>
      <c r="S43" s="147">
        <v>1</v>
      </c>
      <c r="T43" s="146">
        <v>200</v>
      </c>
      <c r="U43" s="147">
        <v>1</v>
      </c>
      <c r="V43" s="146">
        <v>200</v>
      </c>
      <c r="W43" s="147">
        <v>1</v>
      </c>
      <c r="X43" s="146">
        <v>200</v>
      </c>
      <c r="Y43" s="147">
        <v>1</v>
      </c>
      <c r="Z43" s="146">
        <v>200</v>
      </c>
    </row>
    <row r="44" spans="1:26" ht="15.75" customHeight="1" x14ac:dyDescent="0.25">
      <c r="A44" s="36">
        <v>1</v>
      </c>
      <c r="B44" s="37" t="s">
        <v>212</v>
      </c>
      <c r="C44" s="147">
        <v>1</v>
      </c>
      <c r="D44" s="146">
        <v>200</v>
      </c>
      <c r="E44" s="147">
        <v>1</v>
      </c>
      <c r="F44" s="146">
        <v>200</v>
      </c>
      <c r="G44" s="147">
        <v>1</v>
      </c>
      <c r="H44" s="146">
        <v>200</v>
      </c>
      <c r="I44" s="147">
        <v>1</v>
      </c>
      <c r="J44" s="146">
        <v>200</v>
      </c>
      <c r="K44" s="147">
        <v>1</v>
      </c>
      <c r="L44" s="146">
        <v>200</v>
      </c>
      <c r="M44" s="147">
        <v>1</v>
      </c>
      <c r="N44" s="146">
        <v>200</v>
      </c>
      <c r="O44" s="147">
        <v>1</v>
      </c>
      <c r="P44" s="146">
        <v>200</v>
      </c>
      <c r="Q44" s="147">
        <v>1</v>
      </c>
      <c r="R44" s="146">
        <v>200</v>
      </c>
      <c r="S44" s="147">
        <v>1</v>
      </c>
      <c r="T44" s="146">
        <v>200</v>
      </c>
      <c r="U44" s="147">
        <v>1</v>
      </c>
      <c r="V44" s="146">
        <v>200</v>
      </c>
      <c r="W44" s="147">
        <v>1</v>
      </c>
      <c r="X44" s="146">
        <v>200</v>
      </c>
      <c r="Y44" s="147">
        <v>1</v>
      </c>
      <c r="Z44" s="146">
        <v>200</v>
      </c>
    </row>
    <row r="45" spans="1:26" ht="14.25" customHeight="1" x14ac:dyDescent="0.25">
      <c r="A45" s="36">
        <v>1</v>
      </c>
      <c r="B45" s="37" t="s">
        <v>64</v>
      </c>
      <c r="C45" s="147">
        <v>1</v>
      </c>
      <c r="D45" s="146">
        <v>200</v>
      </c>
      <c r="E45" s="147">
        <v>1</v>
      </c>
      <c r="F45" s="146">
        <v>200</v>
      </c>
      <c r="G45" s="147">
        <v>1</v>
      </c>
      <c r="H45" s="146">
        <v>200</v>
      </c>
      <c r="I45" s="147">
        <v>1</v>
      </c>
      <c r="J45" s="146">
        <v>200</v>
      </c>
      <c r="K45" s="147">
        <v>1</v>
      </c>
      <c r="L45" s="146">
        <v>200</v>
      </c>
      <c r="M45" s="147">
        <v>1</v>
      </c>
      <c r="N45" s="146">
        <v>200</v>
      </c>
      <c r="O45" s="147">
        <v>1</v>
      </c>
      <c r="P45" s="146">
        <v>200</v>
      </c>
      <c r="Q45" s="147">
        <v>1</v>
      </c>
      <c r="R45" s="146">
        <v>200</v>
      </c>
      <c r="S45" s="147">
        <v>1</v>
      </c>
      <c r="T45" s="146">
        <v>200</v>
      </c>
      <c r="U45" s="147">
        <v>1</v>
      </c>
      <c r="V45" s="146">
        <v>200</v>
      </c>
      <c r="W45" s="147">
        <v>1</v>
      </c>
      <c r="X45" s="146">
        <v>200</v>
      </c>
      <c r="Y45" s="147">
        <v>1</v>
      </c>
      <c r="Z45" s="146">
        <v>200</v>
      </c>
    </row>
    <row r="46" spans="1:26" ht="15.75" customHeight="1" x14ac:dyDescent="0.25">
      <c r="A46" s="36">
        <v>1</v>
      </c>
      <c r="B46" s="37" t="s">
        <v>213</v>
      </c>
      <c r="C46" s="147">
        <v>1</v>
      </c>
      <c r="D46" s="146">
        <v>200</v>
      </c>
      <c r="E46" s="147">
        <v>1</v>
      </c>
      <c r="F46" s="146">
        <v>200</v>
      </c>
      <c r="G46" s="147">
        <v>1</v>
      </c>
      <c r="H46" s="146">
        <v>200</v>
      </c>
      <c r="I46" s="147">
        <v>1</v>
      </c>
      <c r="J46" s="146">
        <v>200</v>
      </c>
      <c r="K46" s="147">
        <v>1</v>
      </c>
      <c r="L46" s="146">
        <v>200</v>
      </c>
      <c r="M46" s="147">
        <v>1</v>
      </c>
      <c r="N46" s="146">
        <v>200</v>
      </c>
      <c r="O46" s="147">
        <v>1</v>
      </c>
      <c r="P46" s="146">
        <v>200</v>
      </c>
      <c r="Q46" s="147">
        <v>1</v>
      </c>
      <c r="R46" s="146">
        <v>200</v>
      </c>
      <c r="S46" s="147">
        <v>1</v>
      </c>
      <c r="T46" s="146">
        <v>200</v>
      </c>
      <c r="U46" s="147">
        <v>1</v>
      </c>
      <c r="V46" s="146">
        <v>200</v>
      </c>
      <c r="W46" s="147">
        <v>1</v>
      </c>
      <c r="X46" s="146">
        <v>200</v>
      </c>
      <c r="Y46" s="147">
        <v>1</v>
      </c>
      <c r="Z46" s="146">
        <v>200</v>
      </c>
    </row>
    <row r="47" spans="1:26" ht="15.75" customHeight="1" x14ac:dyDescent="0.25">
      <c r="A47" s="36">
        <v>1</v>
      </c>
      <c r="B47" s="37" t="s">
        <v>214</v>
      </c>
      <c r="C47" s="147">
        <v>1</v>
      </c>
      <c r="D47" s="146">
        <v>200</v>
      </c>
      <c r="E47" s="147">
        <v>1</v>
      </c>
      <c r="F47" s="146">
        <v>200</v>
      </c>
      <c r="G47" s="147">
        <v>1</v>
      </c>
      <c r="H47" s="146">
        <v>200</v>
      </c>
      <c r="I47" s="147">
        <v>1</v>
      </c>
      <c r="J47" s="146">
        <v>200</v>
      </c>
      <c r="K47" s="147">
        <v>1</v>
      </c>
      <c r="L47" s="146">
        <v>200</v>
      </c>
      <c r="M47" s="147">
        <v>1</v>
      </c>
      <c r="N47" s="146">
        <v>200</v>
      </c>
      <c r="O47" s="147">
        <v>1</v>
      </c>
      <c r="P47" s="146">
        <v>200</v>
      </c>
      <c r="Q47" s="147">
        <v>1</v>
      </c>
      <c r="R47" s="146">
        <v>200</v>
      </c>
      <c r="S47" s="147">
        <v>1</v>
      </c>
      <c r="T47" s="146">
        <v>200</v>
      </c>
      <c r="U47" s="147">
        <v>1</v>
      </c>
      <c r="V47" s="146">
        <v>200</v>
      </c>
      <c r="W47" s="147">
        <v>1</v>
      </c>
      <c r="X47" s="146">
        <v>200</v>
      </c>
      <c r="Y47" s="147">
        <v>1</v>
      </c>
      <c r="Z47" s="146">
        <v>200</v>
      </c>
    </row>
    <row r="48" spans="1:26" ht="15.75" customHeight="1" x14ac:dyDescent="0.25">
      <c r="A48" s="145">
        <v>2</v>
      </c>
      <c r="B48" s="227" t="s">
        <v>262</v>
      </c>
      <c r="C48" s="147">
        <v>1</v>
      </c>
      <c r="D48" s="146">
        <v>200</v>
      </c>
      <c r="E48" s="147">
        <v>1</v>
      </c>
      <c r="F48" s="146">
        <v>200</v>
      </c>
      <c r="G48" s="147">
        <v>1</v>
      </c>
      <c r="H48" s="146">
        <v>200</v>
      </c>
      <c r="I48" s="147">
        <v>1</v>
      </c>
      <c r="J48" s="146">
        <v>200</v>
      </c>
      <c r="K48" s="147">
        <v>1</v>
      </c>
      <c r="L48" s="146">
        <v>200</v>
      </c>
      <c r="M48" s="149">
        <v>2</v>
      </c>
      <c r="N48" s="150">
        <v>400</v>
      </c>
      <c r="O48" s="149">
        <v>2</v>
      </c>
      <c r="P48" s="150">
        <v>400</v>
      </c>
      <c r="Q48" s="149">
        <v>2</v>
      </c>
      <c r="R48" s="150">
        <v>400</v>
      </c>
      <c r="S48" s="149">
        <v>2</v>
      </c>
      <c r="T48" s="150">
        <v>400</v>
      </c>
      <c r="U48" s="149">
        <v>2</v>
      </c>
      <c r="V48" s="150">
        <v>400</v>
      </c>
      <c r="W48" s="149">
        <v>2</v>
      </c>
      <c r="X48" s="150">
        <v>400</v>
      </c>
      <c r="Y48" s="149">
        <v>2</v>
      </c>
      <c r="Z48" s="150">
        <v>400</v>
      </c>
    </row>
    <row r="49" spans="1:20" ht="15.75" customHeight="1" x14ac:dyDescent="0.2"/>
    <row r="50" spans="1:20" ht="15.75" customHeight="1" x14ac:dyDescent="0.2"/>
    <row r="51" spans="1:20" ht="15.75" customHeight="1" x14ac:dyDescent="0.2"/>
    <row r="52" spans="1:20" ht="15.75" customHeight="1" x14ac:dyDescent="0.2"/>
    <row r="53" spans="1:20" ht="15.75" customHeight="1" x14ac:dyDescent="0.2"/>
    <row r="54" spans="1:20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5.75" customHeight="1" x14ac:dyDescent="0.2"/>
    <row r="62" spans="1:20" ht="15.75" customHeight="1" x14ac:dyDescent="0.2"/>
    <row r="63" spans="1:20" ht="15.75" customHeight="1" x14ac:dyDescent="0.2"/>
    <row r="64" spans="1:2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"/>
    <row r="131" spans="1:26" ht="15.75" customHeight="1" x14ac:dyDescent="0.2"/>
    <row r="132" spans="1:26" ht="15.75" customHeight="1" x14ac:dyDescent="0.25">
      <c r="A132" s="1"/>
      <c r="B132" s="2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2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2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2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2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2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2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2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2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2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2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2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2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2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2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2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2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2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2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2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2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2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2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2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2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2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2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2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2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2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2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2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2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2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2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2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2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2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2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2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2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2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2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2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2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2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2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2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2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2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2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2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2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2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2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2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2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2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2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2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2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2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2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2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2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2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2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2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2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2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2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2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2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2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2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2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2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2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2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2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2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2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2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2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2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2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2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2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2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2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2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2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2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2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2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2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2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2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2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2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2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2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2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2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2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2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2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2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2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2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2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2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2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2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2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2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2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2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2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2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2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2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2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2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2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2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2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2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2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2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2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2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2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2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2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2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2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2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2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2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2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2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2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2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2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2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2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2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2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2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2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2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2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2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2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2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2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2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2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2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2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2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2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2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2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2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2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2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2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2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2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2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2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2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2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2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2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2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2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2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2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2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2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2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2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2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2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2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2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2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2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2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2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2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2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2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2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2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2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2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2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2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2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2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2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2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2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2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2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2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2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2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2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2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2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2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2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2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2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2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2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2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2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2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2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2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2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2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2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2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2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2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2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2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2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2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2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2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2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2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2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2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2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2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2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2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2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2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2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2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2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2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2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2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2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2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2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2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2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2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2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2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2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2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2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2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2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2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2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2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2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2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2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2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2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2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2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2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2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2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2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2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2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2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2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2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2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2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2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2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2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2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2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2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2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2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2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2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2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2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2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2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2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2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2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2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2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2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2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2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2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2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2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2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2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2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2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2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2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2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2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2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2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2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2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2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2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2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2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2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2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2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2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2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2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2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2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2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2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2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2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2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2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2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2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2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2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2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2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2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2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2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2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2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2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2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2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2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2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2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2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2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2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2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2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2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2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2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2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2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2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2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2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2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2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2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2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2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2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2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2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2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2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2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2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2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2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2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2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2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2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2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2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2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2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2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2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2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2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2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2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2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2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2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2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2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2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2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2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2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2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2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2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2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2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2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2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2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2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2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2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2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2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2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2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2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2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2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2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2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2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2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2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2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2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2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2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2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2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2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2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2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2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2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2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2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2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2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2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2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2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2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2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2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2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2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2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2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2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2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2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2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2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2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2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2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2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2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2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2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2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2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2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2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2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2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2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2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2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2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2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2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2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2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2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2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2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2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2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2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2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2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2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2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2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2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2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2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2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2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2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2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2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2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2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2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2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2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2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2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2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2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2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2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2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2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2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2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2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2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2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2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2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2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2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2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2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2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2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2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2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2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2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2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2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2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2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2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2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2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2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2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2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2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2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2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2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2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2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2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2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2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2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2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2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2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2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2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2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2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2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2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2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2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2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2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2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2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2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2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2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2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2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2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2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2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2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2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2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2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2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2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2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2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2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2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2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2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2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2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2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2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2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2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2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2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2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2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2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2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2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2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2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2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2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2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2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2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2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2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2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2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2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2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2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2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2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2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2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2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2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2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2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2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2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2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2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2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2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2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2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2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2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2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2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2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2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2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2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2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2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2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2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2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2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2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2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2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2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2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2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2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2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2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2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2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2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2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2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2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2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2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2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2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2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2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2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2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2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2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2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2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2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2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2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2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2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2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2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2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2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2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2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2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2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2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2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2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2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2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2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2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2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2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2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2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2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2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2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2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2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2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2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2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2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2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2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2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2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2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2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2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2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2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2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2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2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2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2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2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2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2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2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2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2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2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2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2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2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2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2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2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2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2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2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2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2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2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2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2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2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2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2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2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2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2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2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2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2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2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2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2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2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2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2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2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2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2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2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2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2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2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2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</sheetData>
  <mergeCells count="47">
    <mergeCell ref="K41:L41"/>
    <mergeCell ref="M41:N41"/>
    <mergeCell ref="O41:P41"/>
    <mergeCell ref="Q41:R41"/>
    <mergeCell ref="S41:T41"/>
    <mergeCell ref="U41:V41"/>
    <mergeCell ref="W41:X41"/>
    <mergeCell ref="Y41:Z41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40:E40"/>
    <mergeCell ref="W30:X30"/>
    <mergeCell ref="A41:B42"/>
    <mergeCell ref="C41:D41"/>
    <mergeCell ref="E41:F41"/>
    <mergeCell ref="G41:H41"/>
    <mergeCell ref="I41:J41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C20" sqref="C2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234"/>
      <c r="B1" s="234"/>
      <c r="C1" s="234"/>
      <c r="D1" s="234"/>
      <c r="E1" s="235" t="s">
        <v>12</v>
      </c>
      <c r="F1" s="234"/>
      <c r="G1" s="236"/>
      <c r="H1" s="236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x14ac:dyDescent="0.4">
      <c r="A7" s="1"/>
      <c r="B7" s="466" t="s">
        <v>38</v>
      </c>
      <c r="C7" s="386"/>
      <c r="D7" s="38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237">
        <v>2021</v>
      </c>
      <c r="C8" s="237">
        <v>2022</v>
      </c>
      <c r="D8" s="237">
        <v>2023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26">
        <f>Hipótesis!C27</f>
        <v>0.13</v>
      </c>
      <c r="C9" s="26">
        <f>Hipótesis!C28</f>
        <v>0.25</v>
      </c>
      <c r="D9" s="26">
        <f>Hipótesis!C29</f>
        <v>0.35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69">
        <f>Hipótesis!D27</f>
        <v>8829600</v>
      </c>
      <c r="C10" s="69">
        <f>Hipótesis!D28</f>
        <v>16980000</v>
      </c>
      <c r="D10" s="69">
        <f>Hipótesis!D29</f>
        <v>23772000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467" t="s">
        <v>223</v>
      </c>
      <c r="C15" s="468"/>
      <c r="D15" s="468"/>
      <c r="E15" s="469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253" t="s">
        <v>34</v>
      </c>
      <c r="C16" s="254" t="s">
        <v>96</v>
      </c>
      <c r="D16" s="254" t="s">
        <v>97</v>
      </c>
      <c r="E16" s="255" t="s">
        <v>98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250" t="str">
        <f>Hipótesis!B39</f>
        <v>Inicial</v>
      </c>
      <c r="C17" s="251">
        <f>'Proy. ventas'!D23</f>
        <v>3600000</v>
      </c>
      <c r="D17" s="251">
        <f>'Proy. ventas'!D54</f>
        <v>11520000</v>
      </c>
      <c r="E17" s="252">
        <f>'Proy. ventas'!D86</f>
        <v>24400000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70" t="str">
        <f>Hipótesis!B40</f>
        <v>Normal</v>
      </c>
      <c r="C18" s="71">
        <f>'Proy. ventas'!D24</f>
        <v>9360000</v>
      </c>
      <c r="D18" s="246">
        <f>'Proy. ventas'!D55</f>
        <v>25830000</v>
      </c>
      <c r="E18" s="248">
        <f>'Proy. ventas'!D87</f>
        <v>40140000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72" t="str">
        <f>Hipótesis!B41</f>
        <v>Premium</v>
      </c>
      <c r="C19" s="73">
        <f>'Proy. ventas'!D25</f>
        <v>8600000</v>
      </c>
      <c r="D19" s="247">
        <f>'Proy. ventas'!D56</f>
        <v>25400000</v>
      </c>
      <c r="E19" s="249">
        <f>'Proy. ventas'!D88</f>
        <v>41000000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74" t="s">
        <v>94</v>
      </c>
      <c r="C20" s="75">
        <f>SUM(C17:C19)</f>
        <v>21560000</v>
      </c>
      <c r="D20" s="75">
        <f>SUM(D17:D19)</f>
        <v>62750000</v>
      </c>
      <c r="E20" s="76">
        <f>SUM(E17:E19)</f>
        <v>105540000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2">
    <mergeCell ref="B7:D7"/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40"/>
  <sheetViews>
    <sheetView zoomScale="70" zoomScaleNormal="70" workbookViewId="0">
      <pane ySplit="1" topLeftCell="A28" activePane="bottomLeft" state="frozen"/>
      <selection pane="bottomLeft" activeCell="D52" sqref="D52:H55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58.25" customWidth="1"/>
    <col min="4" max="4" width="25.625" customWidth="1"/>
    <col min="5" max="5" width="16.875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256"/>
      <c r="B1" s="256"/>
      <c r="C1" s="256"/>
      <c r="D1" s="256"/>
      <c r="E1" s="256"/>
      <c r="F1" s="257" t="s">
        <v>13</v>
      </c>
      <c r="G1" s="258"/>
      <c r="H1" s="258"/>
      <c r="I1" s="256"/>
      <c r="J1" s="256"/>
      <c r="K1" s="256"/>
      <c r="L1" s="256"/>
      <c r="M1" s="256"/>
      <c r="N1" s="256"/>
      <c r="O1" s="256"/>
      <c r="P1" s="256"/>
      <c r="Q1" s="256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466" t="s">
        <v>38</v>
      </c>
      <c r="D3" s="386"/>
      <c r="E3" s="387"/>
      <c r="F3" s="1"/>
      <c r="G3" s="466" t="s">
        <v>99</v>
      </c>
      <c r="H3" s="386"/>
      <c r="I3" s="38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259">
        <v>2021</v>
      </c>
      <c r="D4" s="237">
        <v>2022</v>
      </c>
      <c r="E4" s="260">
        <v>2023</v>
      </c>
      <c r="F4" s="1"/>
      <c r="G4" s="259">
        <v>2021</v>
      </c>
      <c r="H4" s="237">
        <v>2022</v>
      </c>
      <c r="I4" s="260">
        <v>2023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25">
        <f>Hipótesis!C27</f>
        <v>0.13</v>
      </c>
      <c r="D5" s="26">
        <f>Hipótesis!C28</f>
        <v>0.25</v>
      </c>
      <c r="E5" s="27">
        <f>Hipótesis!C29</f>
        <v>0.35</v>
      </c>
      <c r="F5" s="1"/>
      <c r="G5" s="28">
        <f>P19</f>
        <v>2001600</v>
      </c>
      <c r="H5" s="29">
        <f>P32</f>
        <v>2601600</v>
      </c>
      <c r="I5" s="30">
        <f>P45</f>
        <v>3201600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28">
        <f>Hipótesis!D27</f>
        <v>8829600</v>
      </c>
      <c r="D6" s="29">
        <f>Hipótesis!D28</f>
        <v>16980000</v>
      </c>
      <c r="E6" s="30">
        <f>Hipótesis!D29</f>
        <v>23772000</v>
      </c>
      <c r="F6" s="1"/>
      <c r="G6" s="77"/>
      <c r="H6" s="77"/>
      <c r="I6" s="77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470" t="s">
        <v>104</v>
      </c>
      <c r="C9" s="416"/>
      <c r="D9" s="416"/>
      <c r="E9" s="416"/>
      <c r="F9" s="416"/>
      <c r="G9" s="416"/>
      <c r="H9" s="416"/>
      <c r="I9" s="416"/>
      <c r="J9" s="416"/>
      <c r="K9" s="416"/>
      <c r="L9" s="416"/>
      <c r="M9" s="416"/>
      <c r="N9" s="416"/>
      <c r="O9" s="416"/>
      <c r="P9" s="416"/>
      <c r="Q9" s="416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471" t="s">
        <v>100</v>
      </c>
      <c r="C10" s="416"/>
      <c r="D10" s="261" t="s">
        <v>42</v>
      </c>
      <c r="E10" s="261" t="s">
        <v>43</v>
      </c>
      <c r="F10" s="261" t="s">
        <v>44</v>
      </c>
      <c r="G10" s="261" t="s">
        <v>45</v>
      </c>
      <c r="H10" s="261" t="s">
        <v>46</v>
      </c>
      <c r="I10" s="261" t="s">
        <v>47</v>
      </c>
      <c r="J10" s="261" t="s">
        <v>48</v>
      </c>
      <c r="K10" s="261" t="s">
        <v>49</v>
      </c>
      <c r="L10" s="261" t="s">
        <v>50</v>
      </c>
      <c r="M10" s="261" t="s">
        <v>51</v>
      </c>
      <c r="N10" s="261" t="s">
        <v>52</v>
      </c>
      <c r="O10" s="261" t="s">
        <v>53</v>
      </c>
      <c r="P10" s="261" t="s">
        <v>101</v>
      </c>
      <c r="Q10" s="261" t="s">
        <v>102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263" t="s">
        <v>226</v>
      </c>
      <c r="C11" s="264" t="s">
        <v>171</v>
      </c>
      <c r="D11" s="83">
        <f>C49</f>
        <v>4200</v>
      </c>
      <c r="E11" s="83">
        <f>C49</f>
        <v>4200</v>
      </c>
      <c r="F11" s="83">
        <f>C49</f>
        <v>4200</v>
      </c>
      <c r="G11" s="83">
        <f>C49</f>
        <v>4200</v>
      </c>
      <c r="H11" s="83">
        <f>C49</f>
        <v>4200</v>
      </c>
      <c r="I11" s="83">
        <f>C49</f>
        <v>4200</v>
      </c>
      <c r="J11" s="83">
        <f>C49</f>
        <v>4200</v>
      </c>
      <c r="K11" s="83">
        <f>C49</f>
        <v>4200</v>
      </c>
      <c r="L11" s="83">
        <f>C49</f>
        <v>4200</v>
      </c>
      <c r="M11" s="83">
        <f>C49</f>
        <v>4200</v>
      </c>
      <c r="N11" s="83">
        <f>C49</f>
        <v>4200</v>
      </c>
      <c r="O11" s="83">
        <f>C49</f>
        <v>4200</v>
      </c>
      <c r="P11" s="262">
        <f t="shared" ref="P11:P18" si="0">SUM(D11:O11)</f>
        <v>50400</v>
      </c>
      <c r="Q11" s="265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thickBot="1" x14ac:dyDescent="0.3">
      <c r="A12" s="1"/>
      <c r="B12" s="266" t="s">
        <v>224</v>
      </c>
      <c r="C12" s="264" t="s">
        <v>173</v>
      </c>
      <c r="D12" s="83">
        <f>$C$50</f>
        <v>2600</v>
      </c>
      <c r="E12" s="83">
        <f>$C$50</f>
        <v>2600</v>
      </c>
      <c r="F12" s="83">
        <f>$C$50</f>
        <v>2600</v>
      </c>
      <c r="G12" s="83">
        <f t="shared" ref="G12:O12" si="1">$C$50</f>
        <v>2600</v>
      </c>
      <c r="H12" s="83">
        <f t="shared" si="1"/>
        <v>2600</v>
      </c>
      <c r="I12" s="83">
        <f t="shared" si="1"/>
        <v>2600</v>
      </c>
      <c r="J12" s="83">
        <f t="shared" si="1"/>
        <v>2600</v>
      </c>
      <c r="K12" s="83">
        <f t="shared" si="1"/>
        <v>2600</v>
      </c>
      <c r="L12" s="83">
        <f t="shared" si="1"/>
        <v>2600</v>
      </c>
      <c r="M12" s="83">
        <f t="shared" si="1"/>
        <v>2600</v>
      </c>
      <c r="N12" s="83">
        <f t="shared" si="1"/>
        <v>2600</v>
      </c>
      <c r="O12" s="83">
        <f t="shared" si="1"/>
        <v>2600</v>
      </c>
      <c r="P12" s="262">
        <f t="shared" ref="P12" si="2">SUM(D12:O12)</f>
        <v>31200</v>
      </c>
      <c r="Q12" s="267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 thickBot="1" x14ac:dyDescent="0.3">
      <c r="A13" s="1"/>
      <c r="B13" s="266" t="s">
        <v>103</v>
      </c>
      <c r="C13" s="264" t="s">
        <v>172</v>
      </c>
      <c r="D13" s="83">
        <f>$C$51</f>
        <v>75000</v>
      </c>
      <c r="E13" s="83">
        <f>$C$51</f>
        <v>75000</v>
      </c>
      <c r="F13" s="83">
        <f>$C$51</f>
        <v>75000</v>
      </c>
      <c r="G13" s="83">
        <f>$C$51</f>
        <v>75000</v>
      </c>
      <c r="H13" s="83">
        <f>$C$51</f>
        <v>75000</v>
      </c>
      <c r="I13" s="83">
        <f>$C$51</f>
        <v>75000</v>
      </c>
      <c r="J13" s="83">
        <f>$C$51</f>
        <v>75000</v>
      </c>
      <c r="K13" s="83">
        <f>$C$51</f>
        <v>75000</v>
      </c>
      <c r="L13" s="83">
        <f>$C$51</f>
        <v>75000</v>
      </c>
      <c r="M13" s="83">
        <f>$C$51</f>
        <v>75000</v>
      </c>
      <c r="N13" s="83">
        <f>$C$51</f>
        <v>75000</v>
      </c>
      <c r="O13" s="83">
        <f>$C$51</f>
        <v>75000</v>
      </c>
      <c r="P13" s="262">
        <f t="shared" si="0"/>
        <v>900000</v>
      </c>
      <c r="Q13" s="267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44"/>
      <c r="B14" s="263" t="s">
        <v>227</v>
      </c>
      <c r="C14" s="264" t="s">
        <v>232</v>
      </c>
      <c r="D14" s="83">
        <f>$C$55</f>
        <v>4000</v>
      </c>
      <c r="E14" s="83">
        <f>$C$55</f>
        <v>4000</v>
      </c>
      <c r="F14" s="83">
        <f>$C$55</f>
        <v>4000</v>
      </c>
      <c r="G14" s="83">
        <f>$C$55</f>
        <v>4000</v>
      </c>
      <c r="H14" s="83">
        <f>$C$55</f>
        <v>4000</v>
      </c>
      <c r="I14" s="83">
        <f>$C$55</f>
        <v>4000</v>
      </c>
      <c r="J14" s="83">
        <f>$C$55</f>
        <v>4000</v>
      </c>
      <c r="K14" s="83">
        <f>$C$55</f>
        <v>4000</v>
      </c>
      <c r="L14" s="83">
        <f>$C$55</f>
        <v>4000</v>
      </c>
      <c r="M14" s="83">
        <f>$C$55</f>
        <v>4000</v>
      </c>
      <c r="N14" s="83">
        <f>$C$55</f>
        <v>4000</v>
      </c>
      <c r="O14" s="83">
        <f>$C$55</f>
        <v>4000</v>
      </c>
      <c r="P14" s="262">
        <f t="shared" si="0"/>
        <v>48000</v>
      </c>
      <c r="Q14" s="267"/>
      <c r="R14" s="144"/>
      <c r="S14" s="144"/>
      <c r="T14" s="144"/>
      <c r="U14" s="144"/>
      <c r="V14" s="144"/>
      <c r="W14" s="144"/>
      <c r="X14" s="144"/>
      <c r="Y14" s="144"/>
      <c r="Z14" s="144"/>
    </row>
    <row r="15" spans="1:26" ht="24.75" customHeight="1" thickBot="1" x14ac:dyDescent="0.3">
      <c r="A15" s="144"/>
      <c r="B15" s="263" t="s">
        <v>228</v>
      </c>
      <c r="C15" s="264" t="s">
        <v>233</v>
      </c>
      <c r="D15" s="83">
        <f>$C$56</f>
        <v>10000</v>
      </c>
      <c r="E15" s="83">
        <f>$C$56</f>
        <v>10000</v>
      </c>
      <c r="F15" s="83">
        <f>$C$56</f>
        <v>10000</v>
      </c>
      <c r="G15" s="83">
        <f>$C$56</f>
        <v>10000</v>
      </c>
      <c r="H15" s="83">
        <f>$C$56</f>
        <v>10000</v>
      </c>
      <c r="I15" s="83">
        <f>$C$56</f>
        <v>10000</v>
      </c>
      <c r="J15" s="83">
        <f>$C$56</f>
        <v>10000</v>
      </c>
      <c r="K15" s="83">
        <f>$C$56</f>
        <v>10000</v>
      </c>
      <c r="L15" s="83">
        <f>$C$56</f>
        <v>10000</v>
      </c>
      <c r="M15" s="83">
        <f>$C$56</f>
        <v>10000</v>
      </c>
      <c r="N15" s="83">
        <f>$C$56</f>
        <v>10000</v>
      </c>
      <c r="O15" s="83">
        <f>$C$56</f>
        <v>10000</v>
      </c>
      <c r="P15" s="262">
        <f t="shared" si="0"/>
        <v>120000</v>
      </c>
      <c r="Q15" s="267"/>
      <c r="R15" s="144"/>
      <c r="S15" s="144"/>
      <c r="T15" s="144"/>
      <c r="U15" s="144"/>
      <c r="V15" s="144"/>
      <c r="W15" s="144"/>
      <c r="X15" s="144"/>
      <c r="Y15" s="144"/>
      <c r="Z15" s="144"/>
    </row>
    <row r="16" spans="1:26" ht="20.25" customHeight="1" thickBot="1" x14ac:dyDescent="0.3">
      <c r="A16" s="144"/>
      <c r="B16" s="263" t="s">
        <v>229</v>
      </c>
      <c r="C16" s="264" t="s">
        <v>234</v>
      </c>
      <c r="D16" s="83">
        <f>$C$57</f>
        <v>11000</v>
      </c>
      <c r="E16" s="83">
        <f>$C$57</f>
        <v>11000</v>
      </c>
      <c r="F16" s="83">
        <f>$C$57</f>
        <v>11000</v>
      </c>
      <c r="G16" s="83">
        <f>$C$57</f>
        <v>11000</v>
      </c>
      <c r="H16" s="83">
        <f>$C$57</f>
        <v>11000</v>
      </c>
      <c r="I16" s="83">
        <f>$C$57</f>
        <v>11000</v>
      </c>
      <c r="J16" s="83">
        <f>$C$57</f>
        <v>11000</v>
      </c>
      <c r="K16" s="83">
        <f>$C$57</f>
        <v>11000</v>
      </c>
      <c r="L16" s="83">
        <f>$C$57</f>
        <v>11000</v>
      </c>
      <c r="M16" s="83">
        <f>$C$57</f>
        <v>11000</v>
      </c>
      <c r="N16" s="83">
        <f>$C$57</f>
        <v>11000</v>
      </c>
      <c r="O16" s="83">
        <f>$C$57</f>
        <v>11000</v>
      </c>
      <c r="P16" s="262">
        <f t="shared" si="0"/>
        <v>132000</v>
      </c>
      <c r="Q16" s="267"/>
      <c r="R16" s="144"/>
      <c r="S16" s="144"/>
      <c r="T16" s="144"/>
      <c r="U16" s="144"/>
      <c r="V16" s="144"/>
      <c r="W16" s="144"/>
      <c r="X16" s="144"/>
      <c r="Y16" s="144"/>
      <c r="Z16" s="144"/>
    </row>
    <row r="17" spans="1:26" ht="15.75" customHeight="1" thickBot="1" x14ac:dyDescent="0.3">
      <c r="A17" s="144"/>
      <c r="B17" s="263" t="s">
        <v>230</v>
      </c>
      <c r="C17" s="264" t="s">
        <v>235</v>
      </c>
      <c r="D17" s="83">
        <f>$C$58</f>
        <v>10000</v>
      </c>
      <c r="E17" s="83">
        <f>$C$58</f>
        <v>10000</v>
      </c>
      <c r="F17" s="83">
        <f>$C$58</f>
        <v>10000</v>
      </c>
      <c r="G17" s="83">
        <f>$C$58</f>
        <v>10000</v>
      </c>
      <c r="H17" s="83">
        <f>$C$58</f>
        <v>10000</v>
      </c>
      <c r="I17" s="83">
        <f>$C$58</f>
        <v>10000</v>
      </c>
      <c r="J17" s="83">
        <f>$C$58</f>
        <v>10000</v>
      </c>
      <c r="K17" s="83">
        <f>$C$58</f>
        <v>10000</v>
      </c>
      <c r="L17" s="83">
        <f>$C$58</f>
        <v>10000</v>
      </c>
      <c r="M17" s="83">
        <f>$C$58</f>
        <v>10000</v>
      </c>
      <c r="N17" s="83">
        <f>$C$58</f>
        <v>10000</v>
      </c>
      <c r="O17" s="83">
        <f>$C$58</f>
        <v>10000</v>
      </c>
      <c r="P17" s="262">
        <f t="shared" si="0"/>
        <v>120000</v>
      </c>
      <c r="Q17" s="267"/>
      <c r="R17" s="144"/>
      <c r="S17" s="144"/>
      <c r="T17" s="144"/>
      <c r="U17" s="144"/>
      <c r="V17" s="144"/>
      <c r="W17" s="144"/>
      <c r="X17" s="144"/>
      <c r="Y17" s="144"/>
      <c r="Z17" s="144"/>
    </row>
    <row r="18" spans="1:26" ht="21" customHeight="1" thickBot="1" x14ac:dyDescent="0.3">
      <c r="A18" s="144"/>
      <c r="B18" s="263" t="s">
        <v>231</v>
      </c>
      <c r="C18" s="264" t="s">
        <v>236</v>
      </c>
      <c r="D18" s="83">
        <f>$C$59</f>
        <v>50000</v>
      </c>
      <c r="E18" s="83">
        <f>$C$59</f>
        <v>50000</v>
      </c>
      <c r="F18" s="83">
        <f>$C$59</f>
        <v>50000</v>
      </c>
      <c r="G18" s="83">
        <f>$C$59</f>
        <v>50000</v>
      </c>
      <c r="H18" s="83">
        <f>$C$59</f>
        <v>50000</v>
      </c>
      <c r="I18" s="83">
        <f>$C$59</f>
        <v>50000</v>
      </c>
      <c r="J18" s="83">
        <f>$C$59</f>
        <v>50000</v>
      </c>
      <c r="K18" s="83">
        <f>$C$59</f>
        <v>50000</v>
      </c>
      <c r="L18" s="83">
        <f>$C$59</f>
        <v>50000</v>
      </c>
      <c r="M18" s="83">
        <f>$C$59</f>
        <v>50000</v>
      </c>
      <c r="N18" s="83">
        <f>$C$59</f>
        <v>50000</v>
      </c>
      <c r="O18" s="83">
        <f>$C$59</f>
        <v>50000</v>
      </c>
      <c r="P18" s="262">
        <f t="shared" si="0"/>
        <v>600000</v>
      </c>
      <c r="Q18" s="267"/>
      <c r="R18" s="144"/>
      <c r="S18" s="144"/>
      <c r="T18" s="144"/>
      <c r="U18" s="144"/>
      <c r="V18" s="144"/>
      <c r="W18" s="144"/>
      <c r="X18" s="144"/>
      <c r="Y18" s="144"/>
      <c r="Z18" s="144"/>
    </row>
    <row r="19" spans="1:26" ht="15.75" customHeight="1" thickBot="1" x14ac:dyDescent="0.3">
      <c r="A19" s="1"/>
      <c r="B19" s="264"/>
      <c r="C19" s="268" t="s">
        <v>32</v>
      </c>
      <c r="D19" s="262">
        <f>SUM(D11:D18)</f>
        <v>166800</v>
      </c>
      <c r="E19" s="262">
        <f t="shared" ref="E19:O19" si="3">SUM(E11:E18)</f>
        <v>166800</v>
      </c>
      <c r="F19" s="262">
        <f t="shared" si="3"/>
        <v>166800</v>
      </c>
      <c r="G19" s="262">
        <f t="shared" si="3"/>
        <v>166800</v>
      </c>
      <c r="H19" s="262">
        <f t="shared" si="3"/>
        <v>166800</v>
      </c>
      <c r="I19" s="262">
        <f t="shared" si="3"/>
        <v>166800</v>
      </c>
      <c r="J19" s="262">
        <f t="shared" si="3"/>
        <v>166800</v>
      </c>
      <c r="K19" s="262">
        <f t="shared" si="3"/>
        <v>166800</v>
      </c>
      <c r="L19" s="262">
        <f t="shared" si="3"/>
        <v>166800</v>
      </c>
      <c r="M19" s="262">
        <f t="shared" si="3"/>
        <v>166800</v>
      </c>
      <c r="N19" s="262">
        <f t="shared" si="3"/>
        <v>166800</v>
      </c>
      <c r="O19" s="262">
        <f t="shared" si="3"/>
        <v>166800</v>
      </c>
      <c r="P19" s="81">
        <f>SUM(P11:P18)</f>
        <v>2001600</v>
      </c>
      <c r="Q19" s="264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R21" s="1"/>
      <c r="S21" s="1"/>
      <c r="T21" s="1"/>
      <c r="U21" s="1"/>
      <c r="V21" s="1"/>
      <c r="W21" s="1"/>
      <c r="X21" s="1"/>
      <c r="Y21" s="1"/>
      <c r="Z21" s="1"/>
    </row>
    <row r="22" spans="1:26" ht="27" thickBot="1" x14ac:dyDescent="0.45">
      <c r="B22" s="470" t="s">
        <v>105</v>
      </c>
      <c r="C22" s="416"/>
      <c r="D22" s="416"/>
      <c r="E22" s="416"/>
      <c r="F22" s="416"/>
      <c r="G22" s="416"/>
      <c r="H22" s="416"/>
      <c r="I22" s="416"/>
      <c r="J22" s="416"/>
      <c r="K22" s="416"/>
      <c r="L22" s="416"/>
      <c r="M22" s="416"/>
      <c r="N22" s="416"/>
      <c r="O22" s="416"/>
      <c r="P22" s="416"/>
      <c r="Q22" s="416"/>
      <c r="R22" s="1"/>
      <c r="S22" s="1"/>
      <c r="T22" s="1"/>
      <c r="U22" s="1"/>
      <c r="V22" s="1"/>
      <c r="W22" s="1"/>
      <c r="X22" s="1"/>
      <c r="Y22" s="1"/>
      <c r="Z22" s="1"/>
    </row>
    <row r="23" spans="1:26" ht="19.5" thickBot="1" x14ac:dyDescent="0.3">
      <c r="A23" s="1"/>
      <c r="B23" s="471" t="s">
        <v>100</v>
      </c>
      <c r="C23" s="416"/>
      <c r="D23" s="261" t="s">
        <v>42</v>
      </c>
      <c r="E23" s="261" t="s">
        <v>43</v>
      </c>
      <c r="F23" s="261" t="s">
        <v>44</v>
      </c>
      <c r="G23" s="261" t="s">
        <v>45</v>
      </c>
      <c r="H23" s="261" t="s">
        <v>46</v>
      </c>
      <c r="I23" s="261" t="s">
        <v>47</v>
      </c>
      <c r="J23" s="261" t="s">
        <v>48</v>
      </c>
      <c r="K23" s="261" t="s">
        <v>49</v>
      </c>
      <c r="L23" s="261" t="s">
        <v>50</v>
      </c>
      <c r="M23" s="261" t="s">
        <v>51</v>
      </c>
      <c r="N23" s="261" t="s">
        <v>52</v>
      </c>
      <c r="O23" s="261" t="s">
        <v>53</v>
      </c>
      <c r="P23" s="261" t="s">
        <v>101</v>
      </c>
      <c r="Q23" s="261" t="s">
        <v>102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9.5" thickBot="1" x14ac:dyDescent="0.3">
      <c r="A24" s="1"/>
      <c r="B24" s="263" t="s">
        <v>226</v>
      </c>
      <c r="C24" s="264" t="s">
        <v>171</v>
      </c>
      <c r="D24" s="83">
        <f>$C$49</f>
        <v>4200</v>
      </c>
      <c r="E24" s="83">
        <f t="shared" ref="E24:O24" si="4">$C$49</f>
        <v>4200</v>
      </c>
      <c r="F24" s="83">
        <f t="shared" si="4"/>
        <v>4200</v>
      </c>
      <c r="G24" s="83">
        <f t="shared" si="4"/>
        <v>4200</v>
      </c>
      <c r="H24" s="83">
        <f t="shared" si="4"/>
        <v>4200</v>
      </c>
      <c r="I24" s="83">
        <f t="shared" si="4"/>
        <v>4200</v>
      </c>
      <c r="J24" s="83">
        <f t="shared" si="4"/>
        <v>4200</v>
      </c>
      <c r="K24" s="83">
        <f t="shared" si="4"/>
        <v>4200</v>
      </c>
      <c r="L24" s="83">
        <f t="shared" si="4"/>
        <v>4200</v>
      </c>
      <c r="M24" s="83">
        <f t="shared" si="4"/>
        <v>4200</v>
      </c>
      <c r="N24" s="83">
        <f t="shared" si="4"/>
        <v>4200</v>
      </c>
      <c r="O24" s="83">
        <f t="shared" si="4"/>
        <v>4200</v>
      </c>
      <c r="P24" s="262">
        <f t="shared" ref="P24:P31" si="5">SUM(D24:O24)</f>
        <v>50400</v>
      </c>
      <c r="Q24" s="265"/>
    </row>
    <row r="25" spans="1:26" ht="15.75" customHeight="1" thickBot="1" x14ac:dyDescent="0.3">
      <c r="A25" s="1"/>
      <c r="B25" s="266" t="s">
        <v>224</v>
      </c>
      <c r="C25" s="264" t="s">
        <v>173</v>
      </c>
      <c r="D25" s="83">
        <f>$C$50</f>
        <v>2600</v>
      </c>
      <c r="E25" s="83">
        <f>$C$50</f>
        <v>2600</v>
      </c>
      <c r="F25" s="83">
        <f>$C$50</f>
        <v>2600</v>
      </c>
      <c r="G25" s="83">
        <f t="shared" ref="G25:O25" si="6">$C$50</f>
        <v>2600</v>
      </c>
      <c r="H25" s="83">
        <f t="shared" si="6"/>
        <v>2600</v>
      </c>
      <c r="I25" s="83">
        <f t="shared" si="6"/>
        <v>2600</v>
      </c>
      <c r="J25" s="83">
        <f t="shared" si="6"/>
        <v>2600</v>
      </c>
      <c r="K25" s="83">
        <f t="shared" si="6"/>
        <v>2600</v>
      </c>
      <c r="L25" s="83">
        <f t="shared" si="6"/>
        <v>2600</v>
      </c>
      <c r="M25" s="83">
        <f t="shared" si="6"/>
        <v>2600</v>
      </c>
      <c r="N25" s="83">
        <f t="shared" si="6"/>
        <v>2600</v>
      </c>
      <c r="O25" s="83">
        <f t="shared" si="6"/>
        <v>2600</v>
      </c>
      <c r="P25" s="262">
        <f t="shared" si="5"/>
        <v>31200</v>
      </c>
      <c r="Q25" s="267"/>
    </row>
    <row r="26" spans="1:26" ht="15.75" customHeight="1" thickBot="1" x14ac:dyDescent="0.3">
      <c r="A26" s="1"/>
      <c r="B26" s="266" t="s">
        <v>103</v>
      </c>
      <c r="C26" s="264" t="s">
        <v>172</v>
      </c>
      <c r="D26" s="83">
        <f>$C$51</f>
        <v>75000</v>
      </c>
      <c r="E26" s="83">
        <f>$C$51</f>
        <v>75000</v>
      </c>
      <c r="F26" s="83">
        <f>$C$51</f>
        <v>75000</v>
      </c>
      <c r="G26" s="83">
        <f>$C$51</f>
        <v>75000</v>
      </c>
      <c r="H26" s="83">
        <f>$C$51</f>
        <v>75000</v>
      </c>
      <c r="I26" s="83">
        <f>$C$51</f>
        <v>75000</v>
      </c>
      <c r="J26" s="83">
        <f>$C$51</f>
        <v>75000</v>
      </c>
      <c r="K26" s="83">
        <f>$C$51</f>
        <v>75000</v>
      </c>
      <c r="L26" s="83">
        <f>$C$51</f>
        <v>75000</v>
      </c>
      <c r="M26" s="83">
        <f>$C$51</f>
        <v>75000</v>
      </c>
      <c r="N26" s="83">
        <f>$C$51</f>
        <v>75000</v>
      </c>
      <c r="O26" s="83">
        <f>$C$51</f>
        <v>75000</v>
      </c>
      <c r="P26" s="262">
        <f t="shared" si="5"/>
        <v>900000</v>
      </c>
      <c r="Q26" s="267"/>
    </row>
    <row r="27" spans="1:26" ht="15.75" customHeight="1" thickBot="1" x14ac:dyDescent="0.3">
      <c r="A27" s="1"/>
      <c r="B27" s="263" t="s">
        <v>227</v>
      </c>
      <c r="C27" s="264" t="s">
        <v>232</v>
      </c>
      <c r="D27" s="83">
        <f>$C$55</f>
        <v>4000</v>
      </c>
      <c r="E27" s="83">
        <f>$C$55</f>
        <v>4000</v>
      </c>
      <c r="F27" s="83">
        <f>$C$55</f>
        <v>4000</v>
      </c>
      <c r="G27" s="83">
        <f>$C$55</f>
        <v>4000</v>
      </c>
      <c r="H27" s="83">
        <f>$C$55</f>
        <v>4000</v>
      </c>
      <c r="I27" s="83">
        <f>$C$55</f>
        <v>4000</v>
      </c>
      <c r="J27" s="83">
        <f>$C$55</f>
        <v>4000</v>
      </c>
      <c r="K27" s="83">
        <f>$C$55</f>
        <v>4000</v>
      </c>
      <c r="L27" s="83">
        <f>$C$55</f>
        <v>4000</v>
      </c>
      <c r="M27" s="83">
        <f>$C$55</f>
        <v>4000</v>
      </c>
      <c r="N27" s="83">
        <f>$C$55</f>
        <v>4000</v>
      </c>
      <c r="O27" s="83">
        <f>$C$55</f>
        <v>4000</v>
      </c>
      <c r="P27" s="262">
        <f t="shared" si="5"/>
        <v>48000</v>
      </c>
      <c r="Q27" s="267"/>
    </row>
    <row r="28" spans="1:26" ht="15.75" customHeight="1" thickBot="1" x14ac:dyDescent="0.3">
      <c r="A28" s="1"/>
      <c r="B28" s="263" t="s">
        <v>228</v>
      </c>
      <c r="C28" s="264" t="s">
        <v>233</v>
      </c>
      <c r="D28" s="83">
        <f>$C$56</f>
        <v>10000</v>
      </c>
      <c r="E28" s="83">
        <f>$C$56</f>
        <v>10000</v>
      </c>
      <c r="F28" s="83">
        <f>$C$56</f>
        <v>10000</v>
      </c>
      <c r="G28" s="83">
        <f>$C$56</f>
        <v>10000</v>
      </c>
      <c r="H28" s="83">
        <f>$C$56</f>
        <v>10000</v>
      </c>
      <c r="I28" s="83">
        <f>$C$56</f>
        <v>10000</v>
      </c>
      <c r="J28" s="83">
        <f>$C$56</f>
        <v>10000</v>
      </c>
      <c r="K28" s="83">
        <f>$C$56</f>
        <v>10000</v>
      </c>
      <c r="L28" s="83">
        <f>$C$56</f>
        <v>10000</v>
      </c>
      <c r="M28" s="83">
        <f>$C$56</f>
        <v>10000</v>
      </c>
      <c r="N28" s="83">
        <f>$C$56</f>
        <v>10000</v>
      </c>
      <c r="O28" s="83">
        <f>$C$56</f>
        <v>10000</v>
      </c>
      <c r="P28" s="262">
        <f t="shared" si="5"/>
        <v>120000</v>
      </c>
      <c r="Q28" s="267"/>
    </row>
    <row r="29" spans="1:26" ht="15.75" customHeight="1" thickBot="1" x14ac:dyDescent="0.3">
      <c r="A29" s="1"/>
      <c r="B29" s="263" t="s">
        <v>229</v>
      </c>
      <c r="C29" s="264" t="s">
        <v>234</v>
      </c>
      <c r="D29" s="83">
        <f>$C$57</f>
        <v>11000</v>
      </c>
      <c r="E29" s="83">
        <f>$C$57</f>
        <v>11000</v>
      </c>
      <c r="F29" s="83">
        <f>$C$57</f>
        <v>11000</v>
      </c>
      <c r="G29" s="83">
        <f>$C$57</f>
        <v>11000</v>
      </c>
      <c r="H29" s="83">
        <f>$C$57</f>
        <v>11000</v>
      </c>
      <c r="I29" s="83">
        <f>$C$57</f>
        <v>11000</v>
      </c>
      <c r="J29" s="83">
        <f>$C$57</f>
        <v>11000</v>
      </c>
      <c r="K29" s="83">
        <f>$C$57</f>
        <v>11000</v>
      </c>
      <c r="L29" s="83">
        <f>$C$57</f>
        <v>11000</v>
      </c>
      <c r="M29" s="83">
        <f>$C$57</f>
        <v>11000</v>
      </c>
      <c r="N29" s="83">
        <f>$C$57</f>
        <v>11000</v>
      </c>
      <c r="O29" s="83">
        <f>$C$57</f>
        <v>11000</v>
      </c>
      <c r="P29" s="262">
        <f t="shared" si="5"/>
        <v>132000</v>
      </c>
      <c r="Q29" s="267"/>
    </row>
    <row r="30" spans="1:26" ht="15.75" customHeight="1" thickBot="1" x14ac:dyDescent="0.3">
      <c r="B30" s="263" t="s">
        <v>230</v>
      </c>
      <c r="C30" s="264" t="s">
        <v>235</v>
      </c>
      <c r="D30" s="83">
        <f>$C$58</f>
        <v>10000</v>
      </c>
      <c r="E30" s="83">
        <f>$C$58</f>
        <v>10000</v>
      </c>
      <c r="F30" s="83">
        <f>$C$58</f>
        <v>10000</v>
      </c>
      <c r="G30" s="83">
        <f>$C$58</f>
        <v>10000</v>
      </c>
      <c r="H30" s="83">
        <f>$C$58</f>
        <v>10000</v>
      </c>
      <c r="I30" s="83">
        <f>$C$58</f>
        <v>10000</v>
      </c>
      <c r="J30" s="83">
        <f>$C$58</f>
        <v>10000</v>
      </c>
      <c r="K30" s="83">
        <f>$C$58</f>
        <v>10000</v>
      </c>
      <c r="L30" s="83">
        <f>$C$58</f>
        <v>10000</v>
      </c>
      <c r="M30" s="83">
        <f>$C$58</f>
        <v>10000</v>
      </c>
      <c r="N30" s="83">
        <f>$C$58</f>
        <v>10000</v>
      </c>
      <c r="O30" s="83">
        <f>$C$58</f>
        <v>10000</v>
      </c>
      <c r="P30" s="262">
        <f t="shared" si="5"/>
        <v>120000</v>
      </c>
      <c r="Q30" s="267"/>
    </row>
    <row r="31" spans="1:26" ht="15.75" customHeight="1" thickBot="1" x14ac:dyDescent="0.3">
      <c r="B31" s="263" t="s">
        <v>231</v>
      </c>
      <c r="C31" s="264" t="s">
        <v>236</v>
      </c>
      <c r="D31" s="83">
        <f>$C$59 *2</f>
        <v>100000</v>
      </c>
      <c r="E31" s="83">
        <f>$C$59 *2</f>
        <v>100000</v>
      </c>
      <c r="F31" s="83">
        <f>$C$59 *2</f>
        <v>100000</v>
      </c>
      <c r="G31" s="83">
        <f>$C$59 *2</f>
        <v>100000</v>
      </c>
      <c r="H31" s="83">
        <f>$C$59 *2</f>
        <v>100000</v>
      </c>
      <c r="I31" s="83">
        <f>$C$59 *2</f>
        <v>100000</v>
      </c>
      <c r="J31" s="83">
        <f>$C$59 *2</f>
        <v>100000</v>
      </c>
      <c r="K31" s="83">
        <f>$C$59 *2</f>
        <v>100000</v>
      </c>
      <c r="L31" s="83">
        <f>$C$59 *2</f>
        <v>100000</v>
      </c>
      <c r="M31" s="83">
        <f>$C$59 *2</f>
        <v>100000</v>
      </c>
      <c r="N31" s="83">
        <f>$C$59 *2</f>
        <v>100000</v>
      </c>
      <c r="O31" s="83">
        <f>$C$59 *2</f>
        <v>100000</v>
      </c>
      <c r="P31" s="262">
        <f t="shared" si="5"/>
        <v>1200000</v>
      </c>
      <c r="Q31" s="265" t="s">
        <v>257</v>
      </c>
    </row>
    <row r="32" spans="1:26" ht="15.75" thickBot="1" x14ac:dyDescent="0.3">
      <c r="A32" s="1"/>
      <c r="B32" s="264"/>
      <c r="C32" s="268" t="s">
        <v>32</v>
      </c>
      <c r="D32" s="262">
        <f>SUM(D24:D31)</f>
        <v>216800</v>
      </c>
      <c r="E32" s="262">
        <f t="shared" ref="E32" si="7">SUM(E24:E31)</f>
        <v>216800</v>
      </c>
      <c r="F32" s="262">
        <f t="shared" ref="F32" si="8">SUM(F24:F31)</f>
        <v>216800</v>
      </c>
      <c r="G32" s="262">
        <f t="shared" ref="G32" si="9">SUM(G24:G31)</f>
        <v>216800</v>
      </c>
      <c r="H32" s="262">
        <f t="shared" ref="H32" si="10">SUM(H24:H31)</f>
        <v>216800</v>
      </c>
      <c r="I32" s="262">
        <f t="shared" ref="I32" si="11">SUM(I24:I31)</f>
        <v>216800</v>
      </c>
      <c r="J32" s="262">
        <f t="shared" ref="J32" si="12">SUM(J24:J31)</f>
        <v>216800</v>
      </c>
      <c r="K32" s="262">
        <f t="shared" ref="K32" si="13">SUM(K24:K31)</f>
        <v>216800</v>
      </c>
      <c r="L32" s="262">
        <f t="shared" ref="L32" si="14">SUM(L24:L31)</f>
        <v>216800</v>
      </c>
      <c r="M32" s="262">
        <f t="shared" ref="M32" si="15">SUM(M24:M31)</f>
        <v>216800</v>
      </c>
      <c r="N32" s="262">
        <f t="shared" ref="N32" si="16">SUM(N24:N31)</f>
        <v>216800</v>
      </c>
      <c r="O32" s="262">
        <f t="shared" ref="O32" si="17">SUM(O24:O31)</f>
        <v>216800</v>
      </c>
      <c r="P32" s="81">
        <f>SUM(P24:P31)</f>
        <v>2601600</v>
      </c>
      <c r="Q32" s="264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26" ht="30.75" customHeight="1" thickBot="1" x14ac:dyDescent="0.45">
      <c r="A35" s="1"/>
      <c r="B35" s="470" t="s">
        <v>225</v>
      </c>
      <c r="C35" s="416"/>
      <c r="D35" s="416"/>
      <c r="E35" s="416"/>
      <c r="F35" s="416"/>
      <c r="G35" s="416"/>
      <c r="H35" s="416"/>
      <c r="I35" s="416"/>
      <c r="J35" s="416"/>
      <c r="K35" s="416"/>
      <c r="L35" s="416"/>
      <c r="M35" s="416"/>
      <c r="N35" s="416"/>
      <c r="O35" s="416"/>
      <c r="P35" s="416"/>
      <c r="Q35" s="416"/>
    </row>
    <row r="36" spans="1:26" ht="15.75" customHeight="1" thickBot="1" x14ac:dyDescent="0.3">
      <c r="A36" s="1"/>
      <c r="B36" s="471" t="s">
        <v>100</v>
      </c>
      <c r="C36" s="416"/>
      <c r="D36" s="261" t="s">
        <v>42</v>
      </c>
      <c r="E36" s="261" t="s">
        <v>43</v>
      </c>
      <c r="F36" s="261" t="s">
        <v>44</v>
      </c>
      <c r="G36" s="261" t="s">
        <v>45</v>
      </c>
      <c r="H36" s="261" t="s">
        <v>46</v>
      </c>
      <c r="I36" s="261" t="s">
        <v>47</v>
      </c>
      <c r="J36" s="261" t="s">
        <v>48</v>
      </c>
      <c r="K36" s="261" t="s">
        <v>49</v>
      </c>
      <c r="L36" s="261" t="s">
        <v>50</v>
      </c>
      <c r="M36" s="261" t="s">
        <v>51</v>
      </c>
      <c r="N36" s="261" t="s">
        <v>52</v>
      </c>
      <c r="O36" s="261" t="s">
        <v>53</v>
      </c>
      <c r="P36" s="261" t="s">
        <v>101</v>
      </c>
      <c r="Q36" s="261" t="s">
        <v>102</v>
      </c>
    </row>
    <row r="37" spans="1:26" ht="15.75" customHeight="1" thickBot="1" x14ac:dyDescent="0.3">
      <c r="A37" s="1"/>
      <c r="B37" s="263" t="s">
        <v>226</v>
      </c>
      <c r="C37" s="264" t="s">
        <v>171</v>
      </c>
      <c r="D37" s="83">
        <f>$C$49</f>
        <v>4200</v>
      </c>
      <c r="E37" s="83">
        <f t="shared" ref="E37:O37" si="18">$C$49</f>
        <v>4200</v>
      </c>
      <c r="F37" s="83">
        <f t="shared" si="18"/>
        <v>4200</v>
      </c>
      <c r="G37" s="83">
        <f t="shared" si="18"/>
        <v>4200</v>
      </c>
      <c r="H37" s="83">
        <f t="shared" si="18"/>
        <v>4200</v>
      </c>
      <c r="I37" s="83">
        <f t="shared" si="18"/>
        <v>4200</v>
      </c>
      <c r="J37" s="83">
        <f t="shared" si="18"/>
        <v>4200</v>
      </c>
      <c r="K37" s="83">
        <f t="shared" si="18"/>
        <v>4200</v>
      </c>
      <c r="L37" s="83">
        <f t="shared" si="18"/>
        <v>4200</v>
      </c>
      <c r="M37" s="83">
        <f t="shared" si="18"/>
        <v>4200</v>
      </c>
      <c r="N37" s="83">
        <f t="shared" si="18"/>
        <v>4200</v>
      </c>
      <c r="O37" s="83">
        <f t="shared" si="18"/>
        <v>4200</v>
      </c>
      <c r="P37" s="262">
        <f t="shared" ref="P37:P44" si="19">SUM(D37:O37)</f>
        <v>50400</v>
      </c>
      <c r="Q37" s="265"/>
    </row>
    <row r="38" spans="1:26" ht="15.75" customHeight="1" thickBot="1" x14ac:dyDescent="0.3">
      <c r="B38" s="266" t="s">
        <v>224</v>
      </c>
      <c r="C38" s="264" t="s">
        <v>173</v>
      </c>
      <c r="D38" s="83">
        <f>$C$50</f>
        <v>2600</v>
      </c>
      <c r="E38" s="83">
        <f>$C$50</f>
        <v>2600</v>
      </c>
      <c r="F38" s="83">
        <f>$C$50</f>
        <v>2600</v>
      </c>
      <c r="G38" s="83">
        <f t="shared" ref="G38:O38" si="20">$C$50</f>
        <v>2600</v>
      </c>
      <c r="H38" s="83">
        <f t="shared" si="20"/>
        <v>2600</v>
      </c>
      <c r="I38" s="83">
        <f t="shared" si="20"/>
        <v>2600</v>
      </c>
      <c r="J38" s="83">
        <f t="shared" si="20"/>
        <v>2600</v>
      </c>
      <c r="K38" s="83">
        <f t="shared" si="20"/>
        <v>2600</v>
      </c>
      <c r="L38" s="83">
        <f t="shared" si="20"/>
        <v>2600</v>
      </c>
      <c r="M38" s="83">
        <f t="shared" si="20"/>
        <v>2600</v>
      </c>
      <c r="N38" s="83">
        <f t="shared" si="20"/>
        <v>2600</v>
      </c>
      <c r="O38" s="83">
        <f t="shared" si="20"/>
        <v>2600</v>
      </c>
      <c r="P38" s="262">
        <f t="shared" si="19"/>
        <v>31200</v>
      </c>
      <c r="Q38" s="267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thickBot="1" x14ac:dyDescent="0.3">
      <c r="B39" s="266" t="s">
        <v>103</v>
      </c>
      <c r="C39" s="264" t="s">
        <v>172</v>
      </c>
      <c r="D39" s="83">
        <f>$C$51</f>
        <v>75000</v>
      </c>
      <c r="E39" s="83">
        <f>$C$51</f>
        <v>75000</v>
      </c>
      <c r="F39" s="83">
        <f>$C$51</f>
        <v>75000</v>
      </c>
      <c r="G39" s="83">
        <f>$C$51</f>
        <v>75000</v>
      </c>
      <c r="H39" s="83">
        <f>$C$51</f>
        <v>75000</v>
      </c>
      <c r="I39" s="83">
        <f>$C$51</f>
        <v>75000</v>
      </c>
      <c r="J39" s="83">
        <f>$C$51</f>
        <v>75000</v>
      </c>
      <c r="K39" s="83">
        <f>$C$51</f>
        <v>75000</v>
      </c>
      <c r="L39" s="83">
        <f>$C$51</f>
        <v>75000</v>
      </c>
      <c r="M39" s="83">
        <f>$C$51</f>
        <v>75000</v>
      </c>
      <c r="N39" s="83">
        <f>$C$51</f>
        <v>75000</v>
      </c>
      <c r="O39" s="83">
        <f>$C$51</f>
        <v>75000</v>
      </c>
      <c r="P39" s="262">
        <f t="shared" si="19"/>
        <v>900000</v>
      </c>
      <c r="Q39" s="267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thickBot="1" x14ac:dyDescent="0.3">
      <c r="B40" s="263" t="s">
        <v>227</v>
      </c>
      <c r="C40" s="264" t="s">
        <v>232</v>
      </c>
      <c r="D40" s="83">
        <f>$C$55</f>
        <v>4000</v>
      </c>
      <c r="E40" s="83">
        <f>$C$55</f>
        <v>4000</v>
      </c>
      <c r="F40" s="83">
        <f>$C$55</f>
        <v>4000</v>
      </c>
      <c r="G40" s="83">
        <f>$C$55</f>
        <v>4000</v>
      </c>
      <c r="H40" s="83">
        <f>$C$55</f>
        <v>4000</v>
      </c>
      <c r="I40" s="83">
        <f>$C$55</f>
        <v>4000</v>
      </c>
      <c r="J40" s="83">
        <f>$C$55</f>
        <v>4000</v>
      </c>
      <c r="K40" s="83">
        <f>$C$55</f>
        <v>4000</v>
      </c>
      <c r="L40" s="83">
        <f>$C$55</f>
        <v>4000</v>
      </c>
      <c r="M40" s="83">
        <f>$C$55</f>
        <v>4000</v>
      </c>
      <c r="N40" s="83">
        <f>$C$55</f>
        <v>4000</v>
      </c>
      <c r="O40" s="83">
        <f>$C$55</f>
        <v>4000</v>
      </c>
      <c r="P40" s="262">
        <f t="shared" si="19"/>
        <v>48000</v>
      </c>
      <c r="Q40" s="267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thickBot="1" x14ac:dyDescent="0.3">
      <c r="B41" s="263" t="s">
        <v>228</v>
      </c>
      <c r="C41" s="264" t="s">
        <v>233</v>
      </c>
      <c r="D41" s="83">
        <f>$C$56</f>
        <v>10000</v>
      </c>
      <c r="E41" s="83">
        <f>$C$56</f>
        <v>10000</v>
      </c>
      <c r="F41" s="83">
        <f>$C$56</f>
        <v>10000</v>
      </c>
      <c r="G41" s="83">
        <f>$C$56</f>
        <v>10000</v>
      </c>
      <c r="H41" s="83">
        <f>$C$56</f>
        <v>10000</v>
      </c>
      <c r="I41" s="83">
        <f>$C$56</f>
        <v>10000</v>
      </c>
      <c r="J41" s="83">
        <f>$C$56</f>
        <v>10000</v>
      </c>
      <c r="K41" s="83">
        <f>$C$56</f>
        <v>10000</v>
      </c>
      <c r="L41" s="83">
        <f>$C$56</f>
        <v>10000</v>
      </c>
      <c r="M41" s="83">
        <f>$C$56</f>
        <v>10000</v>
      </c>
      <c r="N41" s="83">
        <f>$C$56</f>
        <v>10000</v>
      </c>
      <c r="O41" s="83">
        <f>$C$56</f>
        <v>10000</v>
      </c>
      <c r="P41" s="262">
        <f t="shared" si="19"/>
        <v>120000</v>
      </c>
      <c r="Q41" s="267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thickBot="1" x14ac:dyDescent="0.3">
      <c r="B42" s="263" t="s">
        <v>229</v>
      </c>
      <c r="C42" s="264" t="s">
        <v>234</v>
      </c>
      <c r="D42" s="83">
        <f>$C$57</f>
        <v>11000</v>
      </c>
      <c r="E42" s="83">
        <f>$C$57</f>
        <v>11000</v>
      </c>
      <c r="F42" s="83">
        <f>$C$57</f>
        <v>11000</v>
      </c>
      <c r="G42" s="83">
        <f>$C$57</f>
        <v>11000</v>
      </c>
      <c r="H42" s="83">
        <f>$C$57</f>
        <v>11000</v>
      </c>
      <c r="I42" s="83">
        <f>$C$57</f>
        <v>11000</v>
      </c>
      <c r="J42" s="83">
        <f>$C$57</f>
        <v>11000</v>
      </c>
      <c r="K42" s="83">
        <f>$C$57</f>
        <v>11000</v>
      </c>
      <c r="L42" s="83">
        <f>$C$57</f>
        <v>11000</v>
      </c>
      <c r="M42" s="83">
        <f>$C$57</f>
        <v>11000</v>
      </c>
      <c r="N42" s="83">
        <f>$C$57</f>
        <v>11000</v>
      </c>
      <c r="O42" s="83">
        <f>$C$57</f>
        <v>11000</v>
      </c>
      <c r="P42" s="262">
        <f t="shared" si="19"/>
        <v>132000</v>
      </c>
      <c r="Q42" s="267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thickBot="1" x14ac:dyDescent="0.3">
      <c r="B43" s="263" t="s">
        <v>230</v>
      </c>
      <c r="C43" s="264" t="s">
        <v>235</v>
      </c>
      <c r="D43" s="83">
        <f>$C$58</f>
        <v>10000</v>
      </c>
      <c r="E43" s="83">
        <f>$C$58</f>
        <v>10000</v>
      </c>
      <c r="F43" s="83">
        <f>$C$58</f>
        <v>10000</v>
      </c>
      <c r="G43" s="83">
        <f>$C$58</f>
        <v>10000</v>
      </c>
      <c r="H43" s="83">
        <f>$C$58</f>
        <v>10000</v>
      </c>
      <c r="I43" s="83">
        <f>$C$58</f>
        <v>10000</v>
      </c>
      <c r="J43" s="83">
        <f>$C$58</f>
        <v>10000</v>
      </c>
      <c r="K43" s="83">
        <f>$C$58</f>
        <v>10000</v>
      </c>
      <c r="L43" s="83">
        <f>$C$58</f>
        <v>10000</v>
      </c>
      <c r="M43" s="83">
        <f>$C$58</f>
        <v>10000</v>
      </c>
      <c r="N43" s="83">
        <f>$C$58</f>
        <v>10000</v>
      </c>
      <c r="O43" s="83">
        <f>$C$58</f>
        <v>10000</v>
      </c>
      <c r="P43" s="262">
        <f t="shared" si="19"/>
        <v>120000</v>
      </c>
      <c r="Q43" s="267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thickBot="1" x14ac:dyDescent="0.3">
      <c r="B44" s="263" t="s">
        <v>231</v>
      </c>
      <c r="C44" s="264" t="s">
        <v>236</v>
      </c>
      <c r="D44" s="83">
        <f>$C$59 *3</f>
        <v>150000</v>
      </c>
      <c r="E44" s="83">
        <f>$C$59 *3</f>
        <v>150000</v>
      </c>
      <c r="F44" s="83">
        <f>$C$59 *3</f>
        <v>150000</v>
      </c>
      <c r="G44" s="83">
        <f>$C$59 *3</f>
        <v>150000</v>
      </c>
      <c r="H44" s="83">
        <f>$C$59 *3</f>
        <v>150000</v>
      </c>
      <c r="I44" s="83">
        <f>$C$59 *3</f>
        <v>150000</v>
      </c>
      <c r="J44" s="83">
        <f>$C$59 *3</f>
        <v>150000</v>
      </c>
      <c r="K44" s="83">
        <f>$C$59 *3</f>
        <v>150000</v>
      </c>
      <c r="L44" s="83">
        <f>$C$59 *3</f>
        <v>150000</v>
      </c>
      <c r="M44" s="83">
        <f>$C$59 *3</f>
        <v>150000</v>
      </c>
      <c r="N44" s="83">
        <f>$C$59 *3</f>
        <v>150000</v>
      </c>
      <c r="O44" s="83">
        <f>$C$59 *3</f>
        <v>150000</v>
      </c>
      <c r="P44" s="262">
        <f t="shared" si="19"/>
        <v>1800000</v>
      </c>
      <c r="Q44" s="265" t="s">
        <v>257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thickBot="1" x14ac:dyDescent="0.3">
      <c r="B45" s="264"/>
      <c r="C45" s="268" t="s">
        <v>32</v>
      </c>
      <c r="D45" s="262">
        <f>SUM(D37:D44)</f>
        <v>266800</v>
      </c>
      <c r="E45" s="262">
        <f t="shared" ref="E45" si="21">SUM(E37:E44)</f>
        <v>266800</v>
      </c>
      <c r="F45" s="262">
        <f t="shared" ref="F45" si="22">SUM(F37:F44)</f>
        <v>266800</v>
      </c>
      <c r="G45" s="262">
        <f t="shared" ref="G45" si="23">SUM(G37:G44)</f>
        <v>266800</v>
      </c>
      <c r="H45" s="262">
        <f t="shared" ref="H45" si="24">SUM(H37:H44)</f>
        <v>266800</v>
      </c>
      <c r="I45" s="262">
        <f t="shared" ref="I45" si="25">SUM(I37:I44)</f>
        <v>266800</v>
      </c>
      <c r="J45" s="262">
        <f t="shared" ref="J45" si="26">SUM(J37:J44)</f>
        <v>266800</v>
      </c>
      <c r="K45" s="262">
        <f t="shared" ref="K45" si="27">SUM(K37:K44)</f>
        <v>266800</v>
      </c>
      <c r="L45" s="262">
        <f t="shared" ref="L45" si="28">SUM(L37:L44)</f>
        <v>266800</v>
      </c>
      <c r="M45" s="262">
        <f t="shared" ref="M45" si="29">SUM(M37:M44)</f>
        <v>266800</v>
      </c>
      <c r="N45" s="262">
        <f t="shared" ref="N45" si="30">SUM(N37:N44)</f>
        <v>266800</v>
      </c>
      <c r="O45" s="262">
        <f t="shared" ref="O45" si="31">SUM(O37:O44)</f>
        <v>266800</v>
      </c>
      <c r="P45" s="81">
        <f>SUM(P37:P44)</f>
        <v>3201600</v>
      </c>
      <c r="Q45" s="264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R47" s="144"/>
      <c r="S47" s="144"/>
      <c r="T47" s="144"/>
      <c r="U47" s="144"/>
      <c r="V47" s="144"/>
      <c r="W47" s="144"/>
      <c r="X47" s="144"/>
      <c r="Y47" s="144"/>
      <c r="Z47" s="144"/>
    </row>
    <row r="48" spans="1:26" ht="15.75" customHeight="1" x14ac:dyDescent="0.25">
      <c r="B48" s="536" t="s">
        <v>255</v>
      </c>
      <c r="C48" s="537" t="s">
        <v>107</v>
      </c>
      <c r="D48" s="538" t="s">
        <v>256</v>
      </c>
      <c r="E48" s="538"/>
      <c r="F48" s="538"/>
      <c r="G48" s="538"/>
      <c r="H48" s="539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B49" s="514" t="s">
        <v>254</v>
      </c>
      <c r="C49" s="515">
        <v>4200</v>
      </c>
      <c r="D49" s="519" t="s">
        <v>240</v>
      </c>
      <c r="E49" s="520"/>
      <c r="F49" s="520"/>
      <c r="G49" s="520"/>
      <c r="H49" s="52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B50" s="514" t="s">
        <v>238</v>
      </c>
      <c r="C50" s="515">
        <v>2600</v>
      </c>
      <c r="D50" s="519" t="s">
        <v>252</v>
      </c>
      <c r="E50" s="530"/>
      <c r="F50" s="530"/>
      <c r="G50" s="530"/>
      <c r="H50" s="531"/>
      <c r="M50" s="144"/>
      <c r="N50" s="144"/>
      <c r="O50" s="144"/>
      <c r="P50" s="144"/>
      <c r="Q50" s="144"/>
      <c r="R50" s="144"/>
      <c r="S50" s="144"/>
      <c r="T50" s="144"/>
      <c r="U50" s="144"/>
    </row>
    <row r="51" spans="1:26" ht="15.75" customHeight="1" x14ac:dyDescent="0.25">
      <c r="B51" s="514" t="s">
        <v>239</v>
      </c>
      <c r="C51" s="515">
        <f>75000</f>
        <v>75000</v>
      </c>
      <c r="D51" s="519" t="s">
        <v>253</v>
      </c>
      <c r="E51" s="530"/>
      <c r="F51" s="530"/>
      <c r="G51" s="530"/>
      <c r="H51" s="53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B52" s="514" t="s">
        <v>241</v>
      </c>
      <c r="C52" s="515">
        <v>800</v>
      </c>
      <c r="D52" s="522" t="s">
        <v>250</v>
      </c>
      <c r="E52" s="523"/>
      <c r="F52" s="523"/>
      <c r="G52" s="523"/>
      <c r="H52" s="524"/>
      <c r="Q52" s="1"/>
      <c r="R52" s="1"/>
      <c r="S52" s="1"/>
      <c r="T52" s="1"/>
      <c r="U52" s="1"/>
      <c r="V52" s="1"/>
      <c r="W52" s="1"/>
      <c r="X52" s="1"/>
      <c r="Y52" s="1"/>
    </row>
    <row r="53" spans="1:26" ht="15.75" customHeight="1" x14ac:dyDescent="0.25">
      <c r="B53" s="514" t="s">
        <v>243</v>
      </c>
      <c r="C53" s="516">
        <v>3</v>
      </c>
      <c r="D53" s="517"/>
      <c r="E53" s="518"/>
      <c r="F53" s="518"/>
      <c r="G53" s="518"/>
      <c r="H53" s="525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B54" s="514" t="s">
        <v>249</v>
      </c>
      <c r="C54" s="516">
        <v>2</v>
      </c>
      <c r="D54" s="517"/>
      <c r="E54" s="518"/>
      <c r="F54" s="518"/>
      <c r="G54" s="518"/>
      <c r="H54" s="525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B55" s="514" t="s">
        <v>244</v>
      </c>
      <c r="C55" s="515">
        <f>(C53+C54)*C52</f>
        <v>4000</v>
      </c>
      <c r="D55" s="526"/>
      <c r="E55" s="527"/>
      <c r="F55" s="527"/>
      <c r="G55" s="527"/>
      <c r="H55" s="528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B56" s="514" t="s">
        <v>245</v>
      </c>
      <c r="C56" s="515">
        <v>10000</v>
      </c>
      <c r="D56" s="522" t="s">
        <v>251</v>
      </c>
      <c r="E56" s="523"/>
      <c r="F56" s="523"/>
      <c r="G56" s="523"/>
      <c r="H56" s="524"/>
      <c r="M56" s="1"/>
      <c r="N56" s="1"/>
      <c r="O56" s="1"/>
      <c r="P56" s="1"/>
      <c r="Q56" s="1"/>
      <c r="R56" s="1"/>
      <c r="S56" s="1"/>
      <c r="T56" s="1"/>
      <c r="U56" s="1"/>
    </row>
    <row r="57" spans="1:26" ht="15.75" customHeight="1" x14ac:dyDescent="0.25">
      <c r="B57" s="514" t="s">
        <v>246</v>
      </c>
      <c r="C57" s="515">
        <v>11000</v>
      </c>
      <c r="D57" s="588" t="s">
        <v>265</v>
      </c>
      <c r="E57" s="588"/>
      <c r="F57" s="588"/>
      <c r="G57" s="588"/>
      <c r="H57" s="588"/>
      <c r="M57" s="1"/>
      <c r="N57" s="1"/>
      <c r="O57" s="1"/>
      <c r="P57" s="1"/>
      <c r="Q57" s="1"/>
      <c r="R57" s="1"/>
      <c r="S57" s="1"/>
      <c r="T57" s="1"/>
      <c r="U57" s="1"/>
    </row>
    <row r="58" spans="1:26" ht="15.75" customHeight="1" x14ac:dyDescent="0.25">
      <c r="B58" s="514" t="s">
        <v>247</v>
      </c>
      <c r="C58" s="515">
        <v>10000</v>
      </c>
      <c r="D58" s="517" t="s">
        <v>251</v>
      </c>
      <c r="E58" s="529"/>
      <c r="F58" s="529"/>
      <c r="G58" s="529"/>
      <c r="H58" s="532"/>
      <c r="M58" s="1"/>
      <c r="N58" s="1"/>
      <c r="O58" s="1"/>
      <c r="P58" s="1"/>
      <c r="Q58" s="1"/>
      <c r="R58" s="1"/>
      <c r="S58" s="1"/>
      <c r="T58" s="1"/>
      <c r="U58" s="1"/>
    </row>
    <row r="59" spans="1:26" ht="15.75" customHeight="1" x14ac:dyDescent="0.25">
      <c r="B59" s="514" t="s">
        <v>248</v>
      </c>
      <c r="C59" s="515">
        <v>50000</v>
      </c>
      <c r="D59" s="533"/>
      <c r="E59" s="534"/>
      <c r="F59" s="534"/>
      <c r="G59" s="534"/>
      <c r="H59" s="535"/>
      <c r="M59" s="1"/>
      <c r="N59" s="1"/>
      <c r="O59" s="1"/>
      <c r="P59" s="1"/>
      <c r="Q59" s="1"/>
      <c r="R59" s="1"/>
      <c r="S59" s="1"/>
      <c r="T59" s="1"/>
      <c r="U59" s="1"/>
    </row>
    <row r="60" spans="1:26" ht="15.75" customHeight="1" x14ac:dyDescent="0.25"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</sheetData>
  <mergeCells count="16">
    <mergeCell ref="D52:H55"/>
    <mergeCell ref="D49:H49"/>
    <mergeCell ref="D50:H50"/>
    <mergeCell ref="D51:H51"/>
    <mergeCell ref="D48:H48"/>
    <mergeCell ref="D56:H56"/>
    <mergeCell ref="D58:H59"/>
    <mergeCell ref="D57:H57"/>
    <mergeCell ref="B35:Q35"/>
    <mergeCell ref="B36:C36"/>
    <mergeCell ref="C3:E3"/>
    <mergeCell ref="G3:I3"/>
    <mergeCell ref="B9:Q9"/>
    <mergeCell ref="B10:C10"/>
    <mergeCell ref="B22:Q22"/>
    <mergeCell ref="B23:C23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82"/>
  <sheetViews>
    <sheetView zoomScale="70" zoomScaleNormal="70" workbookViewId="0">
      <pane xSplit="2" ySplit="1" topLeftCell="N12" activePane="bottomRight" state="frozen"/>
      <selection pane="topRight" activeCell="C1" sqref="C1"/>
      <selection pane="bottomLeft" activeCell="A2" sqref="A2"/>
      <selection pane="bottomRight" activeCell="AA41" sqref="AA41"/>
    </sheetView>
  </sheetViews>
  <sheetFormatPr baseColWidth="10" defaultColWidth="12.625" defaultRowHeight="15" customHeight="1" x14ac:dyDescent="0.2"/>
  <cols>
    <col min="1" max="1" width="10" customWidth="1"/>
    <col min="2" max="2" width="87.375" customWidth="1"/>
    <col min="3" max="3" width="27.8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234"/>
      <c r="B1" s="234"/>
      <c r="C1" s="234"/>
      <c r="D1" s="234"/>
      <c r="E1" s="235" t="s">
        <v>15</v>
      </c>
      <c r="F1" s="272"/>
      <c r="G1" s="272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6.25" x14ac:dyDescent="0.4">
      <c r="A4" s="1"/>
      <c r="B4" s="466" t="s">
        <v>38</v>
      </c>
      <c r="C4" s="386"/>
      <c r="D4" s="387"/>
      <c r="E4" s="22"/>
      <c r="F4" s="1"/>
      <c r="G4" s="1"/>
      <c r="H4" s="466" t="s">
        <v>108</v>
      </c>
      <c r="I4" s="386"/>
      <c r="J4" s="38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25">
      <c r="A5" s="1"/>
      <c r="B5" s="237">
        <v>2021</v>
      </c>
      <c r="C5" s="237">
        <v>2022</v>
      </c>
      <c r="D5" s="237">
        <v>2023</v>
      </c>
      <c r="E5" s="66"/>
      <c r="F5" s="1"/>
      <c r="G5" s="1"/>
      <c r="H5" s="259">
        <v>2021</v>
      </c>
      <c r="I5" s="237">
        <v>2022</v>
      </c>
      <c r="J5" s="260">
        <v>2023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25">
      <c r="A6" s="1"/>
      <c r="B6" s="26">
        <f>Hipótesis!C27</f>
        <v>0.13</v>
      </c>
      <c r="C6" s="26">
        <f>Hipótesis!C28</f>
        <v>0.25</v>
      </c>
      <c r="D6" s="26">
        <f>Hipótesis!C29</f>
        <v>0.35</v>
      </c>
      <c r="E6" s="82"/>
      <c r="F6" s="1"/>
      <c r="G6" s="1"/>
      <c r="H6" s="28">
        <f>$AA$41</f>
        <v>17039289.566</v>
      </c>
      <c r="I6" s="29">
        <f>AA56</f>
        <v>18678081.659600001</v>
      </c>
      <c r="J6" s="30">
        <f>AA69</f>
        <v>21934362.237200003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25">
      <c r="A7" s="1"/>
      <c r="B7" s="69">
        <f>Hipótesis!D27</f>
        <v>8829600</v>
      </c>
      <c r="C7" s="69">
        <f>Hipótesis!D28</f>
        <v>16980000</v>
      </c>
      <c r="D7" s="69">
        <f>Hipótesis!D29</f>
        <v>23772000</v>
      </c>
      <c r="E7" s="77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470" t="s">
        <v>109</v>
      </c>
      <c r="C11" s="416"/>
      <c r="D11" s="416"/>
      <c r="E11" s="416"/>
      <c r="F11" s="416"/>
      <c r="G11" s="416"/>
      <c r="H11" s="416"/>
      <c r="I11" s="416"/>
      <c r="J11" s="416"/>
      <c r="K11" s="416"/>
      <c r="L11" s="416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44" t="s">
        <v>110</v>
      </c>
      <c r="C12" s="544" t="s">
        <v>111</v>
      </c>
      <c r="D12" s="545" t="s">
        <v>112</v>
      </c>
      <c r="E12" s="546" t="s">
        <v>113</v>
      </c>
      <c r="F12" s="546" t="s">
        <v>114</v>
      </c>
      <c r="G12" s="546" t="s">
        <v>115</v>
      </c>
      <c r="H12" s="546" t="s">
        <v>116</v>
      </c>
      <c r="I12" s="547" t="s">
        <v>117</v>
      </c>
      <c r="J12" s="547" t="s">
        <v>118</v>
      </c>
      <c r="K12" s="545" t="s">
        <v>119</v>
      </c>
      <c r="L12" s="545" t="s">
        <v>120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416"/>
      <c r="C13" s="416"/>
      <c r="D13" s="416"/>
      <c r="E13" s="548">
        <v>0.1047</v>
      </c>
      <c r="F13" s="548">
        <v>1.54E-2</v>
      </c>
      <c r="G13" s="549">
        <v>0.06</v>
      </c>
      <c r="H13" s="548">
        <v>9.1999999999999998E-3</v>
      </c>
      <c r="I13" s="549" t="s">
        <v>121</v>
      </c>
      <c r="J13" s="549">
        <v>0.03</v>
      </c>
      <c r="K13" s="416"/>
      <c r="L13" s="41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42" t="s">
        <v>261</v>
      </c>
      <c r="C14" s="314" t="str">
        <f>'Anexo capacidad operativa'!B43</f>
        <v>Gerente general</v>
      </c>
      <c r="D14" s="543">
        <v>289000</v>
      </c>
      <c r="E14" s="83">
        <f t="shared" ref="E14:H14" si="0">$D$14*E13</f>
        <v>30258.3</v>
      </c>
      <c r="F14" s="83">
        <f t="shared" si="0"/>
        <v>4450.6000000000004</v>
      </c>
      <c r="G14" s="83">
        <f t="shared" si="0"/>
        <v>17340</v>
      </c>
      <c r="H14" s="83">
        <f t="shared" si="0"/>
        <v>2658.8</v>
      </c>
      <c r="I14" s="83">
        <v>18.57</v>
      </c>
      <c r="J14" s="83">
        <f>$D$14*J13</f>
        <v>8670</v>
      </c>
      <c r="K14" s="83">
        <f t="shared" ref="K14:K19" si="1">SUM(E14:J14)</f>
        <v>63396.270000000004</v>
      </c>
      <c r="L14" s="550">
        <f t="shared" ref="L14:L19" si="2">D14+K14</f>
        <v>352396.27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42" t="s">
        <v>260</v>
      </c>
      <c r="C15" s="315" t="str">
        <f>'Anexo capacidad operativa'!B45</f>
        <v>Gerente de tecnologia</v>
      </c>
      <c r="D15" s="541">
        <v>287300</v>
      </c>
      <c r="E15" s="83">
        <f>$D$15*E13</f>
        <v>30080.31</v>
      </c>
      <c r="F15" s="83">
        <f>$D$15*F13</f>
        <v>4424.42</v>
      </c>
      <c r="G15" s="83">
        <f>$D$15*G13</f>
        <v>17238</v>
      </c>
      <c r="H15" s="83">
        <f>$D$15*H13</f>
        <v>2643.16</v>
      </c>
      <c r="I15" s="83">
        <v>18.57</v>
      </c>
      <c r="J15" s="83">
        <f>$D$15*J13</f>
        <v>8619</v>
      </c>
      <c r="K15" s="83">
        <f t="shared" si="1"/>
        <v>63023.46</v>
      </c>
      <c r="L15" s="550">
        <f t="shared" si="2"/>
        <v>350323.46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75" t="s">
        <v>263</v>
      </c>
      <c r="C16" s="315" t="str">
        <f>'Anexo capacidad operativa'!B46</f>
        <v>Gerente de administracion</v>
      </c>
      <c r="D16" s="541">
        <v>180200</v>
      </c>
      <c r="E16" s="83">
        <f>$D$16*E13</f>
        <v>18866.939999999999</v>
      </c>
      <c r="F16" s="83">
        <f>$D$16*F13</f>
        <v>2775.08</v>
      </c>
      <c r="G16" s="83">
        <f>$D$16*G13</f>
        <v>10812</v>
      </c>
      <c r="H16" s="83">
        <f>$D$16*H13</f>
        <v>1657.84</v>
      </c>
      <c r="I16" s="83">
        <v>18.57</v>
      </c>
      <c r="J16" s="83">
        <f>$D$16*J13</f>
        <v>5406</v>
      </c>
      <c r="K16" s="83">
        <f t="shared" si="1"/>
        <v>39536.429999999993</v>
      </c>
      <c r="L16" s="550">
        <f t="shared" si="2"/>
        <v>219736.43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542" t="s">
        <v>259</v>
      </c>
      <c r="C17" s="315" t="str">
        <f>'Anexo capacidad operativa'!B47</f>
        <v>Gerente de comuinicacion</v>
      </c>
      <c r="D17" s="541">
        <v>213800</v>
      </c>
      <c r="E17" s="83">
        <f>$D$17*E13</f>
        <v>22384.86</v>
      </c>
      <c r="F17" s="83">
        <f>$D$17*F13</f>
        <v>3292.52</v>
      </c>
      <c r="G17" s="83">
        <f>$D$17*G13</f>
        <v>12828</v>
      </c>
      <c r="H17" s="83">
        <f>$D$17*H13</f>
        <v>1966.96</v>
      </c>
      <c r="I17" s="83">
        <v>18.57</v>
      </c>
      <c r="J17" s="83">
        <f>$D$17*J13</f>
        <v>6414</v>
      </c>
      <c r="K17" s="83">
        <f t="shared" si="1"/>
        <v>46904.91</v>
      </c>
      <c r="L17" s="550">
        <f t="shared" si="2"/>
        <v>260704.91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540" t="s">
        <v>210</v>
      </c>
      <c r="C18" s="315" t="str">
        <f>'Anexo capacidad operativa'!B44</f>
        <v>Gerente de servicios</v>
      </c>
      <c r="D18" s="541">
        <v>176360</v>
      </c>
      <c r="E18" s="83">
        <f>$D$18*E13</f>
        <v>18464.892</v>
      </c>
      <c r="F18" s="83">
        <f>$D$18*F13</f>
        <v>2715.944</v>
      </c>
      <c r="G18" s="83">
        <f>$D$18*G13</f>
        <v>10581.6</v>
      </c>
      <c r="H18" s="83">
        <f>$D$18*H13</f>
        <v>1622.5119999999999</v>
      </c>
      <c r="I18" s="83">
        <v>18.57</v>
      </c>
      <c r="J18" s="83">
        <f>$D$18*J13</f>
        <v>5290.8</v>
      </c>
      <c r="K18" s="83">
        <f>SUM(E18:J18)</f>
        <v>38694.318000000007</v>
      </c>
      <c r="L18" s="550">
        <f>D18+K18</f>
        <v>215054.318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thickBot="1" x14ac:dyDescent="0.3">
      <c r="A19" s="1"/>
      <c r="B19" s="540"/>
      <c r="C19" s="315" t="str">
        <f>'Anexo capacidad operativa'!B48</f>
        <v>Desarrollador</v>
      </c>
      <c r="D19" s="541">
        <v>222536</v>
      </c>
      <c r="E19" s="83">
        <f>$D$19*E13</f>
        <v>23299.519199999999</v>
      </c>
      <c r="F19" s="83">
        <f>$D$19*F13</f>
        <v>3427.0544</v>
      </c>
      <c r="G19" s="83">
        <f>$D$19*G13</f>
        <v>13352.16</v>
      </c>
      <c r="H19" s="83">
        <f>$D$19*H13</f>
        <v>2047.3311999999999</v>
      </c>
      <c r="I19" s="83">
        <v>18.57</v>
      </c>
      <c r="J19" s="83">
        <f>$D$19*J13</f>
        <v>6676.08</v>
      </c>
      <c r="K19" s="83">
        <f t="shared" si="1"/>
        <v>48820.714800000002</v>
      </c>
      <c r="L19" s="550">
        <f t="shared" si="2"/>
        <v>271356.71480000002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31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31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31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31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31" ht="15.75" customHeight="1" x14ac:dyDescent="0.25">
      <c r="A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31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31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31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31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31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thickBo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27" thickBot="1" x14ac:dyDescent="0.45">
      <c r="A33" s="1"/>
      <c r="B33" s="554" t="s">
        <v>122</v>
      </c>
      <c r="C33" s="555"/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  <c r="X33" s="555"/>
      <c r="Y33" s="555"/>
      <c r="Z33" s="555"/>
      <c r="AA33" s="556"/>
      <c r="AB33" s="1"/>
      <c r="AC33" s="1"/>
      <c r="AD33" s="1"/>
      <c r="AE33" s="1"/>
    </row>
    <row r="34" spans="1:31" ht="15.75" customHeight="1" x14ac:dyDescent="0.25">
      <c r="A34" s="1"/>
      <c r="B34" s="557" t="s">
        <v>111</v>
      </c>
      <c r="C34" s="558" t="s">
        <v>42</v>
      </c>
      <c r="D34" s="559"/>
      <c r="E34" s="558" t="s">
        <v>43</v>
      </c>
      <c r="F34" s="559"/>
      <c r="G34" s="558" t="s">
        <v>44</v>
      </c>
      <c r="H34" s="559"/>
      <c r="I34" s="558" t="s">
        <v>45</v>
      </c>
      <c r="J34" s="559"/>
      <c r="K34" s="558" t="s">
        <v>46</v>
      </c>
      <c r="L34" s="559"/>
      <c r="M34" s="558" t="s">
        <v>123</v>
      </c>
      <c r="N34" s="559"/>
      <c r="O34" s="558" t="s">
        <v>48</v>
      </c>
      <c r="P34" s="559"/>
      <c r="Q34" s="558" t="s">
        <v>49</v>
      </c>
      <c r="R34" s="559"/>
      <c r="S34" s="558" t="s">
        <v>50</v>
      </c>
      <c r="T34" s="559"/>
      <c r="U34" s="558" t="s">
        <v>51</v>
      </c>
      <c r="V34" s="559"/>
      <c r="W34" s="558" t="s">
        <v>52</v>
      </c>
      <c r="X34" s="559"/>
      <c r="Y34" s="558" t="s">
        <v>124</v>
      </c>
      <c r="Z34" s="559"/>
      <c r="AA34" s="560" t="s">
        <v>101</v>
      </c>
      <c r="AB34" s="1"/>
      <c r="AC34" s="1"/>
      <c r="AD34" s="1"/>
      <c r="AE34" s="1"/>
    </row>
    <row r="35" spans="1:31" ht="15.75" customHeight="1" thickBot="1" x14ac:dyDescent="0.3">
      <c r="A35" s="1"/>
      <c r="B35" s="561"/>
      <c r="C35" s="562" t="s">
        <v>55</v>
      </c>
      <c r="D35" s="562" t="s">
        <v>107</v>
      </c>
      <c r="E35" s="562" t="s">
        <v>55</v>
      </c>
      <c r="F35" s="562" t="s">
        <v>107</v>
      </c>
      <c r="G35" s="562" t="s">
        <v>55</v>
      </c>
      <c r="H35" s="562" t="s">
        <v>107</v>
      </c>
      <c r="I35" s="562" t="s">
        <v>55</v>
      </c>
      <c r="J35" s="562" t="s">
        <v>107</v>
      </c>
      <c r="K35" s="562" t="s">
        <v>55</v>
      </c>
      <c r="L35" s="562" t="s">
        <v>107</v>
      </c>
      <c r="M35" s="562" t="s">
        <v>55</v>
      </c>
      <c r="N35" s="562" t="s">
        <v>107</v>
      </c>
      <c r="O35" s="562" t="s">
        <v>55</v>
      </c>
      <c r="P35" s="562" t="s">
        <v>107</v>
      </c>
      <c r="Q35" s="562" t="s">
        <v>55</v>
      </c>
      <c r="R35" s="562" t="s">
        <v>107</v>
      </c>
      <c r="S35" s="562" t="s">
        <v>55</v>
      </c>
      <c r="T35" s="562" t="s">
        <v>107</v>
      </c>
      <c r="U35" s="562" t="s">
        <v>55</v>
      </c>
      <c r="V35" s="562" t="s">
        <v>107</v>
      </c>
      <c r="W35" s="562" t="s">
        <v>55</v>
      </c>
      <c r="X35" s="562" t="s">
        <v>107</v>
      </c>
      <c r="Y35" s="562" t="s">
        <v>55</v>
      </c>
      <c r="Z35" s="562" t="s">
        <v>107</v>
      </c>
      <c r="AA35" s="563"/>
      <c r="AB35" s="1"/>
      <c r="AC35" s="1"/>
      <c r="AD35" s="1"/>
      <c r="AE35" s="1"/>
    </row>
    <row r="36" spans="1:31" ht="15.75" customHeight="1" x14ac:dyDescent="0.25">
      <c r="A36" s="1"/>
      <c r="B36" s="35" t="str">
        <f>'Anexo capacidad operativa'!B22</f>
        <v>Gerente general</v>
      </c>
      <c r="C36" s="551">
        <f>'Anexo capacidad operativa'!C22</f>
        <v>1</v>
      </c>
      <c r="D36" s="84">
        <f>C36*$L$14</f>
        <v>352396.27</v>
      </c>
      <c r="E36" s="551">
        <f>'Anexo capacidad operativa'!E22</f>
        <v>1</v>
      </c>
      <c r="F36" s="84">
        <f t="shared" ref="F36" si="3">E36*$L$14</f>
        <v>352396.27</v>
      </c>
      <c r="G36" s="551">
        <f>'Anexo capacidad operativa'!G22</f>
        <v>1</v>
      </c>
      <c r="H36" s="84">
        <f t="shared" ref="H36" si="4">G36*$L$14</f>
        <v>352396.27</v>
      </c>
      <c r="I36" s="551">
        <f>'Anexo capacidad operativa'!I22</f>
        <v>1</v>
      </c>
      <c r="J36" s="84">
        <f t="shared" ref="J36" si="5">I36*$L$14</f>
        <v>352396.27</v>
      </c>
      <c r="K36" s="551">
        <f>'Anexo capacidad operativa'!K22</f>
        <v>1</v>
      </c>
      <c r="L36" s="84">
        <f t="shared" ref="L36" si="6">K36*$L$14</f>
        <v>352396.27</v>
      </c>
      <c r="M36" s="551">
        <f>'Anexo capacidad operativa'!M22</f>
        <v>1</v>
      </c>
      <c r="N36" s="84">
        <f t="shared" ref="N36" si="7">M36*$L$14</f>
        <v>352396.27</v>
      </c>
      <c r="O36" s="551">
        <f>'Anexo capacidad operativa'!O22</f>
        <v>1</v>
      </c>
      <c r="P36" s="84">
        <f t="shared" ref="P36" si="8">O36*$L$14</f>
        <v>352396.27</v>
      </c>
      <c r="Q36" s="551">
        <f>'Anexo capacidad operativa'!Q22</f>
        <v>1</v>
      </c>
      <c r="R36" s="84">
        <f t="shared" ref="R36" si="9">Q36*$L$14</f>
        <v>352396.27</v>
      </c>
      <c r="S36" s="551">
        <f>'Anexo capacidad operativa'!S22</f>
        <v>1</v>
      </c>
      <c r="T36" s="84">
        <f t="shared" ref="T36" si="10">S36*$L$14</f>
        <v>352396.27</v>
      </c>
      <c r="U36" s="551">
        <f>'Anexo capacidad operativa'!U22</f>
        <v>1</v>
      </c>
      <c r="V36" s="84">
        <f t="shared" ref="V36" si="11">U36*$L$14</f>
        <v>352396.27</v>
      </c>
      <c r="W36" s="551">
        <f>'Anexo capacidad operativa'!W22</f>
        <v>1</v>
      </c>
      <c r="X36" s="84">
        <f t="shared" ref="X36" si="12">W36*$L$14</f>
        <v>352396.27</v>
      </c>
      <c r="Y36" s="551">
        <f>'Anexo capacidad operativa'!Y22</f>
        <v>1</v>
      </c>
      <c r="Z36" s="84">
        <f t="shared" ref="Z36" si="13">Y36*$L$14</f>
        <v>352396.27</v>
      </c>
      <c r="AA36" s="564">
        <f>D36+F36+H36+J36+L36+N36+P36+R36+T36+V36+X36+Z36</f>
        <v>4228755.24</v>
      </c>
      <c r="AB36" s="1"/>
      <c r="AC36" s="1"/>
      <c r="AD36" s="1"/>
      <c r="AE36" s="1"/>
    </row>
    <row r="37" spans="1:31" ht="15.75" customHeight="1" x14ac:dyDescent="0.25">
      <c r="A37" s="1"/>
      <c r="B37" s="37" t="str">
        <f>'Anexo capacidad operativa'!B23</f>
        <v>Gerente de servicios</v>
      </c>
      <c r="C37" s="551">
        <f>'Anexo capacidad operativa'!C23</f>
        <v>1</v>
      </c>
      <c r="D37" s="84">
        <f>C37*$L$18</f>
        <v>215054.318</v>
      </c>
      <c r="E37" s="551">
        <f>'Anexo capacidad operativa'!E23</f>
        <v>1</v>
      </c>
      <c r="F37" s="84">
        <f t="shared" ref="F37" si="14">E37*$L$18</f>
        <v>215054.318</v>
      </c>
      <c r="G37" s="551">
        <f>'Anexo capacidad operativa'!G23</f>
        <v>1</v>
      </c>
      <c r="H37" s="84">
        <f t="shared" ref="H37" si="15">G37*$L$18</f>
        <v>215054.318</v>
      </c>
      <c r="I37" s="551">
        <f>'Anexo capacidad operativa'!I23</f>
        <v>1</v>
      </c>
      <c r="J37" s="84">
        <f t="shared" ref="J37" si="16">I37*$L$18</f>
        <v>215054.318</v>
      </c>
      <c r="K37" s="551">
        <f>'Anexo capacidad operativa'!K23</f>
        <v>1</v>
      </c>
      <c r="L37" s="84">
        <f t="shared" ref="L37" si="17">K37*$L$18</f>
        <v>215054.318</v>
      </c>
      <c r="M37" s="551">
        <f>'Anexo capacidad operativa'!M23</f>
        <v>1</v>
      </c>
      <c r="N37" s="84">
        <f t="shared" ref="N37" si="18">M37*$L$18</f>
        <v>215054.318</v>
      </c>
      <c r="O37" s="551">
        <f>'Anexo capacidad operativa'!O23</f>
        <v>1</v>
      </c>
      <c r="P37" s="84">
        <f t="shared" ref="P37" si="19">O37*$L$18</f>
        <v>215054.318</v>
      </c>
      <c r="Q37" s="551">
        <f>'Anexo capacidad operativa'!Q23</f>
        <v>1</v>
      </c>
      <c r="R37" s="84">
        <f t="shared" ref="R37" si="20">Q37*$L$18</f>
        <v>215054.318</v>
      </c>
      <c r="S37" s="551">
        <f>'Anexo capacidad operativa'!S23</f>
        <v>1</v>
      </c>
      <c r="T37" s="84">
        <f t="shared" ref="T37" si="21">S37*$L$18</f>
        <v>215054.318</v>
      </c>
      <c r="U37" s="551">
        <f>'Anexo capacidad operativa'!U23</f>
        <v>1</v>
      </c>
      <c r="V37" s="84">
        <f t="shared" ref="V37" si="22">U37*$L$18</f>
        <v>215054.318</v>
      </c>
      <c r="W37" s="551">
        <f>'Anexo capacidad operativa'!W23</f>
        <v>1</v>
      </c>
      <c r="X37" s="84">
        <f t="shared" ref="X37" si="23">W37*$L$18</f>
        <v>215054.318</v>
      </c>
      <c r="Y37" s="551">
        <f>'Anexo capacidad operativa'!Y23</f>
        <v>1</v>
      </c>
      <c r="Z37" s="84">
        <f t="shared" ref="Z37" si="24">Y37*$L$18</f>
        <v>215054.318</v>
      </c>
      <c r="AA37" s="564">
        <f>D37+F37+H37+J37+L37+N37+P37+R37+T37+V37+X37+Z37</f>
        <v>2580651.8160000001</v>
      </c>
      <c r="AB37" s="1"/>
      <c r="AC37" s="1"/>
      <c r="AD37" s="1"/>
      <c r="AE37" s="1"/>
    </row>
    <row r="38" spans="1:31" ht="15.75" customHeight="1" x14ac:dyDescent="0.25">
      <c r="A38" s="1"/>
      <c r="B38" s="37" t="str">
        <f>'Anexo capacidad operativa'!B24</f>
        <v>Gerente de tecnologia</v>
      </c>
      <c r="C38" s="551">
        <f>'Anexo capacidad operativa'!C24</f>
        <v>1</v>
      </c>
      <c r="D38" s="84">
        <f>C38*$L$15</f>
        <v>350323.46</v>
      </c>
      <c r="E38" s="551">
        <f>'Anexo capacidad operativa'!E24</f>
        <v>1</v>
      </c>
      <c r="F38" s="84">
        <f t="shared" ref="F38" si="25">E38*$L$15</f>
        <v>350323.46</v>
      </c>
      <c r="G38" s="551">
        <f>'Anexo capacidad operativa'!G24</f>
        <v>1</v>
      </c>
      <c r="H38" s="84">
        <f t="shared" ref="H38" si="26">G38*$L$15</f>
        <v>350323.46</v>
      </c>
      <c r="I38" s="551">
        <f>'Anexo capacidad operativa'!I24</f>
        <v>1</v>
      </c>
      <c r="J38" s="84">
        <f t="shared" ref="J38" si="27">I38*$L$15</f>
        <v>350323.46</v>
      </c>
      <c r="K38" s="551">
        <f>'Anexo capacidad operativa'!K24</f>
        <v>1</v>
      </c>
      <c r="L38" s="84">
        <f t="shared" ref="L38" si="28">K38*$L$15</f>
        <v>350323.46</v>
      </c>
      <c r="M38" s="551">
        <f>'Anexo capacidad operativa'!M24</f>
        <v>1</v>
      </c>
      <c r="N38" s="84">
        <f t="shared" ref="N38" si="29">M38*$L$15</f>
        <v>350323.46</v>
      </c>
      <c r="O38" s="551">
        <f>'Anexo capacidad operativa'!O24</f>
        <v>1</v>
      </c>
      <c r="P38" s="84">
        <f t="shared" ref="P38" si="30">O38*$L$15</f>
        <v>350323.46</v>
      </c>
      <c r="Q38" s="551">
        <f>'Anexo capacidad operativa'!Q24</f>
        <v>1</v>
      </c>
      <c r="R38" s="84">
        <f t="shared" ref="R38" si="31">Q38*$L$15</f>
        <v>350323.46</v>
      </c>
      <c r="S38" s="551">
        <f>'Anexo capacidad operativa'!S24</f>
        <v>1</v>
      </c>
      <c r="T38" s="84">
        <f t="shared" ref="T38" si="32">S38*$L$15</f>
        <v>350323.46</v>
      </c>
      <c r="U38" s="551">
        <f>'Anexo capacidad operativa'!U24</f>
        <v>1</v>
      </c>
      <c r="V38" s="84">
        <f t="shared" ref="V38" si="33">U38*$L$15</f>
        <v>350323.46</v>
      </c>
      <c r="W38" s="551">
        <f>'Anexo capacidad operativa'!W24</f>
        <v>1</v>
      </c>
      <c r="X38" s="84">
        <f t="shared" ref="X38" si="34">W38*$L$15</f>
        <v>350323.46</v>
      </c>
      <c r="Y38" s="551">
        <f>'Anexo capacidad operativa'!Y24</f>
        <v>1</v>
      </c>
      <c r="Z38" s="84">
        <f t="shared" ref="Z38" si="35">Y38*$L$15</f>
        <v>350323.46</v>
      </c>
      <c r="AA38" s="564">
        <f>D38+F38+H38+J38+L38+N38+P38+R38+T38+V38+X38+Z38</f>
        <v>4203881.5200000005</v>
      </c>
      <c r="AB38" s="1"/>
      <c r="AC38" s="1"/>
      <c r="AD38" s="1"/>
      <c r="AE38" s="1"/>
    </row>
    <row r="39" spans="1:31" ht="15.75" customHeight="1" x14ac:dyDescent="0.25">
      <c r="A39" s="1"/>
      <c r="B39" s="37" t="str">
        <f>'Anexo capacidad operativa'!B25</f>
        <v>Gerente de administracion</v>
      </c>
      <c r="C39" s="551">
        <f>'Anexo capacidad operativa'!C25</f>
        <v>1</v>
      </c>
      <c r="D39" s="84">
        <f>$L$16*C39</f>
        <v>219736.43</v>
      </c>
      <c r="E39" s="551">
        <f>'Anexo capacidad operativa'!E25</f>
        <v>1</v>
      </c>
      <c r="F39" s="84">
        <f t="shared" ref="F39" si="36">$L$16*E39</f>
        <v>219736.43</v>
      </c>
      <c r="G39" s="551">
        <f>'Anexo capacidad operativa'!G25</f>
        <v>1</v>
      </c>
      <c r="H39" s="84">
        <f t="shared" ref="H39" si="37">$L$16*G39</f>
        <v>219736.43</v>
      </c>
      <c r="I39" s="551">
        <f>'Anexo capacidad operativa'!I25</f>
        <v>1</v>
      </c>
      <c r="J39" s="84">
        <f t="shared" ref="J39" si="38">$L$16*I39</f>
        <v>219736.43</v>
      </c>
      <c r="K39" s="551">
        <f>'Anexo capacidad operativa'!K25</f>
        <v>1</v>
      </c>
      <c r="L39" s="84">
        <f t="shared" ref="L39" si="39">$L$16*K39</f>
        <v>219736.43</v>
      </c>
      <c r="M39" s="551">
        <f>'Anexo capacidad operativa'!M25</f>
        <v>1</v>
      </c>
      <c r="N39" s="84">
        <f t="shared" ref="N39" si="40">$L$16*M39</f>
        <v>219736.43</v>
      </c>
      <c r="O39" s="551">
        <f>'Anexo capacidad operativa'!O25</f>
        <v>1</v>
      </c>
      <c r="P39" s="84">
        <f t="shared" ref="P39" si="41">$L$16*O39</f>
        <v>219736.43</v>
      </c>
      <c r="Q39" s="551">
        <f>'Anexo capacidad operativa'!Q25</f>
        <v>1</v>
      </c>
      <c r="R39" s="84">
        <f t="shared" ref="R39" si="42">$L$16*Q39</f>
        <v>219736.43</v>
      </c>
      <c r="S39" s="551">
        <f>'Anexo capacidad operativa'!S25</f>
        <v>1</v>
      </c>
      <c r="T39" s="84">
        <f t="shared" ref="T39" si="43">$L$16*S39</f>
        <v>219736.43</v>
      </c>
      <c r="U39" s="551">
        <f>'Anexo capacidad operativa'!U25</f>
        <v>1</v>
      </c>
      <c r="V39" s="84">
        <f t="shared" ref="V39" si="44">$L$16*U39</f>
        <v>219736.43</v>
      </c>
      <c r="W39" s="551">
        <f>'Anexo capacidad operativa'!W25</f>
        <v>1</v>
      </c>
      <c r="X39" s="84">
        <f t="shared" ref="X39" si="45">$L$16*W39</f>
        <v>219736.43</v>
      </c>
      <c r="Y39" s="551">
        <f>'Anexo capacidad operativa'!Y25</f>
        <v>1</v>
      </c>
      <c r="Z39" s="84">
        <f t="shared" ref="Z39" si="46">$L$16*Y39</f>
        <v>219736.43</v>
      </c>
      <c r="AA39" s="564">
        <f>D39+F39+H39+J39+L39+N39+P39+R39+T39+V39+X39+Z39</f>
        <v>2636837.16</v>
      </c>
      <c r="AB39" s="1"/>
      <c r="AC39" s="1"/>
      <c r="AD39" s="1"/>
      <c r="AE39" s="1"/>
    </row>
    <row r="40" spans="1:31" ht="15.75" customHeight="1" x14ac:dyDescent="0.25">
      <c r="A40" s="1"/>
      <c r="B40" s="37" t="str">
        <f>'Anexo capacidad operativa'!B26</f>
        <v>Gerente de comunicacion</v>
      </c>
      <c r="C40" s="551">
        <f>'Anexo capacidad operativa'!C26</f>
        <v>1</v>
      </c>
      <c r="D40" s="84">
        <f>C40*$L$17</f>
        <v>260704.91</v>
      </c>
      <c r="E40" s="551">
        <f>'Anexo capacidad operativa'!E26</f>
        <v>1</v>
      </c>
      <c r="F40" s="84">
        <f t="shared" ref="F40" si="47">E40*$L$17</f>
        <v>260704.91</v>
      </c>
      <c r="G40" s="551">
        <f>'Anexo capacidad operativa'!G26</f>
        <v>1</v>
      </c>
      <c r="H40" s="84">
        <f t="shared" ref="H40" si="48">G40*$L$17</f>
        <v>260704.91</v>
      </c>
      <c r="I40" s="551">
        <f>'Anexo capacidad operativa'!I26</f>
        <v>1</v>
      </c>
      <c r="J40" s="84">
        <f t="shared" ref="J40" si="49">I40*$L$17</f>
        <v>260704.91</v>
      </c>
      <c r="K40" s="551">
        <f>'Anexo capacidad operativa'!K26</f>
        <v>1</v>
      </c>
      <c r="L40" s="84">
        <f t="shared" ref="L40" si="50">K40*$L$17</f>
        <v>260704.91</v>
      </c>
      <c r="M40" s="551">
        <f>'Anexo capacidad operativa'!M26</f>
        <v>1</v>
      </c>
      <c r="N40" s="84">
        <f t="shared" ref="N40" si="51">M40*$L$17</f>
        <v>260704.91</v>
      </c>
      <c r="O40" s="551">
        <f>'Anexo capacidad operativa'!O26</f>
        <v>1</v>
      </c>
      <c r="P40" s="84">
        <f t="shared" ref="P40" si="52">O40*$L$17</f>
        <v>260704.91</v>
      </c>
      <c r="Q40" s="551">
        <f>'Anexo capacidad operativa'!Q26</f>
        <v>1</v>
      </c>
      <c r="R40" s="84">
        <f t="shared" ref="R40" si="53">Q40*$L$17</f>
        <v>260704.91</v>
      </c>
      <c r="S40" s="551">
        <f>'Anexo capacidad operativa'!S26</f>
        <v>1</v>
      </c>
      <c r="T40" s="84">
        <f t="shared" ref="T40" si="54">S40*$L$17</f>
        <v>260704.91</v>
      </c>
      <c r="U40" s="551">
        <f>'Anexo capacidad operativa'!U26</f>
        <v>1</v>
      </c>
      <c r="V40" s="84">
        <f t="shared" ref="V40" si="55">U40*$L$17</f>
        <v>260704.91</v>
      </c>
      <c r="W40" s="551">
        <f>'Anexo capacidad operativa'!W26</f>
        <v>1</v>
      </c>
      <c r="X40" s="84">
        <f t="shared" ref="X40" si="56">W40*$L$17</f>
        <v>260704.91</v>
      </c>
      <c r="Y40" s="551">
        <f>'Anexo capacidad operativa'!Y26</f>
        <v>2</v>
      </c>
      <c r="Z40" s="84">
        <f t="shared" ref="Z40" si="57">Y40*$L$17</f>
        <v>521409.82</v>
      </c>
      <c r="AA40" s="564">
        <f>D40+F40+H40+J40+L40+N40+P40+R40+T40+V40+X40+Z40</f>
        <v>3389163.83</v>
      </c>
      <c r="AB40" s="1"/>
      <c r="AC40" s="1"/>
      <c r="AD40" s="1"/>
      <c r="AE40" s="1"/>
    </row>
    <row r="41" spans="1:31" ht="15.75" customHeight="1" thickBot="1" x14ac:dyDescent="0.3">
      <c r="A41" s="1"/>
      <c r="B41" s="565" t="s">
        <v>125</v>
      </c>
      <c r="C41" s="566">
        <f>SUM(C36:C40)</f>
        <v>5</v>
      </c>
      <c r="D41" s="567">
        <f>SUM(D36:D40)</f>
        <v>1398215.3879999998</v>
      </c>
      <c r="E41" s="566">
        <f>SUM(E36:E40)</f>
        <v>5</v>
      </c>
      <c r="F41" s="567">
        <f>SUM(F36:F40)</f>
        <v>1398215.3879999998</v>
      </c>
      <c r="G41" s="566">
        <f>SUM(G36:G40)</f>
        <v>5</v>
      </c>
      <c r="H41" s="567">
        <f>SUM(H36:H40)</f>
        <v>1398215.3879999998</v>
      </c>
      <c r="I41" s="566">
        <f>SUM(I36:I40)</f>
        <v>5</v>
      </c>
      <c r="J41" s="567">
        <f>SUM(J36:J40)</f>
        <v>1398215.3879999998</v>
      </c>
      <c r="K41" s="566">
        <f>SUM(K36:K40)</f>
        <v>5</v>
      </c>
      <c r="L41" s="567">
        <f>SUM(L36:L40)</f>
        <v>1398215.3879999998</v>
      </c>
      <c r="M41" s="566">
        <f>SUM(M36:M40)</f>
        <v>5</v>
      </c>
      <c r="N41" s="567">
        <f>SUM(N36:N40)</f>
        <v>1398215.3879999998</v>
      </c>
      <c r="O41" s="566">
        <f>SUM(O36:O40)</f>
        <v>5</v>
      </c>
      <c r="P41" s="567">
        <f>SUM(P36:P40)</f>
        <v>1398215.3879999998</v>
      </c>
      <c r="Q41" s="566">
        <f>SUM(Q36:Q40)</f>
        <v>5</v>
      </c>
      <c r="R41" s="567">
        <f>SUM(R36:R40)</f>
        <v>1398215.3879999998</v>
      </c>
      <c r="S41" s="566">
        <f>SUM(S36:S40)</f>
        <v>5</v>
      </c>
      <c r="T41" s="567">
        <f>SUM(T36:T40)</f>
        <v>1398215.3879999998</v>
      </c>
      <c r="U41" s="566">
        <f>SUM(U36:U40)</f>
        <v>5</v>
      </c>
      <c r="V41" s="567">
        <f>SUM(V36:V40)</f>
        <v>1398215.3879999998</v>
      </c>
      <c r="W41" s="566">
        <f>SUM(W36:W40)</f>
        <v>5</v>
      </c>
      <c r="X41" s="567">
        <f>SUM(X36:X40)</f>
        <v>1398215.3879999998</v>
      </c>
      <c r="Y41" s="566">
        <f>SUM(Y36:Y40)</f>
        <v>6</v>
      </c>
      <c r="Z41" s="567">
        <f>SUM(Z36:Z40)</f>
        <v>1658920.298</v>
      </c>
      <c r="AA41" s="86">
        <f>Z41+X41+V41+T41+R41+P41+N41+L41+J41+H41+F41+D41</f>
        <v>17039289.566</v>
      </c>
      <c r="AB41" s="1"/>
      <c r="AC41" s="1"/>
      <c r="AD41" s="1"/>
      <c r="AE41" s="1"/>
    </row>
    <row r="42" spans="1:31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.75" customHeight="1" x14ac:dyDescent="0.25">
      <c r="AB43" s="1"/>
      <c r="AC43" s="1"/>
      <c r="AD43" s="1"/>
      <c r="AE43" s="1"/>
    </row>
    <row r="44" spans="1:31" ht="15.75" customHeight="1" x14ac:dyDescent="0.25">
      <c r="AD44" s="1"/>
      <c r="AE44" s="1"/>
    </row>
    <row r="45" spans="1:31" x14ac:dyDescent="0.25">
      <c r="AD45" s="1"/>
      <c r="AE45" s="1"/>
    </row>
    <row r="46" spans="1:31" ht="15.75" thickBot="1" x14ac:dyDescent="0.3">
      <c r="A46" s="1"/>
    </row>
    <row r="47" spans="1:31" ht="27" thickBot="1" x14ac:dyDescent="0.45">
      <c r="A47" s="1"/>
      <c r="B47" s="554" t="s">
        <v>122</v>
      </c>
      <c r="C47" s="555"/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  <c r="X47" s="555"/>
      <c r="Y47" s="555"/>
      <c r="Z47" s="555"/>
      <c r="AA47" s="556"/>
    </row>
    <row r="48" spans="1:31" ht="15.75" x14ac:dyDescent="0.25">
      <c r="A48" s="1"/>
      <c r="B48" s="557" t="s">
        <v>111</v>
      </c>
      <c r="C48" s="558" t="s">
        <v>42</v>
      </c>
      <c r="D48" s="559"/>
      <c r="E48" s="558" t="s">
        <v>43</v>
      </c>
      <c r="F48" s="559"/>
      <c r="G48" s="558" t="s">
        <v>44</v>
      </c>
      <c r="H48" s="559"/>
      <c r="I48" s="558" t="s">
        <v>45</v>
      </c>
      <c r="J48" s="559"/>
      <c r="K48" s="558" t="s">
        <v>46</v>
      </c>
      <c r="L48" s="559"/>
      <c r="M48" s="558" t="s">
        <v>123</v>
      </c>
      <c r="N48" s="559"/>
      <c r="O48" s="558" t="s">
        <v>48</v>
      </c>
      <c r="P48" s="559"/>
      <c r="Q48" s="558" t="s">
        <v>49</v>
      </c>
      <c r="R48" s="559"/>
      <c r="S48" s="558" t="s">
        <v>50</v>
      </c>
      <c r="T48" s="559"/>
      <c r="U48" s="558" t="s">
        <v>51</v>
      </c>
      <c r="V48" s="559"/>
      <c r="W48" s="558" t="s">
        <v>52</v>
      </c>
      <c r="X48" s="559"/>
      <c r="Y48" s="558" t="s">
        <v>124</v>
      </c>
      <c r="Z48" s="559"/>
      <c r="AA48" s="560" t="s">
        <v>101</v>
      </c>
    </row>
    <row r="49" spans="1:27" ht="16.5" thickBot="1" x14ac:dyDescent="0.3">
      <c r="A49" s="1"/>
      <c r="B49" s="561"/>
      <c r="C49" s="562" t="s">
        <v>55</v>
      </c>
      <c r="D49" s="562" t="s">
        <v>107</v>
      </c>
      <c r="E49" s="562" t="s">
        <v>55</v>
      </c>
      <c r="F49" s="562" t="s">
        <v>107</v>
      </c>
      <c r="G49" s="562" t="s">
        <v>55</v>
      </c>
      <c r="H49" s="562" t="s">
        <v>107</v>
      </c>
      <c r="I49" s="562" t="s">
        <v>55</v>
      </c>
      <c r="J49" s="562" t="s">
        <v>107</v>
      </c>
      <c r="K49" s="562" t="s">
        <v>55</v>
      </c>
      <c r="L49" s="562" t="s">
        <v>107</v>
      </c>
      <c r="M49" s="562" t="s">
        <v>55</v>
      </c>
      <c r="N49" s="562" t="s">
        <v>107</v>
      </c>
      <c r="O49" s="562" t="s">
        <v>55</v>
      </c>
      <c r="P49" s="562" t="s">
        <v>107</v>
      </c>
      <c r="Q49" s="562" t="s">
        <v>55</v>
      </c>
      <c r="R49" s="562" t="s">
        <v>107</v>
      </c>
      <c r="S49" s="562" t="s">
        <v>55</v>
      </c>
      <c r="T49" s="562" t="s">
        <v>107</v>
      </c>
      <c r="U49" s="562" t="s">
        <v>55</v>
      </c>
      <c r="V49" s="562" t="s">
        <v>107</v>
      </c>
      <c r="W49" s="562" t="s">
        <v>55</v>
      </c>
      <c r="X49" s="562" t="s">
        <v>107</v>
      </c>
      <c r="Y49" s="562" t="s">
        <v>55</v>
      </c>
      <c r="Z49" s="562" t="s">
        <v>107</v>
      </c>
      <c r="AA49" s="563"/>
    </row>
    <row r="50" spans="1:27" x14ac:dyDescent="0.25">
      <c r="A50" s="1"/>
      <c r="B50" s="35" t="str">
        <f>'Anexo capacidad operativa'!B32</f>
        <v>Gerente general</v>
      </c>
      <c r="C50" s="552">
        <f>'Anexo capacidad operativa'!C32</f>
        <v>1</v>
      </c>
      <c r="D50" s="84">
        <f>C50*$L$14</f>
        <v>352396.27</v>
      </c>
      <c r="E50" s="552">
        <f>'Anexo capacidad operativa'!E32</f>
        <v>1</v>
      </c>
      <c r="F50" s="84">
        <f>E50*$L$14</f>
        <v>352396.27</v>
      </c>
      <c r="G50" s="552">
        <f>'Anexo capacidad operativa'!G32</f>
        <v>1</v>
      </c>
      <c r="H50" s="84">
        <f t="shared" ref="H50" si="58">G50*$L$14</f>
        <v>352396.27</v>
      </c>
      <c r="I50" s="552">
        <f>'Anexo capacidad operativa'!I32</f>
        <v>1</v>
      </c>
      <c r="J50" s="84">
        <f t="shared" ref="J50" si="59">I50*$L$14</f>
        <v>352396.27</v>
      </c>
      <c r="K50" s="552">
        <f>'Anexo capacidad operativa'!K32</f>
        <v>1</v>
      </c>
      <c r="L50" s="84">
        <f t="shared" ref="L50" si="60">K50*$L$14</f>
        <v>352396.27</v>
      </c>
      <c r="M50" s="552">
        <f>'Anexo capacidad operativa'!M32</f>
        <v>1</v>
      </c>
      <c r="N50" s="84">
        <f t="shared" ref="N50" si="61">M50*$L$14</f>
        <v>352396.27</v>
      </c>
      <c r="O50" s="552">
        <f>'Anexo capacidad operativa'!O32</f>
        <v>1</v>
      </c>
      <c r="P50" s="84">
        <f t="shared" ref="P50" si="62">O50*$L$14</f>
        <v>352396.27</v>
      </c>
      <c r="Q50" s="552">
        <f>'Anexo capacidad operativa'!Q32</f>
        <v>1</v>
      </c>
      <c r="R50" s="84">
        <f t="shared" ref="R50" si="63">Q50*$L$14</f>
        <v>352396.27</v>
      </c>
      <c r="S50" s="552">
        <f>'Anexo capacidad operativa'!S32</f>
        <v>1</v>
      </c>
      <c r="T50" s="84">
        <f t="shared" ref="T50" si="64">S50*$L$14</f>
        <v>352396.27</v>
      </c>
      <c r="U50" s="552">
        <f>'Anexo capacidad operativa'!U32</f>
        <v>1</v>
      </c>
      <c r="V50" s="84">
        <f t="shared" ref="V50" si="65">U50*$L$14</f>
        <v>352396.27</v>
      </c>
      <c r="W50" s="552">
        <f>'Anexo capacidad operativa'!W32</f>
        <v>1</v>
      </c>
      <c r="X50" s="84">
        <f t="shared" ref="X50" si="66">W50*$L$14</f>
        <v>352396.27</v>
      </c>
      <c r="Y50" s="552">
        <f>'Anexo capacidad operativa'!Y32</f>
        <v>1</v>
      </c>
      <c r="Z50" s="84">
        <f t="shared" ref="Z50" si="67">Y50*$L$14</f>
        <v>352396.27</v>
      </c>
      <c r="AA50" s="564">
        <f>D50+F50+H50+J50+L50+N50+P50+R50+T50+V50+X50+Z50</f>
        <v>4228755.24</v>
      </c>
    </row>
    <row r="51" spans="1:27" ht="15.75" customHeight="1" x14ac:dyDescent="0.25">
      <c r="A51" s="1"/>
      <c r="B51" s="37" t="str">
        <f>'Anexo capacidad operativa'!B33</f>
        <v>Gerente de servicios</v>
      </c>
      <c r="C51" s="552">
        <f>'Anexo capacidad operativa'!C33</f>
        <v>1</v>
      </c>
      <c r="D51" s="84">
        <f>C51*$L$18</f>
        <v>215054.318</v>
      </c>
      <c r="E51" s="552">
        <f>'Anexo capacidad operativa'!E33</f>
        <v>1</v>
      </c>
      <c r="F51" s="84">
        <f>E51*$L$18</f>
        <v>215054.318</v>
      </c>
      <c r="G51" s="552">
        <f>'Anexo capacidad operativa'!G33</f>
        <v>1</v>
      </c>
      <c r="H51" s="84">
        <f t="shared" ref="H51" si="68">G51*$L$18</f>
        <v>215054.318</v>
      </c>
      <c r="I51" s="552">
        <f>'Anexo capacidad operativa'!I33</f>
        <v>1</v>
      </c>
      <c r="J51" s="84">
        <f t="shared" ref="J51" si="69">I51*$L$18</f>
        <v>215054.318</v>
      </c>
      <c r="K51" s="552">
        <f>'Anexo capacidad operativa'!K33</f>
        <v>1</v>
      </c>
      <c r="L51" s="84">
        <f t="shared" ref="L51" si="70">K51*$L$18</f>
        <v>215054.318</v>
      </c>
      <c r="M51" s="552">
        <f>'Anexo capacidad operativa'!M33</f>
        <v>1</v>
      </c>
      <c r="N51" s="84">
        <f t="shared" ref="N51" si="71">M51*$L$18</f>
        <v>215054.318</v>
      </c>
      <c r="O51" s="552">
        <f>'Anexo capacidad operativa'!O33</f>
        <v>1</v>
      </c>
      <c r="P51" s="84">
        <f t="shared" ref="P51" si="72">O51*$L$18</f>
        <v>215054.318</v>
      </c>
      <c r="Q51" s="552">
        <f>'Anexo capacidad operativa'!Q33</f>
        <v>1</v>
      </c>
      <c r="R51" s="84">
        <f t="shared" ref="R51" si="73">Q51*$L$18</f>
        <v>215054.318</v>
      </c>
      <c r="S51" s="552">
        <f>'Anexo capacidad operativa'!S33</f>
        <v>1</v>
      </c>
      <c r="T51" s="84">
        <f t="shared" ref="T51" si="74">S51*$L$18</f>
        <v>215054.318</v>
      </c>
      <c r="U51" s="552">
        <f>'Anexo capacidad operativa'!U33</f>
        <v>1</v>
      </c>
      <c r="V51" s="84">
        <f t="shared" ref="V51" si="75">U51*$L$18</f>
        <v>215054.318</v>
      </c>
      <c r="W51" s="552">
        <f>'Anexo capacidad operativa'!W33</f>
        <v>1</v>
      </c>
      <c r="X51" s="84">
        <f t="shared" ref="X51" si="76">W51*$L$18</f>
        <v>215054.318</v>
      </c>
      <c r="Y51" s="552">
        <f>'Anexo capacidad operativa'!Y33</f>
        <v>1</v>
      </c>
      <c r="Z51" s="84">
        <f t="shared" ref="Z51" si="77">Y51*$L$18</f>
        <v>215054.318</v>
      </c>
      <c r="AA51" s="564">
        <f>D51+F51+H51+J51+L51+N51+P51+R51+T51+V51+X51+Z51</f>
        <v>2580651.8160000001</v>
      </c>
    </row>
    <row r="52" spans="1:27" ht="15.75" customHeight="1" x14ac:dyDescent="0.25">
      <c r="A52" s="1"/>
      <c r="B52" s="37" t="str">
        <f>'Anexo capacidad operativa'!B34</f>
        <v>Gerente de tecnologia</v>
      </c>
      <c r="C52" s="552">
        <f>'Anexo capacidad operativa'!C34</f>
        <v>1</v>
      </c>
      <c r="D52" s="84">
        <f>C52*$L$15</f>
        <v>350323.46</v>
      </c>
      <c r="E52" s="552">
        <f>'Anexo capacidad operativa'!E34</f>
        <v>1</v>
      </c>
      <c r="F52" s="84">
        <f>E52*$L$15</f>
        <v>350323.46</v>
      </c>
      <c r="G52" s="552">
        <f>'Anexo capacidad operativa'!G34</f>
        <v>1</v>
      </c>
      <c r="H52" s="84">
        <f t="shared" ref="H52" si="78">G52*$L$15</f>
        <v>350323.46</v>
      </c>
      <c r="I52" s="552">
        <f>'Anexo capacidad operativa'!I34</f>
        <v>1</v>
      </c>
      <c r="J52" s="84">
        <f t="shared" ref="J52" si="79">I52*$L$15</f>
        <v>350323.46</v>
      </c>
      <c r="K52" s="552">
        <f>'Anexo capacidad operativa'!K34</f>
        <v>1</v>
      </c>
      <c r="L52" s="84">
        <f t="shared" ref="L52" si="80">K52*$L$15</f>
        <v>350323.46</v>
      </c>
      <c r="M52" s="552">
        <f>'Anexo capacidad operativa'!M34</f>
        <v>1</v>
      </c>
      <c r="N52" s="84">
        <f t="shared" ref="N52" si="81">M52*$L$15</f>
        <v>350323.46</v>
      </c>
      <c r="O52" s="552">
        <f>'Anexo capacidad operativa'!O34</f>
        <v>1</v>
      </c>
      <c r="P52" s="84">
        <f t="shared" ref="P52" si="82">O52*$L$15</f>
        <v>350323.46</v>
      </c>
      <c r="Q52" s="552">
        <f>'Anexo capacidad operativa'!Q34</f>
        <v>1</v>
      </c>
      <c r="R52" s="84">
        <f t="shared" ref="R52" si="83">Q52*$L$15</f>
        <v>350323.46</v>
      </c>
      <c r="S52" s="552">
        <f>'Anexo capacidad operativa'!S34</f>
        <v>1</v>
      </c>
      <c r="T52" s="84">
        <f t="shared" ref="T52" si="84">S52*$L$15</f>
        <v>350323.46</v>
      </c>
      <c r="U52" s="552">
        <f>'Anexo capacidad operativa'!U34</f>
        <v>1</v>
      </c>
      <c r="V52" s="84">
        <f t="shared" ref="V52" si="85">U52*$L$15</f>
        <v>350323.46</v>
      </c>
      <c r="W52" s="552">
        <f>'Anexo capacidad operativa'!W34</f>
        <v>1</v>
      </c>
      <c r="X52" s="84">
        <f t="shared" ref="X52" si="86">W52*$L$15</f>
        <v>350323.46</v>
      </c>
      <c r="Y52" s="552">
        <f>'Anexo capacidad operativa'!Y34</f>
        <v>1</v>
      </c>
      <c r="Z52" s="84">
        <f t="shared" ref="Z52" si="87">Y52*$L$15</f>
        <v>350323.46</v>
      </c>
      <c r="AA52" s="564">
        <f>D52+F52+H52+J52+L52+N52+P52+R52+T52+V52+X52+Z52</f>
        <v>4203881.5200000005</v>
      </c>
    </row>
    <row r="53" spans="1:27" ht="15.75" customHeight="1" x14ac:dyDescent="0.25">
      <c r="A53" s="1"/>
      <c r="B53" s="37" t="str">
        <f>'Anexo capacidad operativa'!B35</f>
        <v>Gerente de administracion</v>
      </c>
      <c r="C53" s="553">
        <f>'Anexo capacidad operativa'!C35</f>
        <v>1</v>
      </c>
      <c r="D53" s="84">
        <f>$L$16*C53</f>
        <v>219736.43</v>
      </c>
      <c r="E53" s="553">
        <f>'Anexo capacidad operativa'!E35</f>
        <v>1</v>
      </c>
      <c r="F53" s="84">
        <f>$L$16*E53</f>
        <v>219736.43</v>
      </c>
      <c r="G53" s="553">
        <f>'Anexo capacidad operativa'!G35</f>
        <v>1</v>
      </c>
      <c r="H53" s="84">
        <f t="shared" ref="H53" si="88">$L$16*G53</f>
        <v>219736.43</v>
      </c>
      <c r="I53" s="553">
        <f>'Anexo capacidad operativa'!I35</f>
        <v>1</v>
      </c>
      <c r="J53" s="84">
        <f t="shared" ref="J53" si="89">$L$16*I53</f>
        <v>219736.43</v>
      </c>
      <c r="K53" s="553">
        <f>'Anexo capacidad operativa'!K35</f>
        <v>1</v>
      </c>
      <c r="L53" s="84">
        <f t="shared" ref="L53" si="90">$L$16*K53</f>
        <v>219736.43</v>
      </c>
      <c r="M53" s="553">
        <f>'Anexo capacidad operativa'!M35</f>
        <v>1</v>
      </c>
      <c r="N53" s="84">
        <f t="shared" ref="N53" si="91">$L$16*M53</f>
        <v>219736.43</v>
      </c>
      <c r="O53" s="553">
        <f>'Anexo capacidad operativa'!O35</f>
        <v>1</v>
      </c>
      <c r="P53" s="84">
        <f t="shared" ref="P53" si="92">$L$16*O53</f>
        <v>219736.43</v>
      </c>
      <c r="Q53" s="553">
        <f>'Anexo capacidad operativa'!Q35</f>
        <v>1</v>
      </c>
      <c r="R53" s="84">
        <f t="shared" ref="R53" si="93">$L$16*Q53</f>
        <v>219736.43</v>
      </c>
      <c r="S53" s="553">
        <f>'Anexo capacidad operativa'!S35</f>
        <v>1</v>
      </c>
      <c r="T53" s="84">
        <f t="shared" ref="T53" si="94">$L$16*S53</f>
        <v>219736.43</v>
      </c>
      <c r="U53" s="553">
        <f>'Anexo capacidad operativa'!U35</f>
        <v>1</v>
      </c>
      <c r="V53" s="84">
        <f t="shared" ref="V53" si="95">$L$16*U53</f>
        <v>219736.43</v>
      </c>
      <c r="W53" s="553">
        <f>'Anexo capacidad operativa'!W35</f>
        <v>1</v>
      </c>
      <c r="X53" s="84">
        <f t="shared" ref="X53" si="96">$L$16*W53</f>
        <v>219736.43</v>
      </c>
      <c r="Y53" s="553">
        <f>'Anexo capacidad operativa'!Y35</f>
        <v>1</v>
      </c>
      <c r="Z53" s="84">
        <f t="shared" ref="Z53" si="97">$L$16*Y53</f>
        <v>219736.43</v>
      </c>
      <c r="AA53" s="564">
        <f>D53+F53+H53+J53+L53+N53+P53+R53+T53+V53+X53+Z53</f>
        <v>2636837.16</v>
      </c>
    </row>
    <row r="54" spans="1:27" ht="15.75" customHeight="1" x14ac:dyDescent="0.25">
      <c r="A54" s="1"/>
      <c r="B54" s="37" t="str">
        <f>'Anexo capacidad operativa'!B36</f>
        <v>Gerente de comuinicacion</v>
      </c>
      <c r="C54" s="552">
        <f>'Anexo capacidad operativa'!C36</f>
        <v>1</v>
      </c>
      <c r="D54" s="84">
        <f>C54*$L$17</f>
        <v>260704.91</v>
      </c>
      <c r="E54" s="552">
        <f>'Anexo capacidad operativa'!E36</f>
        <v>1</v>
      </c>
      <c r="F54" s="84">
        <f>E54*$L$17</f>
        <v>260704.91</v>
      </c>
      <c r="G54" s="552">
        <f>'Anexo capacidad operativa'!G36</f>
        <v>1</v>
      </c>
      <c r="H54" s="84">
        <f t="shared" ref="H54" si="98">G54*$L$17</f>
        <v>260704.91</v>
      </c>
      <c r="I54" s="552">
        <f>'Anexo capacidad operativa'!I36</f>
        <v>1</v>
      </c>
      <c r="J54" s="84">
        <f t="shared" ref="J54" si="99">I54*$L$17</f>
        <v>260704.91</v>
      </c>
      <c r="K54" s="552">
        <f>'Anexo capacidad operativa'!K36</f>
        <v>1</v>
      </c>
      <c r="L54" s="84">
        <f t="shared" ref="L54" si="100">K54*$L$17</f>
        <v>260704.91</v>
      </c>
      <c r="M54" s="552">
        <f>'Anexo capacidad operativa'!M36</f>
        <v>1</v>
      </c>
      <c r="N54" s="84">
        <f t="shared" ref="N54" si="101">M54*$L$17</f>
        <v>260704.91</v>
      </c>
      <c r="O54" s="552">
        <f>'Anexo capacidad operativa'!O36</f>
        <v>1</v>
      </c>
      <c r="P54" s="84">
        <f t="shared" ref="P54" si="102">O54*$L$17</f>
        <v>260704.91</v>
      </c>
      <c r="Q54" s="552">
        <f>'Anexo capacidad operativa'!Q36</f>
        <v>1</v>
      </c>
      <c r="R54" s="84">
        <f t="shared" ref="R54" si="103">Q54*$L$17</f>
        <v>260704.91</v>
      </c>
      <c r="S54" s="552">
        <f>'Anexo capacidad operativa'!S36</f>
        <v>1</v>
      </c>
      <c r="T54" s="84">
        <f t="shared" ref="T54" si="104">S54*$L$17</f>
        <v>260704.91</v>
      </c>
      <c r="U54" s="552">
        <f>'Anexo capacidad operativa'!U36</f>
        <v>1</v>
      </c>
      <c r="V54" s="84">
        <f t="shared" ref="V54" si="105">U54*$L$17</f>
        <v>260704.91</v>
      </c>
      <c r="W54" s="552">
        <f>'Anexo capacidad operativa'!W36</f>
        <v>1</v>
      </c>
      <c r="X54" s="84">
        <f t="shared" ref="X54" si="106">W54*$L$17</f>
        <v>260704.91</v>
      </c>
      <c r="Y54" s="552">
        <f>'Anexo capacidad operativa'!Y36</f>
        <v>1</v>
      </c>
      <c r="Z54" s="84">
        <f t="shared" ref="Z54" si="107">Y54*$L$17</f>
        <v>260704.91</v>
      </c>
      <c r="AA54" s="564">
        <f>D54+F54+H54+J54+L54+N54+P54+R54+T54+V54+X54+Z54</f>
        <v>3128458.9200000004</v>
      </c>
    </row>
    <row r="55" spans="1:27" ht="15.75" customHeight="1" x14ac:dyDescent="0.25">
      <c r="A55" s="1"/>
      <c r="B55" s="37" t="str">
        <f>'Anexo capacidad operativa'!B37</f>
        <v>Desarrollador</v>
      </c>
      <c r="C55" s="552">
        <f>'Anexo capacidad operativa'!C37</f>
        <v>0</v>
      </c>
      <c r="D55" s="84">
        <f>C55*$L$19</f>
        <v>0</v>
      </c>
      <c r="E55" s="552">
        <f>'Anexo capacidad operativa'!E37</f>
        <v>0</v>
      </c>
      <c r="F55" s="84">
        <f>E55*$L$19</f>
        <v>0</v>
      </c>
      <c r="G55" s="552">
        <f>'Anexo capacidad operativa'!G37</f>
        <v>0</v>
      </c>
      <c r="H55" s="84">
        <f t="shared" ref="H55" si="108">G55*$L$19</f>
        <v>0</v>
      </c>
      <c r="I55" s="552">
        <f>'Anexo capacidad operativa'!I37</f>
        <v>0</v>
      </c>
      <c r="J55" s="84">
        <f t="shared" ref="J55" si="109">I55*$L$19</f>
        <v>0</v>
      </c>
      <c r="K55" s="552">
        <f>'Anexo capacidad operativa'!K37</f>
        <v>0</v>
      </c>
      <c r="L55" s="84">
        <f t="shared" ref="L55" si="110">K55*$L$19</f>
        <v>0</v>
      </c>
      <c r="M55" s="552">
        <f>'Anexo capacidad operativa'!M37</f>
        <v>1</v>
      </c>
      <c r="N55" s="84">
        <f t="shared" ref="N55" si="111">M55*$L$19</f>
        <v>271356.71480000002</v>
      </c>
      <c r="O55" s="552">
        <f>'Anexo capacidad operativa'!O37</f>
        <v>1</v>
      </c>
      <c r="P55" s="84">
        <f t="shared" ref="P55" si="112">O55*$L$19</f>
        <v>271356.71480000002</v>
      </c>
      <c r="Q55" s="552">
        <f>'Anexo capacidad operativa'!Q37</f>
        <v>1</v>
      </c>
      <c r="R55" s="84">
        <f t="shared" ref="R55" si="113">Q55*$L$19</f>
        <v>271356.71480000002</v>
      </c>
      <c r="S55" s="552">
        <f>'Anexo capacidad operativa'!S37</f>
        <v>1</v>
      </c>
      <c r="T55" s="84">
        <f t="shared" ref="T55" si="114">S55*$L$19</f>
        <v>271356.71480000002</v>
      </c>
      <c r="U55" s="552">
        <f>'Anexo capacidad operativa'!U37</f>
        <v>1</v>
      </c>
      <c r="V55" s="84">
        <f t="shared" ref="V55" si="115">U55*$L$19</f>
        <v>271356.71480000002</v>
      </c>
      <c r="W55" s="552">
        <f>'Anexo capacidad operativa'!W37</f>
        <v>1</v>
      </c>
      <c r="X55" s="84">
        <f t="shared" ref="X55" si="116">W55*$L$19</f>
        <v>271356.71480000002</v>
      </c>
      <c r="Y55" s="552">
        <f>'Anexo capacidad operativa'!Y37</f>
        <v>1</v>
      </c>
      <c r="Z55" s="84">
        <f t="shared" ref="Z55" si="117">Y55*$L$19</f>
        <v>271356.71480000002</v>
      </c>
      <c r="AA55" s="564">
        <f>D55+F55+H55+J55+L55+N55+P55+R55+T55+V55+X55+Z55</f>
        <v>1899497.0035999999</v>
      </c>
    </row>
    <row r="56" spans="1:27" ht="15.75" customHeight="1" thickBot="1" x14ac:dyDescent="0.3">
      <c r="A56" s="144"/>
      <c r="B56" s="568" t="s">
        <v>125</v>
      </c>
      <c r="C56" s="569">
        <f>SUM(C50:C55)</f>
        <v>5</v>
      </c>
      <c r="D56" s="567">
        <f>SUM(D50:D55)</f>
        <v>1398215.3879999998</v>
      </c>
      <c r="E56" s="566">
        <f>SUM(E50:E55)</f>
        <v>5</v>
      </c>
      <c r="F56" s="567">
        <f>SUM(F50:F55)</f>
        <v>1398215.3879999998</v>
      </c>
      <c r="G56" s="566">
        <f>SUM(G50:G55)</f>
        <v>5</v>
      </c>
      <c r="H56" s="567">
        <f>SUM(H50:H55)</f>
        <v>1398215.3879999998</v>
      </c>
      <c r="I56" s="566">
        <f>SUM(I50:I55)</f>
        <v>5</v>
      </c>
      <c r="J56" s="567">
        <f>SUM(J50:J55)</f>
        <v>1398215.3879999998</v>
      </c>
      <c r="K56" s="566">
        <f>SUM(K50:K55)</f>
        <v>5</v>
      </c>
      <c r="L56" s="567">
        <f>SUM(L50:L55)</f>
        <v>1398215.3879999998</v>
      </c>
      <c r="M56" s="566">
        <f>SUM(M50:M55)</f>
        <v>6</v>
      </c>
      <c r="N56" s="567">
        <f>SUM(N50:N55)</f>
        <v>1669572.1027999998</v>
      </c>
      <c r="O56" s="566">
        <f>SUM(O50:O55)</f>
        <v>6</v>
      </c>
      <c r="P56" s="567">
        <f>SUM(P50:P55)</f>
        <v>1669572.1027999998</v>
      </c>
      <c r="Q56" s="566">
        <f>SUM(Q50:Q55)</f>
        <v>6</v>
      </c>
      <c r="R56" s="567">
        <f>SUM(R50:R55)</f>
        <v>1669572.1027999998</v>
      </c>
      <c r="S56" s="566">
        <f>SUM(S50:S55)</f>
        <v>6</v>
      </c>
      <c r="T56" s="567">
        <f>SUM(T50:T55)</f>
        <v>1669572.1027999998</v>
      </c>
      <c r="U56" s="566">
        <f>SUM(U50:U55)</f>
        <v>6</v>
      </c>
      <c r="V56" s="567">
        <f>SUM(V50:V55)</f>
        <v>1669572.1027999998</v>
      </c>
      <c r="W56" s="566">
        <f>SUM(W50:W55)</f>
        <v>6</v>
      </c>
      <c r="X56" s="567">
        <f>SUM(X50:X55)</f>
        <v>1669572.1027999998</v>
      </c>
      <c r="Y56" s="566">
        <f>SUM(Y50:Y55)</f>
        <v>6</v>
      </c>
      <c r="Z56" s="567">
        <f>SUM(Z50:Z55)</f>
        <v>1669572.1027999998</v>
      </c>
      <c r="AA56" s="86">
        <f>Z56+X56+V56+T56+R56+P56+N56+L56+J56+H56+F56+D56</f>
        <v>18678081.659600001</v>
      </c>
    </row>
    <row r="57" spans="1:27" ht="15.75" customHeight="1" x14ac:dyDescent="0.25">
      <c r="A57" s="144"/>
    </row>
    <row r="58" spans="1:27" ht="15.75" customHeight="1" x14ac:dyDescent="0.25">
      <c r="A58" s="144"/>
    </row>
    <row r="59" spans="1:27" ht="15.75" customHeight="1" thickBot="1" x14ac:dyDescent="0.3">
      <c r="A59" s="1"/>
    </row>
    <row r="60" spans="1:27" ht="24" customHeight="1" thickBot="1" x14ac:dyDescent="0.45">
      <c r="A60" s="1"/>
      <c r="B60" s="554" t="s">
        <v>122</v>
      </c>
      <c r="C60" s="555"/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  <c r="X60" s="555"/>
      <c r="Y60" s="555"/>
      <c r="Z60" s="555"/>
      <c r="AA60" s="556"/>
    </row>
    <row r="61" spans="1:27" ht="15.75" customHeight="1" x14ac:dyDescent="0.2">
      <c r="B61" s="557" t="s">
        <v>111</v>
      </c>
      <c r="C61" s="558" t="s">
        <v>42</v>
      </c>
      <c r="D61" s="559"/>
      <c r="E61" s="558" t="s">
        <v>43</v>
      </c>
      <c r="F61" s="559"/>
      <c r="G61" s="558" t="s">
        <v>44</v>
      </c>
      <c r="H61" s="559"/>
      <c r="I61" s="558" t="s">
        <v>45</v>
      </c>
      <c r="J61" s="559"/>
      <c r="K61" s="558" t="s">
        <v>46</v>
      </c>
      <c r="L61" s="559"/>
      <c r="M61" s="558" t="s">
        <v>123</v>
      </c>
      <c r="N61" s="559"/>
      <c r="O61" s="558" t="s">
        <v>48</v>
      </c>
      <c r="P61" s="559"/>
      <c r="Q61" s="558" t="s">
        <v>49</v>
      </c>
      <c r="R61" s="559"/>
      <c r="S61" s="558" t="s">
        <v>50</v>
      </c>
      <c r="T61" s="559"/>
      <c r="U61" s="558" t="s">
        <v>51</v>
      </c>
      <c r="V61" s="559"/>
      <c r="W61" s="558" t="s">
        <v>52</v>
      </c>
      <c r="X61" s="559"/>
      <c r="Y61" s="558" t="s">
        <v>124</v>
      </c>
      <c r="Z61" s="559"/>
      <c r="AA61" s="560" t="s">
        <v>101</v>
      </c>
    </row>
    <row r="62" spans="1:27" ht="15.75" customHeight="1" thickBot="1" x14ac:dyDescent="0.25">
      <c r="B62" s="561"/>
      <c r="C62" s="562" t="s">
        <v>55</v>
      </c>
      <c r="D62" s="562" t="s">
        <v>107</v>
      </c>
      <c r="E62" s="562" t="s">
        <v>55</v>
      </c>
      <c r="F62" s="562" t="s">
        <v>107</v>
      </c>
      <c r="G62" s="562" t="s">
        <v>55</v>
      </c>
      <c r="H62" s="562" t="s">
        <v>107</v>
      </c>
      <c r="I62" s="562" t="s">
        <v>55</v>
      </c>
      <c r="J62" s="562" t="s">
        <v>107</v>
      </c>
      <c r="K62" s="562" t="s">
        <v>55</v>
      </c>
      <c r="L62" s="562" t="s">
        <v>107</v>
      </c>
      <c r="M62" s="562" t="s">
        <v>55</v>
      </c>
      <c r="N62" s="562" t="s">
        <v>107</v>
      </c>
      <c r="O62" s="562" t="s">
        <v>55</v>
      </c>
      <c r="P62" s="562" t="s">
        <v>107</v>
      </c>
      <c r="Q62" s="562" t="s">
        <v>55</v>
      </c>
      <c r="R62" s="562" t="s">
        <v>107</v>
      </c>
      <c r="S62" s="562" t="s">
        <v>55</v>
      </c>
      <c r="T62" s="562" t="s">
        <v>107</v>
      </c>
      <c r="U62" s="562" t="s">
        <v>55</v>
      </c>
      <c r="V62" s="562" t="s">
        <v>107</v>
      </c>
      <c r="W62" s="562" t="s">
        <v>55</v>
      </c>
      <c r="X62" s="562" t="s">
        <v>107</v>
      </c>
      <c r="Y62" s="562" t="s">
        <v>55</v>
      </c>
      <c r="Z62" s="562" t="s">
        <v>107</v>
      </c>
      <c r="AA62" s="563"/>
    </row>
    <row r="63" spans="1:27" ht="15.75" customHeight="1" x14ac:dyDescent="0.25">
      <c r="B63" s="35" t="str">
        <f>'Anexo capacidad operativa'!B43</f>
        <v>Gerente general</v>
      </c>
      <c r="C63" s="552">
        <f>'Anexo capacidad operativa'!C43</f>
        <v>1</v>
      </c>
      <c r="D63" s="84">
        <f>C63*$L$14</f>
        <v>352396.27</v>
      </c>
      <c r="E63" s="552">
        <f>'Anexo capacidad operativa'!E43</f>
        <v>1</v>
      </c>
      <c r="F63" s="84">
        <f t="shared" ref="F63" si="118">E63*$L$14</f>
        <v>352396.27</v>
      </c>
      <c r="G63" s="552">
        <f>'Anexo capacidad operativa'!G43</f>
        <v>1</v>
      </c>
      <c r="H63" s="84">
        <f t="shared" ref="H63" si="119">G63*$L$14</f>
        <v>352396.27</v>
      </c>
      <c r="I63" s="552">
        <f>'Anexo capacidad operativa'!I43</f>
        <v>1</v>
      </c>
      <c r="J63" s="84">
        <f t="shared" ref="J63" si="120">I63*$L$14</f>
        <v>352396.27</v>
      </c>
      <c r="K63" s="552">
        <f>'Anexo capacidad operativa'!K43</f>
        <v>1</v>
      </c>
      <c r="L63" s="84">
        <f t="shared" ref="L63" si="121">K63*$L$14</f>
        <v>352396.27</v>
      </c>
      <c r="M63" s="552">
        <f>'Anexo capacidad operativa'!M43</f>
        <v>1</v>
      </c>
      <c r="N63" s="84">
        <f t="shared" ref="N63" si="122">M63*$L$14</f>
        <v>352396.27</v>
      </c>
      <c r="O63" s="552">
        <f>'Anexo capacidad operativa'!O43</f>
        <v>1</v>
      </c>
      <c r="P63" s="84">
        <f t="shared" ref="P63" si="123">O63*$L$14</f>
        <v>352396.27</v>
      </c>
      <c r="Q63" s="552">
        <f>'Anexo capacidad operativa'!Q43</f>
        <v>1</v>
      </c>
      <c r="R63" s="84">
        <f t="shared" ref="R63" si="124">Q63*$L$14</f>
        <v>352396.27</v>
      </c>
      <c r="S63" s="552">
        <f>'Anexo capacidad operativa'!S43</f>
        <v>1</v>
      </c>
      <c r="T63" s="84">
        <f t="shared" ref="T63" si="125">S63*$L$14</f>
        <v>352396.27</v>
      </c>
      <c r="U63" s="552">
        <f>'Anexo capacidad operativa'!U43</f>
        <v>1</v>
      </c>
      <c r="V63" s="84">
        <f t="shared" ref="V63" si="126">U63*$L$14</f>
        <v>352396.27</v>
      </c>
      <c r="W63" s="552">
        <f>'Anexo capacidad operativa'!W43</f>
        <v>1</v>
      </c>
      <c r="X63" s="84">
        <f t="shared" ref="X63" si="127">W63*$L$14</f>
        <v>352396.27</v>
      </c>
      <c r="Y63" s="552">
        <f>'Anexo capacidad operativa'!Y43</f>
        <v>1</v>
      </c>
      <c r="Z63" s="84">
        <f t="shared" ref="Z63" si="128">Y63*$L$14</f>
        <v>352396.27</v>
      </c>
      <c r="AA63" s="564">
        <f>D63+F63+H63+J63+L63+N63+P63+R63+T63+V63+X63+Z63</f>
        <v>4228755.24</v>
      </c>
    </row>
    <row r="64" spans="1:27" ht="15.75" customHeight="1" x14ac:dyDescent="0.25">
      <c r="B64" s="37" t="str">
        <f>'Anexo capacidad operativa'!B44</f>
        <v>Gerente de servicios</v>
      </c>
      <c r="C64" s="552">
        <f>'Anexo capacidad operativa'!C44</f>
        <v>1</v>
      </c>
      <c r="D64" s="84">
        <f>C64*$L$18</f>
        <v>215054.318</v>
      </c>
      <c r="E64" s="552">
        <f>'Anexo capacidad operativa'!E44</f>
        <v>1</v>
      </c>
      <c r="F64" s="84">
        <f t="shared" ref="F64" si="129">E64*$L$18</f>
        <v>215054.318</v>
      </c>
      <c r="G64" s="552">
        <f>'Anexo capacidad operativa'!G44</f>
        <v>1</v>
      </c>
      <c r="H64" s="84">
        <f t="shared" ref="H64" si="130">G64*$L$18</f>
        <v>215054.318</v>
      </c>
      <c r="I64" s="552">
        <f>'Anexo capacidad operativa'!I44</f>
        <v>1</v>
      </c>
      <c r="J64" s="84">
        <f t="shared" ref="J64" si="131">I64*$L$18</f>
        <v>215054.318</v>
      </c>
      <c r="K64" s="552">
        <f>'Anexo capacidad operativa'!K44</f>
        <v>1</v>
      </c>
      <c r="L64" s="84">
        <f t="shared" ref="L64" si="132">K64*$L$18</f>
        <v>215054.318</v>
      </c>
      <c r="M64" s="552">
        <f>'Anexo capacidad operativa'!M44</f>
        <v>1</v>
      </c>
      <c r="N64" s="84">
        <f t="shared" ref="N64" si="133">M64*$L$18</f>
        <v>215054.318</v>
      </c>
      <c r="O64" s="552">
        <f>'Anexo capacidad operativa'!O44</f>
        <v>1</v>
      </c>
      <c r="P64" s="84">
        <f t="shared" ref="P64" si="134">O64*$L$18</f>
        <v>215054.318</v>
      </c>
      <c r="Q64" s="552">
        <f>'Anexo capacidad operativa'!Q44</f>
        <v>1</v>
      </c>
      <c r="R64" s="84">
        <f t="shared" ref="R64" si="135">Q64*$L$18</f>
        <v>215054.318</v>
      </c>
      <c r="S64" s="552">
        <f>'Anexo capacidad operativa'!S44</f>
        <v>1</v>
      </c>
      <c r="T64" s="84">
        <f t="shared" ref="T64" si="136">S64*$L$18</f>
        <v>215054.318</v>
      </c>
      <c r="U64" s="552">
        <f>'Anexo capacidad operativa'!U44</f>
        <v>1</v>
      </c>
      <c r="V64" s="84">
        <f t="shared" ref="V64" si="137">U64*$L$18</f>
        <v>215054.318</v>
      </c>
      <c r="W64" s="552">
        <f>'Anexo capacidad operativa'!W44</f>
        <v>1</v>
      </c>
      <c r="X64" s="84">
        <f t="shared" ref="X64" si="138">W64*$L$18</f>
        <v>215054.318</v>
      </c>
      <c r="Y64" s="552">
        <f>'Anexo capacidad operativa'!Y44</f>
        <v>1</v>
      </c>
      <c r="Z64" s="84">
        <f t="shared" ref="Z64" si="139">Y64*$L$18</f>
        <v>215054.318</v>
      </c>
      <c r="AA64" s="564">
        <f>D64+F64+H64+J64+L64+N64+P64+R64+T64+V64+X64+Z64</f>
        <v>2580651.8160000001</v>
      </c>
    </row>
    <row r="65" spans="2:31" x14ac:dyDescent="0.25">
      <c r="B65" s="37" t="str">
        <f>'Anexo capacidad operativa'!B45</f>
        <v>Gerente de tecnologia</v>
      </c>
      <c r="C65" s="552">
        <f>'Anexo capacidad operativa'!C45</f>
        <v>1</v>
      </c>
      <c r="D65" s="84">
        <f>C65*$L$15</f>
        <v>350323.46</v>
      </c>
      <c r="E65" s="552">
        <f>'Anexo capacidad operativa'!E45</f>
        <v>1</v>
      </c>
      <c r="F65" s="84">
        <f t="shared" ref="F65" si="140">E65*$L$15</f>
        <v>350323.46</v>
      </c>
      <c r="G65" s="552">
        <f>'Anexo capacidad operativa'!G45</f>
        <v>1</v>
      </c>
      <c r="H65" s="84">
        <f t="shared" ref="H65" si="141">G65*$L$15</f>
        <v>350323.46</v>
      </c>
      <c r="I65" s="552">
        <f>'Anexo capacidad operativa'!I45</f>
        <v>1</v>
      </c>
      <c r="J65" s="84">
        <f t="shared" ref="J65" si="142">I65*$L$15</f>
        <v>350323.46</v>
      </c>
      <c r="K65" s="552">
        <f>'Anexo capacidad operativa'!K45</f>
        <v>1</v>
      </c>
      <c r="L65" s="84">
        <f t="shared" ref="L65" si="143">K65*$L$15</f>
        <v>350323.46</v>
      </c>
      <c r="M65" s="552">
        <f>'Anexo capacidad operativa'!M45</f>
        <v>1</v>
      </c>
      <c r="N65" s="84">
        <f t="shared" ref="N65" si="144">M65*$L$15</f>
        <v>350323.46</v>
      </c>
      <c r="O65" s="552">
        <f>'Anexo capacidad operativa'!O45</f>
        <v>1</v>
      </c>
      <c r="P65" s="84">
        <f t="shared" ref="P65" si="145">O65*$L$15</f>
        <v>350323.46</v>
      </c>
      <c r="Q65" s="552">
        <f>'Anexo capacidad operativa'!Q45</f>
        <v>1</v>
      </c>
      <c r="R65" s="84">
        <f t="shared" ref="R65" si="146">Q65*$L$15</f>
        <v>350323.46</v>
      </c>
      <c r="S65" s="552">
        <f>'Anexo capacidad operativa'!S45</f>
        <v>1</v>
      </c>
      <c r="T65" s="84">
        <f t="shared" ref="T65" si="147">S65*$L$15</f>
        <v>350323.46</v>
      </c>
      <c r="U65" s="552">
        <f>'Anexo capacidad operativa'!U45</f>
        <v>1</v>
      </c>
      <c r="V65" s="84">
        <f t="shared" ref="V65" si="148">U65*$L$15</f>
        <v>350323.46</v>
      </c>
      <c r="W65" s="552">
        <f>'Anexo capacidad operativa'!W45</f>
        <v>1</v>
      </c>
      <c r="X65" s="84">
        <f t="shared" ref="X65" si="149">W65*$L$15</f>
        <v>350323.46</v>
      </c>
      <c r="Y65" s="552">
        <f>'Anexo capacidad operativa'!Y45</f>
        <v>1</v>
      </c>
      <c r="Z65" s="84">
        <f t="shared" ref="Z65" si="150">Y65*$L$15</f>
        <v>350323.46</v>
      </c>
      <c r="AA65" s="564">
        <f>D65+F65+H65+J65+L65+N65+P65+R65+T65+V65+X65+Z65</f>
        <v>4203881.5200000005</v>
      </c>
    </row>
    <row r="66" spans="2:31" ht="15.75" customHeight="1" x14ac:dyDescent="0.25">
      <c r="B66" s="37" t="str">
        <f>'Anexo capacidad operativa'!B46</f>
        <v>Gerente de administracion</v>
      </c>
      <c r="C66" s="553">
        <f>'Anexo capacidad operativa'!C46</f>
        <v>1</v>
      </c>
      <c r="D66" s="84">
        <f>$L$16*C66</f>
        <v>219736.43</v>
      </c>
      <c r="E66" s="553">
        <f>'Anexo capacidad operativa'!E46</f>
        <v>1</v>
      </c>
      <c r="F66" s="84">
        <f t="shared" ref="F66" si="151">$L$16*E66</f>
        <v>219736.43</v>
      </c>
      <c r="G66" s="553">
        <f>'Anexo capacidad operativa'!G46</f>
        <v>1</v>
      </c>
      <c r="H66" s="84">
        <f t="shared" ref="H66" si="152">$L$16*G66</f>
        <v>219736.43</v>
      </c>
      <c r="I66" s="553">
        <f>'Anexo capacidad operativa'!I46</f>
        <v>1</v>
      </c>
      <c r="J66" s="84">
        <f t="shared" ref="J66" si="153">$L$16*I66</f>
        <v>219736.43</v>
      </c>
      <c r="K66" s="553">
        <f>'Anexo capacidad operativa'!K46</f>
        <v>1</v>
      </c>
      <c r="L66" s="84">
        <f t="shared" ref="L66" si="154">$L$16*K66</f>
        <v>219736.43</v>
      </c>
      <c r="M66" s="553">
        <f>'Anexo capacidad operativa'!M46</f>
        <v>1</v>
      </c>
      <c r="N66" s="84">
        <f t="shared" ref="N66" si="155">$L$16*M66</f>
        <v>219736.43</v>
      </c>
      <c r="O66" s="553">
        <f>'Anexo capacidad operativa'!O46</f>
        <v>1</v>
      </c>
      <c r="P66" s="84">
        <f t="shared" ref="P66" si="156">$L$16*O66</f>
        <v>219736.43</v>
      </c>
      <c r="Q66" s="553">
        <f>'Anexo capacidad operativa'!Q46</f>
        <v>1</v>
      </c>
      <c r="R66" s="84">
        <f t="shared" ref="R66" si="157">$L$16*Q66</f>
        <v>219736.43</v>
      </c>
      <c r="S66" s="553">
        <f>'Anexo capacidad operativa'!S46</f>
        <v>1</v>
      </c>
      <c r="T66" s="84">
        <f t="shared" ref="T66" si="158">$L$16*S66</f>
        <v>219736.43</v>
      </c>
      <c r="U66" s="553">
        <f>'Anexo capacidad operativa'!U46</f>
        <v>1</v>
      </c>
      <c r="V66" s="84">
        <f t="shared" ref="V66" si="159">$L$16*U66</f>
        <v>219736.43</v>
      </c>
      <c r="W66" s="553">
        <f>'Anexo capacidad operativa'!W46</f>
        <v>1</v>
      </c>
      <c r="X66" s="84">
        <f t="shared" ref="X66" si="160">$L$16*W66</f>
        <v>219736.43</v>
      </c>
      <c r="Y66" s="553">
        <f>'Anexo capacidad operativa'!Y46</f>
        <v>1</v>
      </c>
      <c r="Z66" s="84">
        <f t="shared" ref="Z66" si="161">$L$16*Y66</f>
        <v>219736.43</v>
      </c>
      <c r="AA66" s="564">
        <f>D66+F66+H66+J66+L66+N66+P66+R66+T66+V66+X66+Z66</f>
        <v>2636837.16</v>
      </c>
    </row>
    <row r="67" spans="2:31" ht="15.75" customHeight="1" x14ac:dyDescent="0.25">
      <c r="B67" s="37" t="str">
        <f>'Anexo capacidad operativa'!B47</f>
        <v>Gerente de comuinicacion</v>
      </c>
      <c r="C67" s="552">
        <f>'Anexo capacidad operativa'!C47</f>
        <v>1</v>
      </c>
      <c r="D67" s="84">
        <f>C67*$L$17</f>
        <v>260704.91</v>
      </c>
      <c r="E67" s="552">
        <f>'Anexo capacidad operativa'!E47</f>
        <v>1</v>
      </c>
      <c r="F67" s="84">
        <f t="shared" ref="F67" si="162">E67*$L$17</f>
        <v>260704.91</v>
      </c>
      <c r="G67" s="552">
        <f>'Anexo capacidad operativa'!G47</f>
        <v>1</v>
      </c>
      <c r="H67" s="84">
        <f t="shared" ref="H67" si="163">G67*$L$17</f>
        <v>260704.91</v>
      </c>
      <c r="I67" s="552">
        <f>'Anexo capacidad operativa'!I47</f>
        <v>1</v>
      </c>
      <c r="J67" s="84">
        <f t="shared" ref="J67" si="164">I67*$L$17</f>
        <v>260704.91</v>
      </c>
      <c r="K67" s="552">
        <f>'Anexo capacidad operativa'!K47</f>
        <v>1</v>
      </c>
      <c r="L67" s="84">
        <f t="shared" ref="L67" si="165">K67*$L$17</f>
        <v>260704.91</v>
      </c>
      <c r="M67" s="552">
        <f>'Anexo capacidad operativa'!M47</f>
        <v>1</v>
      </c>
      <c r="N67" s="84">
        <f t="shared" ref="N67" si="166">M67*$L$17</f>
        <v>260704.91</v>
      </c>
      <c r="O67" s="552">
        <f>'Anexo capacidad operativa'!O47</f>
        <v>1</v>
      </c>
      <c r="P67" s="84">
        <f t="shared" ref="P67" si="167">O67*$L$17</f>
        <v>260704.91</v>
      </c>
      <c r="Q67" s="552">
        <f>'Anexo capacidad operativa'!Q47</f>
        <v>1</v>
      </c>
      <c r="R67" s="84">
        <f t="shared" ref="R67" si="168">Q67*$L$17</f>
        <v>260704.91</v>
      </c>
      <c r="S67" s="552">
        <f>'Anexo capacidad operativa'!S47</f>
        <v>1</v>
      </c>
      <c r="T67" s="84">
        <f t="shared" ref="T67" si="169">S67*$L$17</f>
        <v>260704.91</v>
      </c>
      <c r="U67" s="552">
        <f>'Anexo capacidad operativa'!U47</f>
        <v>1</v>
      </c>
      <c r="V67" s="84">
        <f t="shared" ref="V67" si="170">U67*$L$17</f>
        <v>260704.91</v>
      </c>
      <c r="W67" s="552">
        <f>'Anexo capacidad operativa'!W47</f>
        <v>1</v>
      </c>
      <c r="X67" s="84">
        <f t="shared" ref="X67" si="171">W67*$L$17</f>
        <v>260704.91</v>
      </c>
      <c r="Y67" s="552">
        <f>'Anexo capacidad operativa'!Y47</f>
        <v>1</v>
      </c>
      <c r="Z67" s="84">
        <f t="shared" ref="Z67" si="172">Y67*$L$17</f>
        <v>260704.91</v>
      </c>
      <c r="AA67" s="564">
        <f>D67+F67+H67+J67+L67+N67+P67+R67+T67+V67+X67+Z67</f>
        <v>3128458.9200000004</v>
      </c>
    </row>
    <row r="68" spans="2:31" ht="15.75" customHeight="1" x14ac:dyDescent="0.25">
      <c r="B68" s="37" t="str">
        <f>'Anexo capacidad operativa'!B48</f>
        <v>Desarrollador</v>
      </c>
      <c r="C68" s="552">
        <f>'Anexo capacidad operativa'!C48</f>
        <v>1</v>
      </c>
      <c r="D68" s="84">
        <f>C68*$L$19</f>
        <v>271356.71480000002</v>
      </c>
      <c r="E68" s="552">
        <f>'Anexo capacidad operativa'!E48</f>
        <v>1</v>
      </c>
      <c r="F68" s="84">
        <f t="shared" ref="F68" si="173">E68*$L$19</f>
        <v>271356.71480000002</v>
      </c>
      <c r="G68" s="552">
        <f>'Anexo capacidad operativa'!G48</f>
        <v>1</v>
      </c>
      <c r="H68" s="84">
        <f t="shared" ref="H68" si="174">G68*$L$19</f>
        <v>271356.71480000002</v>
      </c>
      <c r="I68" s="552">
        <f>'Anexo capacidad operativa'!I48</f>
        <v>1</v>
      </c>
      <c r="J68" s="84">
        <f t="shared" ref="J68" si="175">I68*$L$19</f>
        <v>271356.71480000002</v>
      </c>
      <c r="K68" s="552">
        <f>'Anexo capacidad operativa'!K48</f>
        <v>1</v>
      </c>
      <c r="L68" s="84">
        <f t="shared" ref="L68" si="176">K68*$L$19</f>
        <v>271356.71480000002</v>
      </c>
      <c r="M68" s="552">
        <f>'Anexo capacidad operativa'!M48</f>
        <v>2</v>
      </c>
      <c r="N68" s="84">
        <f t="shared" ref="N68" si="177">M68*$L$19</f>
        <v>542713.42960000003</v>
      </c>
      <c r="O68" s="552">
        <f>'Anexo capacidad operativa'!O48</f>
        <v>2</v>
      </c>
      <c r="P68" s="84">
        <f t="shared" ref="P68" si="178">O68*$L$19</f>
        <v>542713.42960000003</v>
      </c>
      <c r="Q68" s="552">
        <f>'Anexo capacidad operativa'!Q48</f>
        <v>2</v>
      </c>
      <c r="R68" s="84">
        <f t="shared" ref="R68" si="179">Q68*$L$19</f>
        <v>542713.42960000003</v>
      </c>
      <c r="S68" s="552">
        <f>'Anexo capacidad operativa'!S48</f>
        <v>2</v>
      </c>
      <c r="T68" s="84">
        <f t="shared" ref="T68" si="180">S68*$L$19</f>
        <v>542713.42960000003</v>
      </c>
      <c r="U68" s="552">
        <f>'Anexo capacidad operativa'!U48</f>
        <v>2</v>
      </c>
      <c r="V68" s="84">
        <f t="shared" ref="V68" si="181">U68*$L$19</f>
        <v>542713.42960000003</v>
      </c>
      <c r="W68" s="552">
        <f>'Anexo capacidad operativa'!W48</f>
        <v>2</v>
      </c>
      <c r="X68" s="84">
        <f t="shared" ref="X68" si="182">W68*$L$19</f>
        <v>542713.42960000003</v>
      </c>
      <c r="Y68" s="552">
        <f>'Anexo capacidad operativa'!Y48</f>
        <v>2</v>
      </c>
      <c r="Z68" s="84">
        <f t="shared" ref="Z68" si="183">Y68*$L$19</f>
        <v>542713.42960000003</v>
      </c>
      <c r="AA68" s="564">
        <f>D68+F68+H68+J68+L68+N68+P68+R68+T68+V68+X68+Z68</f>
        <v>5155777.5811999999</v>
      </c>
    </row>
    <row r="69" spans="2:31" ht="15.75" customHeight="1" x14ac:dyDescent="0.25">
      <c r="B69" s="570" t="s">
        <v>125</v>
      </c>
      <c r="C69" s="571">
        <f>SUM(C63:C68)</f>
        <v>6</v>
      </c>
      <c r="D69" s="572">
        <f>SUM(D63:D68)</f>
        <v>1669572.1027999998</v>
      </c>
      <c r="E69" s="571">
        <f>SUM(E63:E68)</f>
        <v>6</v>
      </c>
      <c r="F69" s="572">
        <f>SUM(F63:F68)</f>
        <v>1669572.1027999998</v>
      </c>
      <c r="G69" s="571">
        <f>SUM(G63:G68)</f>
        <v>6</v>
      </c>
      <c r="H69" s="572">
        <f>SUM(H63:H68)</f>
        <v>1669572.1027999998</v>
      </c>
      <c r="I69" s="571">
        <f>SUM(I63:I68)</f>
        <v>6</v>
      </c>
      <c r="J69" s="572">
        <f>SUM(J63:J68)</f>
        <v>1669572.1027999998</v>
      </c>
      <c r="K69" s="571">
        <f>SUM(K63:K68)</f>
        <v>6</v>
      </c>
      <c r="L69" s="572">
        <f>SUM(L63:L68)</f>
        <v>1669572.1027999998</v>
      </c>
      <c r="M69" s="571">
        <f>SUM(M63:M68)</f>
        <v>7</v>
      </c>
      <c r="N69" s="572">
        <f>SUM(N63:N68)</f>
        <v>1940928.8175999997</v>
      </c>
      <c r="O69" s="571">
        <f>SUM(O63:O68)</f>
        <v>7</v>
      </c>
      <c r="P69" s="572">
        <f>SUM(P63:P68)</f>
        <v>1940928.8175999997</v>
      </c>
      <c r="Q69" s="571">
        <f>SUM(Q63:Q68)</f>
        <v>7</v>
      </c>
      <c r="R69" s="572">
        <f>SUM(R63:R68)</f>
        <v>1940928.8175999997</v>
      </c>
      <c r="S69" s="571">
        <f>SUM(S63:S68)</f>
        <v>7</v>
      </c>
      <c r="T69" s="572">
        <f>SUM(T63:T68)</f>
        <v>1940928.8175999997</v>
      </c>
      <c r="U69" s="571">
        <f>SUM(U63:U68)</f>
        <v>7</v>
      </c>
      <c r="V69" s="572">
        <f>SUM(V63:V68)</f>
        <v>1940928.8175999997</v>
      </c>
      <c r="W69" s="571">
        <f>SUM(W63:W68)</f>
        <v>7</v>
      </c>
      <c r="X69" s="572">
        <f>SUM(X63:X68)</f>
        <v>1940928.8175999997</v>
      </c>
      <c r="Y69" s="571">
        <f>SUM(Y63:Y68)</f>
        <v>7</v>
      </c>
      <c r="Z69" s="572">
        <f>SUM(Z63:Z68)</f>
        <v>1940928.8175999997</v>
      </c>
      <c r="AA69" s="156">
        <f>Z69+X69+V69+T69+R69+P69+N69+L69+J69+H69+F69+D69</f>
        <v>21934362.237200003</v>
      </c>
    </row>
    <row r="70" spans="2:31" ht="15.75" customHeight="1" x14ac:dyDescent="0.25">
      <c r="D70" s="1"/>
      <c r="E70" s="1"/>
    </row>
    <row r="71" spans="2:31" ht="15.75" customHeight="1" x14ac:dyDescent="0.25">
      <c r="AD71" s="1"/>
      <c r="AE71" s="1"/>
    </row>
    <row r="72" spans="2:31" ht="15.75" customHeight="1" x14ac:dyDescent="0.25">
      <c r="B72" s="1"/>
      <c r="C72" s="1"/>
    </row>
    <row r="73" spans="2:31" ht="15.75" customHeight="1" x14ac:dyDescent="0.25">
      <c r="B73" s="1"/>
      <c r="C73" s="1"/>
    </row>
    <row r="74" spans="2:31" ht="15.75" customHeight="1" x14ac:dyDescent="0.25">
      <c r="B74" s="144"/>
      <c r="C74" s="144"/>
    </row>
    <row r="75" spans="2:31" ht="15.75" customHeight="1" x14ac:dyDescent="0.25">
      <c r="B75" s="144"/>
      <c r="C75" s="144"/>
    </row>
    <row r="76" spans="2:31" ht="15.75" customHeight="1" x14ac:dyDescent="0.25">
      <c r="B76" s="1"/>
      <c r="C76" s="1"/>
    </row>
    <row r="77" spans="2:31" ht="15.75" customHeight="1" x14ac:dyDescent="0.25">
      <c r="B77" s="1"/>
      <c r="C77" s="1"/>
    </row>
    <row r="78" spans="2:31" ht="15.75" customHeight="1" x14ac:dyDescent="0.25">
      <c r="B78" s="1"/>
      <c r="C78" s="1"/>
    </row>
    <row r="79" spans="2:31" ht="15.75" customHeight="1" x14ac:dyDescent="0.25">
      <c r="B79" s="1"/>
      <c r="C79" s="1"/>
    </row>
    <row r="80" spans="2:31" ht="15.75" customHeight="1" x14ac:dyDescent="0.25">
      <c r="B80" s="1"/>
      <c r="C80" s="1"/>
    </row>
    <row r="81" spans="1:20" ht="15.75" customHeight="1" x14ac:dyDescent="0.25">
      <c r="A81" s="1"/>
      <c r="B81" s="1"/>
      <c r="C81" s="1"/>
    </row>
    <row r="82" spans="1:20" ht="15.75" customHeight="1" x14ac:dyDescent="0.2"/>
    <row r="83" spans="1:20" ht="15.75" customHeight="1" x14ac:dyDescent="0.2"/>
    <row r="84" spans="1:20" ht="15.75" customHeight="1" x14ac:dyDescent="0.2"/>
    <row r="85" spans="1:20" ht="15.75" customHeight="1" x14ac:dyDescent="0.2"/>
    <row r="86" spans="1:20" ht="15.75" customHeight="1" x14ac:dyDescent="0.2"/>
    <row r="87" spans="1:20" ht="15.75" customHeight="1" x14ac:dyDescent="0.2"/>
    <row r="88" spans="1:20" ht="15.75" customHeight="1" x14ac:dyDescent="0.2"/>
    <row r="89" spans="1:20" ht="15.75" customHeight="1" x14ac:dyDescent="0.2"/>
    <row r="90" spans="1:20" ht="15.75" customHeight="1" x14ac:dyDescent="0.2"/>
    <row r="91" spans="1:20" ht="15.75" customHeight="1" x14ac:dyDescent="0.2"/>
    <row r="92" spans="1:20" ht="15.75" customHeight="1" x14ac:dyDescent="0.2"/>
    <row r="93" spans="1:20" ht="15.75" customHeight="1" x14ac:dyDescent="0.2"/>
    <row r="94" spans="1:20" ht="15.75" customHeight="1" x14ac:dyDescent="0.2"/>
    <row r="95" spans="1:20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31" ht="15.75" customHeight="1" x14ac:dyDescent="0.25">
      <c r="A97" s="1"/>
      <c r="T97" t="e">
        <f>+S41:JJ44</f>
        <v>#VALUE!</v>
      </c>
      <c r="AC97" s="1"/>
      <c r="AD97" s="1"/>
    </row>
    <row r="98" spans="1:31" ht="15.75" customHeight="1" x14ac:dyDescent="0.25">
      <c r="A98" s="1"/>
      <c r="AC98" s="1"/>
      <c r="AD98" s="1"/>
    </row>
    <row r="99" spans="1:31" ht="15.75" customHeight="1" x14ac:dyDescent="0.25">
      <c r="A99" s="1"/>
      <c r="AC99" s="1"/>
      <c r="AD99" s="1"/>
    </row>
    <row r="100" spans="1:31" ht="15.75" customHeight="1" x14ac:dyDescent="0.25">
      <c r="A100" s="1"/>
      <c r="AC100" s="1"/>
      <c r="AD100" s="1"/>
    </row>
    <row r="101" spans="1:31" ht="15.75" customHeight="1" x14ac:dyDescent="0.25">
      <c r="A101" s="1"/>
      <c r="AC101" s="1"/>
      <c r="AD101" s="1"/>
      <c r="AE101" s="1"/>
    </row>
    <row r="102" spans="1:31" ht="15.75" customHeight="1" x14ac:dyDescent="0.25">
      <c r="A102" s="1"/>
      <c r="AC102" s="1"/>
      <c r="AD102" s="1"/>
      <c r="AE102" s="1"/>
    </row>
    <row r="103" spans="1:31" ht="15.75" customHeight="1" x14ac:dyDescent="0.25">
      <c r="A103" s="1"/>
      <c r="AC103" s="1"/>
      <c r="AD103" s="1"/>
      <c r="AE103" s="1"/>
    </row>
    <row r="104" spans="1:31" ht="15.75" customHeight="1" x14ac:dyDescent="0.25">
      <c r="A104" s="1"/>
      <c r="AC104" s="1"/>
      <c r="AD104" s="1"/>
      <c r="AE104" s="1"/>
    </row>
    <row r="105" spans="1:31" ht="15.75" customHeight="1" x14ac:dyDescent="0.25">
      <c r="A105" s="1"/>
      <c r="AC105" s="1"/>
      <c r="AD105" s="1"/>
      <c r="AE105" s="1"/>
    </row>
    <row r="106" spans="1:31" ht="15.75" customHeight="1" x14ac:dyDescent="0.25">
      <c r="A106" s="1"/>
      <c r="AC106" s="1"/>
      <c r="AD106" s="1"/>
      <c r="AE106" s="1"/>
    </row>
    <row r="107" spans="1:31" ht="15.75" customHeight="1" x14ac:dyDescent="0.25">
      <c r="A107" s="1"/>
      <c r="AC107" s="1"/>
      <c r="AD107" s="1"/>
      <c r="AE107" s="1"/>
    </row>
    <row r="108" spans="1:31" ht="15.75" customHeight="1" x14ac:dyDescent="0.25">
      <c r="A108" s="1"/>
      <c r="AC108" s="1"/>
      <c r="AD108" s="1"/>
      <c r="AE108" s="1"/>
    </row>
    <row r="109" spans="1:31" ht="15.75" customHeight="1" x14ac:dyDescent="0.25">
      <c r="A109" s="1"/>
      <c r="AC109" s="1"/>
      <c r="AD109" s="1"/>
      <c r="AE109" s="1"/>
    </row>
    <row r="110" spans="1:31" ht="15.75" customHeight="1" x14ac:dyDescent="0.25">
      <c r="A110" s="1"/>
      <c r="AC110" s="1"/>
      <c r="AD110" s="1"/>
      <c r="AE110" s="1"/>
    </row>
    <row r="111" spans="1:31" ht="15.75" customHeight="1" x14ac:dyDescent="0.25">
      <c r="A111" s="1"/>
      <c r="AC111" s="1"/>
      <c r="AD111" s="1"/>
      <c r="AE111" s="1"/>
    </row>
    <row r="112" spans="1:31" ht="15.75" customHeight="1" x14ac:dyDescent="0.25">
      <c r="A112" s="1"/>
      <c r="AC112" s="144"/>
      <c r="AD112" s="144"/>
      <c r="AE112" s="1"/>
    </row>
    <row r="113" spans="1:31" ht="15.75" customHeight="1" x14ac:dyDescent="0.25">
      <c r="A113" s="1"/>
      <c r="AC113" s="144"/>
      <c r="AD113" s="144"/>
      <c r="AE113" s="1"/>
    </row>
    <row r="114" spans="1:31" ht="15.75" customHeight="1" x14ac:dyDescent="0.25">
      <c r="A114" s="1"/>
      <c r="AC114" s="144"/>
      <c r="AD114" s="144"/>
      <c r="AE114" s="1"/>
    </row>
    <row r="115" spans="1:31" ht="15.75" customHeight="1" x14ac:dyDescent="0.25">
      <c r="A115" s="1"/>
      <c r="AC115" s="144"/>
      <c r="AD115" s="144"/>
      <c r="AE115" s="1"/>
    </row>
    <row r="116" spans="1:31" ht="15.75" customHeight="1" x14ac:dyDescent="0.25">
      <c r="A116" s="1"/>
      <c r="AC116" s="144"/>
      <c r="AD116" s="144"/>
      <c r="AE116" s="1"/>
    </row>
    <row r="117" spans="1:31" ht="15.75" customHeight="1" x14ac:dyDescent="0.25">
      <c r="A117" s="1"/>
      <c r="AC117" s="1"/>
      <c r="AD117" s="1"/>
    </row>
    <row r="118" spans="1:31" ht="15.75" customHeight="1" x14ac:dyDescent="0.25">
      <c r="A118" s="1"/>
      <c r="AC118" s="1"/>
      <c r="AD118" s="1"/>
    </row>
    <row r="119" spans="1:31" ht="15.75" customHeight="1" x14ac:dyDescent="0.25">
      <c r="A119" s="1"/>
      <c r="Y119" s="1"/>
      <c r="Z119" s="1"/>
      <c r="AA119" s="1"/>
      <c r="AB119" s="1"/>
    </row>
    <row r="120" spans="1:31" ht="15.75" customHeight="1" x14ac:dyDescent="0.25">
      <c r="A120" s="1"/>
      <c r="Y120" s="1"/>
      <c r="Z120" s="1"/>
      <c r="AA120" s="1"/>
      <c r="AB120" s="1"/>
    </row>
    <row r="121" spans="1:31" ht="15.75" customHeight="1" x14ac:dyDescent="0.25">
      <c r="A121" s="1"/>
      <c r="Y121" s="1"/>
      <c r="Z121" s="1"/>
      <c r="AA121" s="1"/>
      <c r="AB121" s="1"/>
    </row>
    <row r="122" spans="1:31" ht="15.75" customHeight="1" x14ac:dyDescent="0.25">
      <c r="A122" s="1"/>
      <c r="Y122" s="1"/>
      <c r="Z122" s="1"/>
      <c r="AA122" s="1"/>
      <c r="AB122" s="1"/>
    </row>
    <row r="123" spans="1:31" ht="15.75" customHeight="1" x14ac:dyDescent="0.25">
      <c r="A123" s="1"/>
    </row>
    <row r="124" spans="1:31" ht="15.75" customHeight="1" x14ac:dyDescent="0.25">
      <c r="A124" s="1"/>
    </row>
    <row r="125" spans="1:31" ht="15.75" customHeight="1" x14ac:dyDescent="0.25">
      <c r="A125" s="1"/>
    </row>
    <row r="126" spans="1:31" ht="15.75" customHeight="1" x14ac:dyDescent="0.25">
      <c r="A126" s="1"/>
    </row>
    <row r="127" spans="1:31" ht="15.75" customHeight="1" x14ac:dyDescent="0.25">
      <c r="A127" s="1"/>
    </row>
    <row r="128" spans="1:31" ht="15.75" customHeight="1" x14ac:dyDescent="0.25">
      <c r="A128" s="1"/>
    </row>
    <row r="129" spans="1:30" ht="15.75" customHeight="1" x14ac:dyDescent="0.25">
      <c r="A129" s="1"/>
    </row>
    <row r="130" spans="1:30" ht="15.75" customHeight="1" x14ac:dyDescent="0.25">
      <c r="A130" s="1"/>
    </row>
    <row r="131" spans="1:30" ht="15.75" customHeight="1" x14ac:dyDescent="0.25">
      <c r="A131" s="1"/>
    </row>
    <row r="132" spans="1:30" ht="15.75" customHeight="1" x14ac:dyDescent="0.25">
      <c r="A132" s="1"/>
    </row>
    <row r="133" spans="1:30" ht="15.75" customHeight="1" x14ac:dyDescent="0.25">
      <c r="A133" s="1"/>
    </row>
    <row r="134" spans="1:30" ht="15.75" customHeight="1" x14ac:dyDescent="0.25">
      <c r="A134" s="1"/>
    </row>
    <row r="135" spans="1:30" ht="15.75" customHeight="1" x14ac:dyDescent="0.25">
      <c r="A135" s="1"/>
    </row>
    <row r="136" spans="1:30" ht="15.75" customHeight="1" x14ac:dyDescent="0.25">
      <c r="A136" s="1"/>
    </row>
    <row r="137" spans="1:30" ht="15.75" customHeight="1" x14ac:dyDescent="0.25">
      <c r="A137" s="1"/>
    </row>
    <row r="138" spans="1:30" ht="15.75" customHeight="1" x14ac:dyDescent="0.25">
      <c r="A138" s="1"/>
      <c r="AC138" s="1"/>
      <c r="AD138" s="1"/>
    </row>
    <row r="139" spans="1:30" ht="15.75" customHeight="1" x14ac:dyDescent="0.25">
      <c r="A139" s="1"/>
      <c r="AC139" s="1"/>
      <c r="AD139" s="1"/>
    </row>
    <row r="140" spans="1:30" ht="15.75" customHeight="1" x14ac:dyDescent="0.25">
      <c r="A140" s="1"/>
      <c r="B140" s="1"/>
      <c r="AC140" s="1"/>
      <c r="AD140" s="1"/>
    </row>
    <row r="141" spans="1:30" ht="15.75" customHeight="1" x14ac:dyDescent="0.25">
      <c r="A141" s="1"/>
      <c r="B141" s="1"/>
      <c r="AC141" s="1"/>
      <c r="AD141" s="1"/>
    </row>
    <row r="142" spans="1:30" ht="15.75" customHeight="1" x14ac:dyDescent="0.25">
      <c r="A142" s="1"/>
      <c r="B142" s="144"/>
      <c r="AC142" s="144"/>
      <c r="AD142" s="144"/>
    </row>
    <row r="143" spans="1:30" ht="15.75" customHeight="1" x14ac:dyDescent="0.25">
      <c r="A143" s="1"/>
      <c r="B143" s="144"/>
      <c r="AC143" s="144"/>
      <c r="AD143" s="144"/>
    </row>
    <row r="144" spans="1:30" ht="15.75" customHeight="1" x14ac:dyDescent="0.25">
      <c r="A144" s="1"/>
      <c r="B144" s="1"/>
      <c r="AC144" s="1"/>
      <c r="AD144" s="1"/>
    </row>
    <row r="145" spans="1:30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5.75" customHeight="1" x14ac:dyDescent="0.25">
      <c r="A149" s="1"/>
    </row>
    <row r="150" spans="1:30" ht="15.75" customHeight="1" x14ac:dyDescent="0.25">
      <c r="A150" s="1"/>
    </row>
    <row r="151" spans="1:30" ht="15.75" customHeight="1" x14ac:dyDescent="0.25">
      <c r="A151" s="1"/>
    </row>
    <row r="152" spans="1:30" ht="15.75" customHeight="1" x14ac:dyDescent="0.25">
      <c r="A152" s="1"/>
    </row>
    <row r="153" spans="1:30" ht="15.75" customHeight="1" x14ac:dyDescent="0.25">
      <c r="A153" s="1"/>
    </row>
    <row r="154" spans="1:30" ht="15.75" customHeight="1" x14ac:dyDescent="0.25">
      <c r="A154" s="1"/>
    </row>
    <row r="155" spans="1:30" ht="15.75" customHeight="1" x14ac:dyDescent="0.25">
      <c r="A155" s="1"/>
    </row>
    <row r="156" spans="1:30" ht="15.75" customHeight="1" x14ac:dyDescent="0.25">
      <c r="A156" s="1"/>
    </row>
    <row r="157" spans="1:30" ht="15.75" customHeight="1" x14ac:dyDescent="0.25">
      <c r="A157" s="1"/>
    </row>
    <row r="158" spans="1:30" ht="15.75" customHeight="1" x14ac:dyDescent="0.25">
      <c r="A158" s="1"/>
    </row>
    <row r="159" spans="1:30" ht="15.75" customHeight="1" x14ac:dyDescent="0.25">
      <c r="A159" s="1"/>
    </row>
    <row r="160" spans="1:30" ht="15.75" customHeight="1" x14ac:dyDescent="0.25">
      <c r="A160" s="1"/>
    </row>
    <row r="161" spans="1:31" ht="15.75" customHeight="1" x14ac:dyDescent="0.25">
      <c r="A161" s="1"/>
    </row>
    <row r="162" spans="1:31" ht="15.75" customHeight="1" x14ac:dyDescent="0.25">
      <c r="A162" s="1"/>
    </row>
    <row r="163" spans="1:31" ht="15.75" customHeight="1" x14ac:dyDescent="0.25">
      <c r="A163" s="1"/>
    </row>
    <row r="164" spans="1:31" ht="15.75" customHeight="1" x14ac:dyDescent="0.25">
      <c r="A164" s="1"/>
    </row>
    <row r="165" spans="1:31" ht="15.75" customHeight="1" x14ac:dyDescent="0.25">
      <c r="A165" s="1"/>
    </row>
    <row r="166" spans="1:31" ht="15.75" customHeight="1" x14ac:dyDescent="0.25">
      <c r="A166" s="1"/>
    </row>
    <row r="167" spans="1:31" ht="15.75" customHeight="1" x14ac:dyDescent="0.25">
      <c r="A167" s="1"/>
    </row>
    <row r="168" spans="1:31" ht="15.75" customHeight="1" x14ac:dyDescent="0.25">
      <c r="A168" s="1"/>
    </row>
    <row r="169" spans="1:31" ht="15.75" customHeight="1" x14ac:dyDescent="0.25">
      <c r="A169" s="1"/>
    </row>
    <row r="170" spans="1:31" ht="15.75" customHeight="1" x14ac:dyDescent="0.25">
      <c r="A170" s="1"/>
    </row>
    <row r="171" spans="1:31" ht="15.75" customHeight="1" x14ac:dyDescent="0.25">
      <c r="A171" s="1"/>
    </row>
    <row r="172" spans="1:31" ht="15.75" customHeight="1" x14ac:dyDescent="0.25">
      <c r="A172" s="1"/>
    </row>
    <row r="173" spans="1:31" ht="15.75" customHeight="1" x14ac:dyDescent="0.25">
      <c r="A173" s="1"/>
    </row>
    <row r="174" spans="1:31" ht="15.75" customHeight="1" x14ac:dyDescent="0.25">
      <c r="A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</sheetData>
  <mergeCells count="54">
    <mergeCell ref="B47:AA47"/>
    <mergeCell ref="B18:B19"/>
    <mergeCell ref="B4:D4"/>
    <mergeCell ref="H4:J4"/>
    <mergeCell ref="B11:L11"/>
    <mergeCell ref="C12:C13"/>
    <mergeCell ref="D12:D13"/>
    <mergeCell ref="K12:K13"/>
    <mergeCell ref="L12:L13"/>
    <mergeCell ref="B12:B13"/>
    <mergeCell ref="B60:AA60"/>
    <mergeCell ref="B33:AA33"/>
    <mergeCell ref="O34:P34"/>
    <mergeCell ref="Q34:R34"/>
    <mergeCell ref="S34:T34"/>
    <mergeCell ref="U34:V34"/>
    <mergeCell ref="W34:X34"/>
    <mergeCell ref="Y34:Z34"/>
    <mergeCell ref="AA34:AA35"/>
    <mergeCell ref="B34:B35"/>
    <mergeCell ref="I34:J34"/>
    <mergeCell ref="K34:L34"/>
    <mergeCell ref="M34:N34"/>
    <mergeCell ref="C34:D34"/>
    <mergeCell ref="E34:F34"/>
    <mergeCell ref="G34:H34"/>
    <mergeCell ref="W48:X48"/>
    <mergeCell ref="Y48:Z48"/>
    <mergeCell ref="AA48:AA49"/>
    <mergeCell ref="B48:B49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B61:B62"/>
    <mergeCell ref="C61:D61"/>
    <mergeCell ref="E61:F61"/>
    <mergeCell ref="G61:H61"/>
    <mergeCell ref="I61:J61"/>
    <mergeCell ref="U61:V61"/>
    <mergeCell ref="W61:X61"/>
    <mergeCell ref="Y61:Z61"/>
    <mergeCell ref="AA61:AA62"/>
    <mergeCell ref="K61:L61"/>
    <mergeCell ref="M61:N61"/>
    <mergeCell ref="O61:P61"/>
    <mergeCell ref="Q61:R61"/>
    <mergeCell ref="S61:T61"/>
  </mergeCells>
  <pageMargins left="0.7" right="0.7" top="0.75" bottom="0.75" header="0" footer="0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99"/>
  <sheetViews>
    <sheetView workbookViewId="0">
      <pane ySplit="1" topLeftCell="A2" activePane="bottomLeft" state="frozen"/>
      <selection pane="bottomLeft" activeCell="D13" sqref="D13"/>
    </sheetView>
  </sheetViews>
  <sheetFormatPr baseColWidth="10" defaultColWidth="12.625" defaultRowHeight="15" customHeight="1" x14ac:dyDescent="0.2"/>
  <cols>
    <col min="1" max="1" width="15.5" customWidth="1"/>
    <col min="2" max="3" width="13.375" customWidth="1"/>
    <col min="4" max="4" width="16.125" customWidth="1"/>
    <col min="5" max="7" width="10" customWidth="1"/>
    <col min="8" max="8" width="13.625" customWidth="1"/>
    <col min="9" max="26" width="10" customWidth="1"/>
  </cols>
  <sheetData>
    <row r="1" spans="1:26" ht="58.5" customHeight="1" x14ac:dyDescent="0.25">
      <c r="A1" s="573" t="s">
        <v>16</v>
      </c>
      <c r="B1" s="573"/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573"/>
      <c r="P1" s="573"/>
      <c r="Q1" s="573"/>
      <c r="R1" s="573"/>
      <c r="S1" s="573"/>
      <c r="T1" s="573"/>
      <c r="U1" s="573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466" t="s">
        <v>38</v>
      </c>
      <c r="C3" s="386"/>
      <c r="D3" s="387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37">
        <v>2021</v>
      </c>
      <c r="C4" s="237">
        <v>2022</v>
      </c>
      <c r="D4" s="237">
        <v>2023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6">
        <f>Hipótesis!C27</f>
        <v>0.13</v>
      </c>
      <c r="C5" s="26">
        <f>Hipótesis!C28</f>
        <v>0.25</v>
      </c>
      <c r="D5" s="26">
        <f>Hipótesis!C29</f>
        <v>0.35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69">
        <f>Hipótesis!D27</f>
        <v>8829600</v>
      </c>
      <c r="C6" s="69">
        <f>Hipótesis!D28</f>
        <v>16980000</v>
      </c>
      <c r="D6" s="69">
        <f>Hipótesis!D29</f>
        <v>23772000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77"/>
      <c r="C7" s="77"/>
      <c r="D7" s="7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x14ac:dyDescent="0.4">
      <c r="A8" s="1"/>
      <c r="B8" s="466" t="s">
        <v>126</v>
      </c>
      <c r="C8" s="386"/>
      <c r="D8" s="38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237">
        <v>2021</v>
      </c>
      <c r="C9" s="237">
        <v>2022</v>
      </c>
      <c r="D9" s="237">
        <v>2023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574" t="s">
        <v>127</v>
      </c>
      <c r="B10" s="87">
        <f>'Costos fijos'!$G$5</f>
        <v>2001600</v>
      </c>
      <c r="C10" s="87">
        <f>'Costos fijos'!$H$5</f>
        <v>2601600</v>
      </c>
      <c r="D10" s="87">
        <f>'Costos fijos'!$I$5</f>
        <v>3201600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574" t="s">
        <v>129</v>
      </c>
      <c r="B11" s="87">
        <f>'Costos RRHH'!$H$6</f>
        <v>17039289.566</v>
      </c>
      <c r="C11" s="87">
        <f>'Costos RRHH'!$I$6</f>
        <v>18678081.659600001</v>
      </c>
      <c r="D11" s="87">
        <f>'Costos RRHH'!$J$6</f>
        <v>21934362.237200003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574" t="s">
        <v>126</v>
      </c>
      <c r="B12" s="88">
        <f>SUM(B9:B11)</f>
        <v>19042910.566</v>
      </c>
      <c r="C12" s="88">
        <f>SUM(C9:C11)</f>
        <v>21281703.659600001</v>
      </c>
      <c r="D12" s="88">
        <f>SUM(D9:D11)</f>
        <v>25137985.237200003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574" t="s">
        <v>130</v>
      </c>
      <c r="B13" s="87">
        <f>$B$6</f>
        <v>8829600</v>
      </c>
      <c r="C13" s="87">
        <f>$C$6</f>
        <v>16980000</v>
      </c>
      <c r="D13" s="87">
        <f>$D$6</f>
        <v>23772000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3">
    <mergeCell ref="B3:D3"/>
    <mergeCell ref="B8:D8"/>
    <mergeCell ref="A1:U1"/>
  </mergeCell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77"/>
  <sheetViews>
    <sheetView zoomScale="85" zoomScaleNormal="85" workbookViewId="0">
      <pane ySplit="1" topLeftCell="A4" activePane="bottomLeft" state="frozen"/>
      <selection pane="bottomLeft" activeCell="I27" sqref="I27"/>
    </sheetView>
  </sheetViews>
  <sheetFormatPr baseColWidth="10" defaultColWidth="12.625" defaultRowHeight="15" customHeight="1" x14ac:dyDescent="0.2"/>
  <cols>
    <col min="1" max="1" width="10" customWidth="1"/>
    <col min="2" max="2" width="39.875" bestFit="1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26" width="10" customWidth="1"/>
  </cols>
  <sheetData>
    <row r="1" spans="1:26" ht="58.5" customHeight="1" x14ac:dyDescent="0.25">
      <c r="A1" s="234"/>
      <c r="B1" s="234"/>
      <c r="C1" s="234"/>
      <c r="D1" s="234"/>
      <c r="E1" s="234"/>
      <c r="F1" s="235" t="s">
        <v>17</v>
      </c>
      <c r="G1" s="236"/>
      <c r="H1" s="236"/>
      <c r="I1" s="234"/>
      <c r="J1" s="234"/>
      <c r="K1" s="234"/>
      <c r="L1" s="234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  <c r="X1" s="580"/>
      <c r="Y1" s="580"/>
      <c r="Z1" s="580"/>
    </row>
    <row r="2" spans="1:26" ht="15.75" thickBot="1" x14ac:dyDescent="0.3">
      <c r="A2" s="1"/>
      <c r="B2" s="1"/>
      <c r="C2" s="1"/>
      <c r="D2" s="1"/>
      <c r="E2" s="1"/>
      <c r="F2" s="1"/>
      <c r="G2" s="581"/>
      <c r="H2" s="581"/>
      <c r="I2" s="581"/>
      <c r="J2" s="58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466" t="s">
        <v>38</v>
      </c>
      <c r="C3" s="386"/>
      <c r="D3" s="387"/>
      <c r="E3" s="1"/>
      <c r="F3" s="1"/>
      <c r="G3" s="626" t="s">
        <v>131</v>
      </c>
      <c r="H3" s="626"/>
      <c r="I3" s="626"/>
      <c r="J3" s="626"/>
      <c r="K3" s="625"/>
      <c r="L3" s="625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6" ht="15.75" thickBot="1" x14ac:dyDescent="0.3">
      <c r="A4" s="1"/>
      <c r="B4" s="259">
        <v>2022</v>
      </c>
      <c r="C4" s="237">
        <v>2023</v>
      </c>
      <c r="D4" s="260">
        <v>2024</v>
      </c>
      <c r="E4" s="1"/>
      <c r="F4" s="1"/>
      <c r="G4" s="261" t="s">
        <v>132</v>
      </c>
      <c r="H4" s="261">
        <v>2022</v>
      </c>
      <c r="I4" s="261">
        <v>2023</v>
      </c>
      <c r="J4" s="261">
        <v>2024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6" ht="15.75" thickBot="1" x14ac:dyDescent="0.3">
      <c r="A5" s="1"/>
      <c r="B5" s="92">
        <f>Hipótesis!$C$27</f>
        <v>0.13</v>
      </c>
      <c r="C5" s="93">
        <f>Hipótesis!$C$28</f>
        <v>0.25</v>
      </c>
      <c r="D5" s="94">
        <f>Hipótesis!$C$29</f>
        <v>0.35</v>
      </c>
      <c r="E5" s="1"/>
      <c r="F5" s="1"/>
      <c r="G5" s="627">
        <f>$E$21</f>
        <v>11085995</v>
      </c>
      <c r="H5" s="627">
        <f>E33</f>
        <v>166800</v>
      </c>
      <c r="I5" s="627">
        <f>E47</f>
        <v>400639</v>
      </c>
      <c r="J5" s="627">
        <f>E60</f>
        <v>450639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6" ht="15.75" thickBot="1" x14ac:dyDescent="0.3">
      <c r="A6" s="1"/>
      <c r="B6" s="28">
        <f>Hipótesis!$D$27</f>
        <v>8829600</v>
      </c>
      <c r="C6" s="29">
        <f>Hipótesis!$D$28</f>
        <v>16980000</v>
      </c>
      <c r="D6" s="30">
        <f>Hipótesis!$D$29</f>
        <v>23772000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x14ac:dyDescent="0.4">
      <c r="A9" s="1"/>
      <c r="B9" s="466" t="s">
        <v>133</v>
      </c>
      <c r="C9" s="386"/>
      <c r="D9" s="386"/>
      <c r="E9" s="386"/>
      <c r="F9" s="38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x14ac:dyDescent="0.25">
      <c r="A10" s="1"/>
      <c r="B10" s="585" t="s">
        <v>58</v>
      </c>
      <c r="C10" s="586" t="s">
        <v>55</v>
      </c>
      <c r="D10" s="586" t="s">
        <v>134</v>
      </c>
      <c r="E10" s="586" t="s">
        <v>106</v>
      </c>
      <c r="F10" s="587" t="s">
        <v>135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48" t="str">
        <f>'Costos fijos'!B11</f>
        <v>Servicio VPN</v>
      </c>
      <c r="C11" s="152">
        <v>1</v>
      </c>
      <c r="D11" s="158">
        <f>'Costos fijos'!C49</f>
        <v>4200</v>
      </c>
      <c r="E11" s="158">
        <f t="shared" ref="E11:E13" si="0">C11*D11</f>
        <v>4200</v>
      </c>
      <c r="F11" s="589" t="s">
        <v>240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6" x14ac:dyDescent="0.25">
      <c r="A12" s="1"/>
      <c r="B12" s="148" t="str">
        <f>'Costos fijos'!B12</f>
        <v>Campañas</v>
      </c>
      <c r="C12" s="152">
        <v>1</v>
      </c>
      <c r="D12" s="158">
        <f>'Costos fijos'!C50</f>
        <v>2600</v>
      </c>
      <c r="E12" s="158">
        <f t="shared" si="0"/>
        <v>2600</v>
      </c>
      <c r="F12" s="589" t="s">
        <v>252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6" x14ac:dyDescent="0.25">
      <c r="A13" s="1"/>
      <c r="B13" s="148" t="str">
        <f>'Costos fijos'!B13</f>
        <v>Publicidad online</v>
      </c>
      <c r="C13" s="152">
        <v>1</v>
      </c>
      <c r="D13" s="158">
        <f>'Costos fijos'!C51</f>
        <v>75000</v>
      </c>
      <c r="E13" s="158">
        <f t="shared" si="0"/>
        <v>75000</v>
      </c>
      <c r="F13" s="589" t="s">
        <v>253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6" x14ac:dyDescent="0.25">
      <c r="A14" s="1"/>
      <c r="B14" s="148" t="str">
        <f>'Costos fijos'!B14</f>
        <v>Servicio Hosting</v>
      </c>
      <c r="C14" s="152">
        <v>1</v>
      </c>
      <c r="D14" s="158">
        <f>'Costos fijos'!C55</f>
        <v>4000</v>
      </c>
      <c r="E14" s="158">
        <f>C14*D14</f>
        <v>4000</v>
      </c>
      <c r="F14" s="590" t="s">
        <v>250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6" x14ac:dyDescent="0.25">
      <c r="A15" s="1"/>
      <c r="B15" s="148" t="str">
        <f>'Costos fijos'!B15</f>
        <v>Servicio Monitoreo</v>
      </c>
      <c r="C15" s="152">
        <v>1</v>
      </c>
      <c r="D15" s="158">
        <f>'Costos fijos'!C56</f>
        <v>10000</v>
      </c>
      <c r="E15" s="158">
        <f t="shared" ref="E15:E18" si="1">C15*D15</f>
        <v>10000</v>
      </c>
      <c r="F15" s="590" t="s">
        <v>251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6" x14ac:dyDescent="0.25">
      <c r="A16" s="1"/>
      <c r="B16" s="148" t="str">
        <f>'Costos fijos'!B16</f>
        <v>Servicio Repositorio</v>
      </c>
      <c r="C16" s="152">
        <v>1</v>
      </c>
      <c r="D16" s="158">
        <f>'Costos fijos'!C57</f>
        <v>11000</v>
      </c>
      <c r="E16" s="158">
        <f t="shared" si="1"/>
        <v>11000</v>
      </c>
      <c r="F16" s="591" t="s">
        <v>265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6" x14ac:dyDescent="0.25">
      <c r="A17" s="144"/>
      <c r="B17" s="148" t="str">
        <f>'Costos fijos'!B17</f>
        <v>Servicio CD/CI</v>
      </c>
      <c r="C17" s="152">
        <v>1</v>
      </c>
      <c r="D17" s="158">
        <f>'Costos fijos'!C58</f>
        <v>10000</v>
      </c>
      <c r="E17" s="158">
        <f t="shared" si="1"/>
        <v>10000</v>
      </c>
      <c r="F17" s="592" t="s">
        <v>251</v>
      </c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</row>
    <row r="18" spans="1:26" x14ac:dyDescent="0.25">
      <c r="A18" s="144"/>
      <c r="B18" s="148" t="str">
        <f>'Costos fijos'!B18</f>
        <v>Servicio Cloud serverless</v>
      </c>
      <c r="C18" s="152">
        <v>1</v>
      </c>
      <c r="D18" s="158">
        <f>'Costos fijos'!C59</f>
        <v>50000</v>
      </c>
      <c r="E18" s="158">
        <f t="shared" si="1"/>
        <v>50000</v>
      </c>
      <c r="F18" s="592"/>
      <c r="G18" s="144"/>
      <c r="H18" s="144"/>
      <c r="I18" s="144"/>
      <c r="J18" s="144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</row>
    <row r="19" spans="1:26" x14ac:dyDescent="0.25">
      <c r="A19" s="144"/>
      <c r="B19" s="157" t="s">
        <v>174</v>
      </c>
      <c r="C19" s="153">
        <v>1</v>
      </c>
      <c r="D19" s="158">
        <v>10000000</v>
      </c>
      <c r="E19" s="158">
        <f>C19*D19</f>
        <v>10000000</v>
      </c>
      <c r="F19" s="159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</row>
    <row r="20" spans="1:26" ht="15" customHeight="1" x14ac:dyDescent="0.25">
      <c r="A20" s="1"/>
      <c r="B20" s="162" t="s">
        <v>176</v>
      </c>
      <c r="C20" s="163">
        <f>'Proy. ventas'!C43</f>
        <v>5</v>
      </c>
      <c r="D20" s="165">
        <v>183839</v>
      </c>
      <c r="E20" s="165">
        <f>C20*D20</f>
        <v>919195</v>
      </c>
      <c r="F20" s="160" t="s">
        <v>177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A21" s="1"/>
      <c r="B21" s="476" t="s">
        <v>32</v>
      </c>
      <c r="C21" s="477"/>
      <c r="D21" s="478"/>
      <c r="E21" s="99">
        <f>SUM(E11:E20)</f>
        <v>11085995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thickBo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45.75" customHeight="1" thickBot="1" x14ac:dyDescent="0.45">
      <c r="A23" s="1"/>
      <c r="B23" s="554" t="s">
        <v>266</v>
      </c>
      <c r="C23" s="555"/>
      <c r="D23" s="555"/>
      <c r="E23" s="555"/>
      <c r="F23" s="55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 x14ac:dyDescent="0.25">
      <c r="A24" s="1"/>
      <c r="B24" s="585" t="s">
        <v>58</v>
      </c>
      <c r="C24" s="586" t="s">
        <v>55</v>
      </c>
      <c r="D24" s="586" t="s">
        <v>134</v>
      </c>
      <c r="E24" s="586" t="s">
        <v>106</v>
      </c>
      <c r="F24" s="587" t="s">
        <v>135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 x14ac:dyDescent="0.25">
      <c r="A25" s="1"/>
      <c r="B25" s="148" t="str">
        <f>B38</f>
        <v>Servicio VPN</v>
      </c>
      <c r="C25" s="152">
        <v>1</v>
      </c>
      <c r="D25" s="158">
        <f t="shared" ref="D25:D32" si="2">D11</f>
        <v>4200</v>
      </c>
      <c r="E25" s="158">
        <f t="shared" ref="E25:E27" si="3">C25*D25</f>
        <v>4200</v>
      </c>
      <c r="F25" s="589" t="s">
        <v>240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 x14ac:dyDescent="0.25">
      <c r="A26" s="1"/>
      <c r="B26" s="148" t="str">
        <f>B39</f>
        <v>Campañas</v>
      </c>
      <c r="C26" s="152">
        <v>1</v>
      </c>
      <c r="D26" s="158">
        <f t="shared" si="2"/>
        <v>2600</v>
      </c>
      <c r="E26" s="158">
        <f>C26*D26</f>
        <v>2600</v>
      </c>
      <c r="F26" s="589" t="s">
        <v>252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 x14ac:dyDescent="0.25">
      <c r="A27" s="1"/>
      <c r="B27" s="148" t="str">
        <f>B40</f>
        <v>Publicidad online</v>
      </c>
      <c r="C27" s="152">
        <v>1</v>
      </c>
      <c r="D27" s="158">
        <f t="shared" si="2"/>
        <v>75000</v>
      </c>
      <c r="E27" s="158">
        <f t="shared" si="3"/>
        <v>75000</v>
      </c>
      <c r="F27" s="589" t="s">
        <v>253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48" t="str">
        <f>B41</f>
        <v>Servicio Hosting</v>
      </c>
      <c r="C28" s="152">
        <v>1</v>
      </c>
      <c r="D28" s="158">
        <f t="shared" si="2"/>
        <v>4000</v>
      </c>
      <c r="E28" s="158">
        <f>C28*D28</f>
        <v>4000</v>
      </c>
      <c r="F28" s="630" t="s">
        <v>250</v>
      </c>
      <c r="G28" s="606"/>
      <c r="H28" s="607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48" t="str">
        <f>B42</f>
        <v>Servicio Monitoreo</v>
      </c>
      <c r="C29" s="152">
        <v>1</v>
      </c>
      <c r="D29" s="158">
        <f t="shared" si="2"/>
        <v>10000</v>
      </c>
      <c r="E29" s="158">
        <f t="shared" ref="E29:E32" si="4">C29*D29</f>
        <v>10000</v>
      </c>
      <c r="F29" s="590" t="s">
        <v>251</v>
      </c>
      <c r="G29" s="604"/>
      <c r="H29" s="605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48" t="str">
        <f>B43</f>
        <v>Servicio Repositorio</v>
      </c>
      <c r="C30" s="152">
        <v>1</v>
      </c>
      <c r="D30" s="158">
        <f t="shared" si="2"/>
        <v>11000</v>
      </c>
      <c r="E30" s="158">
        <f t="shared" si="4"/>
        <v>11000</v>
      </c>
      <c r="F30" s="591" t="s">
        <v>265</v>
      </c>
      <c r="G30" s="606"/>
      <c r="H30" s="607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48" t="str">
        <f>B44</f>
        <v>Servicio CD/CI</v>
      </c>
      <c r="C31" s="152">
        <v>1</v>
      </c>
      <c r="D31" s="158">
        <f t="shared" si="2"/>
        <v>10000</v>
      </c>
      <c r="E31" s="158">
        <f t="shared" si="4"/>
        <v>10000</v>
      </c>
      <c r="F31" s="600" t="s">
        <v>251</v>
      </c>
      <c r="G31" s="604"/>
      <c r="H31" s="605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44"/>
      <c r="B32" s="148" t="str">
        <f>B45</f>
        <v>Servicio Cloud serverless</v>
      </c>
      <c r="C32" s="624">
        <f>'Proy. ventas'!C42</f>
        <v>1</v>
      </c>
      <c r="D32" s="158">
        <f t="shared" si="2"/>
        <v>50000</v>
      </c>
      <c r="E32" s="158">
        <f t="shared" si="4"/>
        <v>50000</v>
      </c>
      <c r="F32" s="601"/>
      <c r="G32" s="164"/>
      <c r="H32" s="16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</row>
    <row r="33" spans="1:26" ht="15.75" thickBot="1" x14ac:dyDescent="0.3">
      <c r="A33" s="144"/>
      <c r="B33" s="476" t="s">
        <v>32</v>
      </c>
      <c r="C33" s="593"/>
      <c r="D33" s="594"/>
      <c r="E33" s="99">
        <f>SUM(E25:E32)</f>
        <v>166800</v>
      </c>
      <c r="F33" s="1"/>
      <c r="G33" s="164"/>
      <c r="H33" s="16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</row>
    <row r="34" spans="1:26" x14ac:dyDescent="0.25">
      <c r="A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</row>
    <row r="35" spans="1:26" ht="5.25" customHeight="1" thickBot="1" x14ac:dyDescent="0.3">
      <c r="A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9.25" customHeight="1" thickBot="1" x14ac:dyDescent="0.45">
      <c r="A36" s="1"/>
      <c r="B36" s="554" t="s">
        <v>267</v>
      </c>
      <c r="C36" s="555"/>
      <c r="D36" s="555"/>
      <c r="E36" s="555"/>
      <c r="F36" s="55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5.75" customHeight="1" x14ac:dyDescent="0.25">
      <c r="A37" s="1"/>
      <c r="B37" s="585" t="s">
        <v>58</v>
      </c>
      <c r="C37" s="586" t="s">
        <v>55</v>
      </c>
      <c r="D37" s="586" t="s">
        <v>134</v>
      </c>
      <c r="E37" s="586" t="s">
        <v>106</v>
      </c>
      <c r="F37" s="587" t="s">
        <v>135</v>
      </c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26" ht="15.75" customHeight="1" x14ac:dyDescent="0.25">
      <c r="A38" s="1"/>
      <c r="B38" s="148" t="str">
        <f>B11</f>
        <v>Servicio VPN</v>
      </c>
      <c r="C38" s="152">
        <v>1</v>
      </c>
      <c r="D38" s="158">
        <f>D11</f>
        <v>4200</v>
      </c>
      <c r="E38" s="158">
        <f t="shared" ref="E38:E40" si="5">C38*D38</f>
        <v>4200</v>
      </c>
      <c r="F38" s="589" t="s">
        <v>240</v>
      </c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26" ht="15.75" customHeight="1" x14ac:dyDescent="0.25">
      <c r="A39" s="1"/>
      <c r="B39" s="148" t="str">
        <f>B12</f>
        <v>Campañas</v>
      </c>
      <c r="C39" s="152">
        <v>1</v>
      </c>
      <c r="D39" s="158">
        <f>D12</f>
        <v>2600</v>
      </c>
      <c r="E39" s="158">
        <f t="shared" si="5"/>
        <v>2600</v>
      </c>
      <c r="F39" s="589" t="s">
        <v>252</v>
      </c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26" ht="15.75" customHeight="1" x14ac:dyDescent="0.25">
      <c r="A40" s="1"/>
      <c r="B40" s="148" t="str">
        <f>B13</f>
        <v>Publicidad online</v>
      </c>
      <c r="C40" s="152">
        <v>1</v>
      </c>
      <c r="D40" s="158">
        <f>D13</f>
        <v>75000</v>
      </c>
      <c r="E40" s="158">
        <f t="shared" si="5"/>
        <v>75000</v>
      </c>
      <c r="F40" s="589" t="s">
        <v>253</v>
      </c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26" ht="16.5" customHeight="1" x14ac:dyDescent="0.25">
      <c r="A41" s="1"/>
      <c r="B41" s="148" t="str">
        <f>B14</f>
        <v>Servicio Hosting</v>
      </c>
      <c r="C41" s="152">
        <v>1</v>
      </c>
      <c r="D41" s="158">
        <f>D14</f>
        <v>4000</v>
      </c>
      <c r="E41" s="158">
        <f>C41*D41</f>
        <v>4000</v>
      </c>
      <c r="F41" s="590" t="s">
        <v>250</v>
      </c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26" ht="15.75" customHeight="1" x14ac:dyDescent="0.25">
      <c r="A42" s="1"/>
      <c r="B42" s="148" t="str">
        <f>B15</f>
        <v>Servicio Monitoreo</v>
      </c>
      <c r="C42" s="152">
        <v>1</v>
      </c>
      <c r="D42" s="158">
        <f>D15</f>
        <v>10000</v>
      </c>
      <c r="E42" s="158">
        <f t="shared" ref="E42:E45" si="6">C42*D42</f>
        <v>10000</v>
      </c>
      <c r="F42" s="590" t="s">
        <v>251</v>
      </c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26" ht="15.75" customHeight="1" x14ac:dyDescent="0.25">
      <c r="A43" s="1"/>
      <c r="B43" s="148" t="str">
        <f>B16</f>
        <v>Servicio Repositorio</v>
      </c>
      <c r="C43" s="152">
        <v>1</v>
      </c>
      <c r="D43" s="158">
        <f>D16</f>
        <v>11000</v>
      </c>
      <c r="E43" s="158">
        <f t="shared" si="6"/>
        <v>11000</v>
      </c>
      <c r="F43" s="591" t="s">
        <v>265</v>
      </c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26" ht="15.75" customHeight="1" x14ac:dyDescent="0.25">
      <c r="A44" s="1"/>
      <c r="B44" s="148" t="str">
        <f>B17</f>
        <v>Servicio CD/CI</v>
      </c>
      <c r="C44" s="152">
        <v>1</v>
      </c>
      <c r="D44" s="158">
        <f>D17</f>
        <v>10000</v>
      </c>
      <c r="E44" s="158">
        <f t="shared" si="6"/>
        <v>10000</v>
      </c>
      <c r="F44" s="600" t="s">
        <v>251</v>
      </c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26" ht="15.75" customHeight="1" x14ac:dyDescent="0.25">
      <c r="A45" s="1"/>
      <c r="B45" s="148" t="str">
        <f>B18</f>
        <v>Servicio Cloud serverless</v>
      </c>
      <c r="C45" s="154">
        <f>'Proy. ventas'!C74</f>
        <v>2</v>
      </c>
      <c r="D45" s="158">
        <f>D18</f>
        <v>50000</v>
      </c>
      <c r="E45" s="158">
        <f t="shared" si="6"/>
        <v>100000</v>
      </c>
      <c r="F45" s="60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26" ht="15.75" customHeight="1" x14ac:dyDescent="0.25">
      <c r="A46" s="144"/>
      <c r="B46" s="162" t="str">
        <f>B20</f>
        <v>Notebooks</v>
      </c>
      <c r="C46" s="608">
        <f>'Proy. ventas'!C75-C20</f>
        <v>1</v>
      </c>
      <c r="D46" s="165">
        <v>183839</v>
      </c>
      <c r="E46" s="165">
        <f>C46*D46</f>
        <v>183839</v>
      </c>
      <c r="F46" s="160" t="s">
        <v>177</v>
      </c>
      <c r="G46" s="144"/>
      <c r="H46" s="144"/>
      <c r="I46" s="144"/>
      <c r="J46" s="144"/>
      <c r="K46" s="144"/>
      <c r="L46" s="144"/>
      <c r="M46" s="144"/>
      <c r="N46" s="144"/>
      <c r="O46" s="144"/>
      <c r="P46" s="144"/>
    </row>
    <row r="47" spans="1:26" ht="15.75" customHeight="1" thickBot="1" x14ac:dyDescent="0.3">
      <c r="A47" s="1"/>
      <c r="B47" s="476" t="s">
        <v>32</v>
      </c>
      <c r="C47" s="593"/>
      <c r="D47" s="594"/>
      <c r="E47" s="99">
        <f>SUM(E38:E46)</f>
        <v>400639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26" ht="15.75" customHeight="1" thickBo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6" ht="15.75" customHeight="1" thickBot="1" x14ac:dyDescent="0.45">
      <c r="A49" s="1"/>
      <c r="B49" s="597" t="s">
        <v>268</v>
      </c>
      <c r="C49" s="598"/>
      <c r="D49" s="598"/>
      <c r="E49" s="598"/>
      <c r="F49" s="599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x14ac:dyDescent="0.25">
      <c r="A50" s="1"/>
      <c r="B50" s="585" t="s">
        <v>58</v>
      </c>
      <c r="C50" s="586" t="s">
        <v>55</v>
      </c>
      <c r="D50" s="586" t="s">
        <v>134</v>
      </c>
      <c r="E50" s="586" t="s">
        <v>106</v>
      </c>
      <c r="F50" s="587" t="s">
        <v>135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6" ht="15.75" customHeight="1" x14ac:dyDescent="0.25">
      <c r="A51" s="1"/>
      <c r="B51" s="148" t="str">
        <f t="shared" ref="B51:B59" si="7">B38</f>
        <v>Servicio VPN</v>
      </c>
      <c r="C51" s="152">
        <f>C38</f>
        <v>1</v>
      </c>
      <c r="D51" s="158">
        <f>D38</f>
        <v>4200</v>
      </c>
      <c r="E51" s="158">
        <f>D51*C51</f>
        <v>4200</v>
      </c>
      <c r="F51" s="589" t="s">
        <v>240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6" ht="15.75" customHeight="1" x14ac:dyDescent="0.25">
      <c r="A52" s="1"/>
      <c r="B52" s="148" t="str">
        <f t="shared" si="7"/>
        <v>Campañas</v>
      </c>
      <c r="C52" s="152">
        <f>C39</f>
        <v>1</v>
      </c>
      <c r="D52" s="158">
        <f>D39</f>
        <v>2600</v>
      </c>
      <c r="E52" s="158">
        <f t="shared" ref="E52:E59" si="8">D52*C52</f>
        <v>2600</v>
      </c>
      <c r="F52" s="589" t="s">
        <v>252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6" ht="15.75" customHeight="1" x14ac:dyDescent="0.25">
      <c r="A53" s="1"/>
      <c r="B53" s="148" t="str">
        <f t="shared" si="7"/>
        <v>Publicidad online</v>
      </c>
      <c r="C53" s="152">
        <f>C40</f>
        <v>1</v>
      </c>
      <c r="D53" s="158">
        <f>D40</f>
        <v>75000</v>
      </c>
      <c r="E53" s="158">
        <f t="shared" si="8"/>
        <v>75000</v>
      </c>
      <c r="F53" s="589" t="s">
        <v>253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6" ht="15.75" customHeight="1" x14ac:dyDescent="0.25">
      <c r="A54" s="1"/>
      <c r="B54" s="148" t="str">
        <f t="shared" si="7"/>
        <v>Servicio Hosting</v>
      </c>
      <c r="C54" s="152">
        <f>C41</f>
        <v>1</v>
      </c>
      <c r="D54" s="158">
        <f>D41</f>
        <v>4000</v>
      </c>
      <c r="E54" s="158">
        <f t="shared" si="8"/>
        <v>4000</v>
      </c>
      <c r="F54" s="590" t="s">
        <v>250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6" ht="15.75" customHeight="1" x14ac:dyDescent="0.25">
      <c r="A55" s="1"/>
      <c r="B55" s="148" t="str">
        <f t="shared" si="7"/>
        <v>Servicio Monitoreo</v>
      </c>
      <c r="C55" s="152">
        <f>C42</f>
        <v>1</v>
      </c>
      <c r="D55" s="158">
        <f>D42</f>
        <v>10000</v>
      </c>
      <c r="E55" s="158">
        <f t="shared" si="8"/>
        <v>10000</v>
      </c>
      <c r="F55" s="590" t="s">
        <v>251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6" ht="15.75" customHeight="1" x14ac:dyDescent="0.25">
      <c r="A56" s="1"/>
      <c r="B56" s="148" t="str">
        <f t="shared" si="7"/>
        <v>Servicio Repositorio</v>
      </c>
      <c r="C56" s="152">
        <f>C43</f>
        <v>1</v>
      </c>
      <c r="D56" s="158">
        <f>D43</f>
        <v>11000</v>
      </c>
      <c r="E56" s="158">
        <f t="shared" si="8"/>
        <v>11000</v>
      </c>
      <c r="F56" s="591" t="s">
        <v>265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6" ht="15.75" customHeight="1" x14ac:dyDescent="0.25">
      <c r="A57" s="1"/>
      <c r="B57" s="148" t="str">
        <f t="shared" si="7"/>
        <v>Servicio CD/CI</v>
      </c>
      <c r="C57" s="152">
        <f>C44</f>
        <v>1</v>
      </c>
      <c r="D57" s="158">
        <f>D44</f>
        <v>10000</v>
      </c>
      <c r="E57" s="158">
        <f t="shared" si="8"/>
        <v>10000</v>
      </c>
      <c r="F57" s="602" t="s">
        <v>251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6" ht="15.75" customHeight="1" x14ac:dyDescent="0.25">
      <c r="A58" s="1"/>
      <c r="B58" s="148" t="str">
        <f t="shared" si="7"/>
        <v>Servicio Cloud serverless</v>
      </c>
      <c r="C58" s="154">
        <f>'Proy. ventas'!C106</f>
        <v>3</v>
      </c>
      <c r="D58" s="158">
        <f>D45</f>
        <v>50000</v>
      </c>
      <c r="E58" s="158">
        <f t="shared" si="8"/>
        <v>150000</v>
      </c>
      <c r="F58" s="603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6" ht="15.75" customHeight="1" x14ac:dyDescent="0.25">
      <c r="A59" s="1"/>
      <c r="B59" s="162" t="str">
        <f t="shared" si="7"/>
        <v>Notebooks</v>
      </c>
      <c r="C59" s="608">
        <f>C46</f>
        <v>1</v>
      </c>
      <c r="D59" s="165">
        <f>D46</f>
        <v>183839</v>
      </c>
      <c r="E59" s="158">
        <f t="shared" si="8"/>
        <v>183839</v>
      </c>
      <c r="F59" s="160" t="s">
        <v>177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6" ht="15.75" customHeight="1" thickBot="1" x14ac:dyDescent="0.3">
      <c r="A60" s="144"/>
      <c r="B60" s="238" t="s">
        <v>32</v>
      </c>
      <c r="C60" s="595"/>
      <c r="D60" s="596"/>
      <c r="E60" s="99">
        <f>SUM(E51:E59)</f>
        <v>450639</v>
      </c>
      <c r="F60" s="1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</sheetData>
  <mergeCells count="15">
    <mergeCell ref="G3:J3"/>
    <mergeCell ref="B23:F23"/>
    <mergeCell ref="F31:F32"/>
    <mergeCell ref="B47:D47"/>
    <mergeCell ref="B33:D33"/>
    <mergeCell ref="B3:D3"/>
    <mergeCell ref="B9:F9"/>
    <mergeCell ref="B21:D21"/>
    <mergeCell ref="F17:F18"/>
    <mergeCell ref="B36:F36"/>
    <mergeCell ref="G30:H30"/>
    <mergeCell ref="G31:H31"/>
    <mergeCell ref="G28:H28"/>
    <mergeCell ref="G29:H29"/>
    <mergeCell ref="F44:F45"/>
  </mergeCells>
  <hyperlinks>
    <hyperlink ref="F20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8F3C56E-2AAB-4657-94F9-D35DF095A0CE}"/>
    <hyperlink ref="F46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6D9E6502-C538-4A01-857B-2600C2E431FA}"/>
    <hyperlink ref="F59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96E621E-77EF-4C05-88E3-93295C1C078B}"/>
  </hyperlinks>
  <pageMargins left="0.7" right="0.7" top="0.75" bottom="0.75" header="0" footer="0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M18" sqref="M18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58.5" customHeight="1" x14ac:dyDescent="0.25">
      <c r="A1" s="234"/>
      <c r="B1" s="234"/>
      <c r="C1" s="234"/>
      <c r="D1" s="234"/>
      <c r="E1" s="234"/>
      <c r="F1" s="234"/>
      <c r="G1" s="235" t="s">
        <v>18</v>
      </c>
      <c r="H1" s="236"/>
      <c r="I1" s="234"/>
      <c r="J1" s="234"/>
      <c r="K1" s="234"/>
      <c r="L1" s="234"/>
      <c r="M1" s="234"/>
      <c r="N1" s="234"/>
      <c r="O1" s="234"/>
      <c r="P1" s="580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466" t="s">
        <v>38</v>
      </c>
      <c r="C3" s="386"/>
      <c r="D3" s="387"/>
      <c r="E3" s="22"/>
      <c r="F3" s="1"/>
      <c r="G3" s="1"/>
      <c r="H3" s="1"/>
      <c r="I3" s="466" t="s">
        <v>18</v>
      </c>
      <c r="J3" s="386"/>
      <c r="K3" s="38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37">
        <v>2021</v>
      </c>
      <c r="C4" s="237">
        <v>2022</v>
      </c>
      <c r="D4" s="237">
        <v>2023</v>
      </c>
      <c r="E4" s="66"/>
      <c r="F4" s="1"/>
      <c r="G4" s="1"/>
      <c r="H4" s="1"/>
      <c r="I4" s="582">
        <v>2021</v>
      </c>
      <c r="J4" s="583">
        <v>2022</v>
      </c>
      <c r="K4" s="584">
        <v>2023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6">
        <f>Hipótesis!$C$27</f>
        <v>0.13</v>
      </c>
      <c r="C5" s="26">
        <f>Hipótesis!$C$28</f>
        <v>0.25</v>
      </c>
      <c r="D5" s="26">
        <f>Hipótesis!$C$29</f>
        <v>0.35</v>
      </c>
      <c r="E5" s="82"/>
      <c r="F5" s="1"/>
      <c r="G5" s="1"/>
      <c r="H5" s="1"/>
      <c r="I5" s="95">
        <f>K14</f>
        <v>306398.33333333331</v>
      </c>
      <c r="J5" s="96">
        <f>L14</f>
        <v>367678</v>
      </c>
      <c r="K5" s="97">
        <f>M14</f>
        <v>428957.66666666669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69">
        <f>Hipótesis!$D$27</f>
        <v>8829600</v>
      </c>
      <c r="C6" s="69">
        <f>Hipótesis!D28</f>
        <v>16980000</v>
      </c>
      <c r="D6" s="69">
        <f>Hipótesis!D29</f>
        <v>23772000</v>
      </c>
      <c r="E6" s="7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609" t="s">
        <v>18</v>
      </c>
      <c r="C8" s="610"/>
      <c r="D8" s="610"/>
      <c r="E8" s="610"/>
      <c r="F8" s="610"/>
      <c r="G8" s="610"/>
      <c r="H8" s="610"/>
      <c r="I8" s="610"/>
      <c r="J8" s="610"/>
      <c r="K8" s="610"/>
      <c r="L8" s="610"/>
      <c r="M8" s="61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612" t="s">
        <v>137</v>
      </c>
      <c r="C9" s="612" t="s">
        <v>58</v>
      </c>
      <c r="D9" s="612" t="s">
        <v>55</v>
      </c>
      <c r="E9" s="612" t="s">
        <v>134</v>
      </c>
      <c r="F9" s="613" t="s">
        <v>138</v>
      </c>
      <c r="G9" s="612" t="s">
        <v>139</v>
      </c>
      <c r="H9" s="416"/>
      <c r="I9" s="416"/>
      <c r="J9" s="416"/>
      <c r="K9" s="612" t="s">
        <v>140</v>
      </c>
      <c r="L9" s="416"/>
      <c r="M9" s="41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16"/>
      <c r="C10" s="416"/>
      <c r="D10" s="416"/>
      <c r="E10" s="416"/>
      <c r="F10" s="416"/>
      <c r="G10" s="614" t="s">
        <v>141</v>
      </c>
      <c r="H10" s="614" t="s">
        <v>270</v>
      </c>
      <c r="I10" s="614" t="s">
        <v>271</v>
      </c>
      <c r="J10" s="614" t="s">
        <v>272</v>
      </c>
      <c r="K10" s="614" t="s">
        <v>270</v>
      </c>
      <c r="L10" s="614" t="s">
        <v>271</v>
      </c>
      <c r="M10" s="614" t="s">
        <v>272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615" t="s">
        <v>269</v>
      </c>
      <c r="C11" s="616" t="s">
        <v>175</v>
      </c>
      <c r="D11" s="617">
        <f>'Mod. inversión'!C20</f>
        <v>5</v>
      </c>
      <c r="E11" s="618">
        <f>'Mod. inversión'!D20</f>
        <v>183839</v>
      </c>
      <c r="F11" s="617">
        <v>3</v>
      </c>
      <c r="G11" s="619">
        <f>E11*D11</f>
        <v>919195</v>
      </c>
      <c r="H11" s="628">
        <v>0</v>
      </c>
      <c r="I11" s="628">
        <v>0</v>
      </c>
      <c r="J11" s="628">
        <v>0</v>
      </c>
      <c r="K11" s="620">
        <f>$G$11/$F$11</f>
        <v>306398.33333333331</v>
      </c>
      <c r="L11" s="620">
        <f t="shared" ref="L11:M13" si="0">$G$11/$F$11</f>
        <v>306398.33333333331</v>
      </c>
      <c r="M11" s="620">
        <f t="shared" si="0"/>
        <v>306398.33333333331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44"/>
      <c r="B12" s="621"/>
      <c r="C12" s="616" t="s">
        <v>175</v>
      </c>
      <c r="D12" s="617">
        <f>'Mod. inversión'!C46</f>
        <v>1</v>
      </c>
      <c r="E12" s="618">
        <f>'Mod. inversión'!D20</f>
        <v>183839</v>
      </c>
      <c r="F12" s="617">
        <v>3</v>
      </c>
      <c r="G12" s="628">
        <f>0</f>
        <v>0</v>
      </c>
      <c r="H12" s="628">
        <f>0</f>
        <v>0</v>
      </c>
      <c r="I12" s="619">
        <f>E12*D12</f>
        <v>183839</v>
      </c>
      <c r="J12" s="628">
        <v>0</v>
      </c>
      <c r="K12" s="629">
        <v>0</v>
      </c>
      <c r="L12" s="620">
        <f>$I$12/$F$12</f>
        <v>61279.666666666664</v>
      </c>
      <c r="M12" s="620">
        <f>$I$12/$F$12</f>
        <v>61279.666666666664</v>
      </c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</row>
    <row r="13" spans="1:26" ht="15.75" thickBot="1" x14ac:dyDescent="0.3">
      <c r="A13" s="144"/>
      <c r="B13" s="621"/>
      <c r="C13" s="616" t="s">
        <v>175</v>
      </c>
      <c r="D13" s="617">
        <f>'Mod. inversión'!C59</f>
        <v>1</v>
      </c>
      <c r="E13" s="618">
        <f>'Mod. inversión'!D20</f>
        <v>183839</v>
      </c>
      <c r="F13" s="617">
        <v>3</v>
      </c>
      <c r="G13" s="628">
        <f>0</f>
        <v>0</v>
      </c>
      <c r="H13" s="628">
        <f>0</f>
        <v>0</v>
      </c>
      <c r="I13" s="628">
        <f>0</f>
        <v>0</v>
      </c>
      <c r="J13" s="619">
        <f>E13*D13</f>
        <v>183839</v>
      </c>
      <c r="K13" s="629">
        <v>0</v>
      </c>
      <c r="L13" s="629">
        <v>0</v>
      </c>
      <c r="M13" s="620">
        <f>$I$12/$F$12</f>
        <v>61279.666666666664</v>
      </c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</row>
    <row r="14" spans="1:26" ht="15.75" customHeight="1" thickBot="1" x14ac:dyDescent="0.3">
      <c r="A14" s="1"/>
      <c r="B14" s="622" t="s">
        <v>125</v>
      </c>
      <c r="C14" s="416"/>
      <c r="D14" s="416"/>
      <c r="E14" s="416"/>
      <c r="F14" s="416"/>
      <c r="G14" s="416"/>
      <c r="H14" s="416"/>
      <c r="I14" s="416"/>
      <c r="J14" s="416"/>
      <c r="K14" s="623">
        <f>SUM(K11:K13)</f>
        <v>306398.33333333331</v>
      </c>
      <c r="L14" s="623">
        <f t="shared" ref="L14:M14" si="1">SUM(L11:L13)</f>
        <v>367678</v>
      </c>
      <c r="M14" s="623">
        <f t="shared" si="1"/>
        <v>428957.66666666669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2">
    <mergeCell ref="B14:J14"/>
    <mergeCell ref="B3:D3"/>
    <mergeCell ref="I3:K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pane ySplit="1" topLeftCell="A2" activePane="bottomLeft" state="frozen"/>
      <selection pane="bottomLeft" activeCell="J23" sqref="J23"/>
    </sheetView>
  </sheetViews>
  <sheetFormatPr baseColWidth="10" defaultColWidth="12.625" defaultRowHeight="15" customHeight="1" x14ac:dyDescent="0.2"/>
  <cols>
    <col min="1" max="1" width="5.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2.75" customWidth="1"/>
    <col min="10" max="12" width="13.25" customWidth="1"/>
    <col min="13" max="13" width="14" customWidth="1"/>
    <col min="14" max="26" width="10" customWidth="1"/>
  </cols>
  <sheetData>
    <row r="1" spans="1:26" ht="58.5" customHeight="1" x14ac:dyDescent="0.25">
      <c r="A1" s="234"/>
      <c r="B1" s="234"/>
      <c r="C1" s="234"/>
      <c r="D1" s="234"/>
      <c r="E1" s="235" t="s">
        <v>142</v>
      </c>
      <c r="F1" s="236"/>
      <c r="G1" s="236"/>
      <c r="H1" s="234"/>
      <c r="I1" s="234"/>
      <c r="J1" s="234"/>
      <c r="K1" s="234"/>
      <c r="L1" s="234"/>
      <c r="M1" s="234"/>
      <c r="N1" s="234"/>
      <c r="O1" s="234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1"/>
      <c r="D3" s="1"/>
      <c r="E3" s="1"/>
      <c r="F3" s="1"/>
      <c r="G3" s="1"/>
      <c r="H3" s="49"/>
      <c r="I3" s="1"/>
      <c r="J3" s="1"/>
      <c r="K3" s="466" t="s">
        <v>38</v>
      </c>
      <c r="L3" s="386"/>
      <c r="M3" s="387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66"/>
      <c r="I4" s="1"/>
      <c r="J4" s="1"/>
      <c r="K4" s="237">
        <v>2021</v>
      </c>
      <c r="L4" s="237">
        <v>2022</v>
      </c>
      <c r="M4" s="237">
        <v>2023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77"/>
      <c r="I5" s="1"/>
      <c r="J5" s="1"/>
      <c r="K5" s="93">
        <f>Hipótesis!$C$27</f>
        <v>0.13</v>
      </c>
      <c r="L5" s="93">
        <f>Hipótesis!$C$28</f>
        <v>0.25</v>
      </c>
      <c r="M5" s="93">
        <f>Hipótesis!$C$29</f>
        <v>0.35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69">
        <f>Hipótesis!$D$27</f>
        <v>8829600</v>
      </c>
      <c r="L6" s="69">
        <f>Hipótesis!$D$28</f>
        <v>16980000</v>
      </c>
      <c r="M6" s="69">
        <f>Hipótesis!$D$29</f>
        <v>23772000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x14ac:dyDescent="0.4">
      <c r="A8" s="1"/>
      <c r="B8" s="1"/>
      <c r="C8" s="1"/>
      <c r="D8" s="1"/>
      <c r="E8" s="1"/>
      <c r="F8" s="1"/>
      <c r="G8" s="1"/>
      <c r="H8" s="49"/>
      <c r="I8" s="1"/>
      <c r="J8" s="1"/>
      <c r="K8" s="466" t="s">
        <v>143</v>
      </c>
      <c r="L8" s="386"/>
      <c r="M8" s="387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66"/>
      <c r="I9" s="1"/>
      <c r="J9" s="1"/>
      <c r="K9" s="237">
        <v>2021</v>
      </c>
      <c r="L9" s="237">
        <v>2022</v>
      </c>
      <c r="M9" s="237">
        <v>2023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7" thickBot="1" x14ac:dyDescent="0.45">
      <c r="A10" s="1"/>
      <c r="B10" s="466" t="s">
        <v>142</v>
      </c>
      <c r="C10" s="386"/>
      <c r="D10" s="386"/>
      <c r="E10" s="386"/>
      <c r="F10" s="386"/>
      <c r="G10" s="387"/>
      <c r="H10" s="77"/>
      <c r="I10" s="1"/>
      <c r="J10" s="646" t="s">
        <v>144</v>
      </c>
      <c r="K10" s="103">
        <f>'Costos fijos'!$G$5</f>
        <v>2001600</v>
      </c>
      <c r="L10" s="69">
        <f>'Costos fijos'!$H$5</f>
        <v>2601600</v>
      </c>
      <c r="M10" s="104">
        <f>'Costos fijos'!$I$5</f>
        <v>3201600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649" t="s">
        <v>145</v>
      </c>
      <c r="C11" s="387"/>
      <c r="D11" s="650" t="s">
        <v>146</v>
      </c>
      <c r="E11" s="651">
        <v>2021</v>
      </c>
      <c r="F11" s="651">
        <v>2022</v>
      </c>
      <c r="G11" s="652">
        <v>2023</v>
      </c>
      <c r="H11" s="1"/>
      <c r="I11" s="1"/>
      <c r="J11" s="647" t="s">
        <v>129</v>
      </c>
      <c r="K11" s="638">
        <f>'Costos RRHH'!$H$6</f>
        <v>17039289.566</v>
      </c>
      <c r="L11" s="640">
        <f>'Costos RRHH'!$I$6</f>
        <v>18678081.659600001</v>
      </c>
      <c r="M11" s="642">
        <f>'Costos RRHH'!$J$6</f>
        <v>21934362.237200003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"/>
      <c r="B12" s="484" t="s">
        <v>54</v>
      </c>
      <c r="C12" s="485"/>
      <c r="D12" s="106" t="s">
        <v>136</v>
      </c>
      <c r="E12" s="107">
        <f>+'Mod. ingresos'!C20</f>
        <v>21560000</v>
      </c>
      <c r="F12" s="107">
        <f>+'Mod. ingresos'!D20</f>
        <v>62750000</v>
      </c>
      <c r="G12" s="107">
        <f>+'Mod. ingresos'!E20</f>
        <v>105540000</v>
      </c>
      <c r="H12" s="1"/>
      <c r="I12" s="1"/>
      <c r="J12" s="648"/>
      <c r="K12" s="639"/>
      <c r="L12" s="641"/>
      <c r="M12" s="643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thickBot="1" x14ac:dyDescent="0.3">
      <c r="A13" s="1"/>
      <c r="B13" s="486" t="s">
        <v>147</v>
      </c>
      <c r="C13" s="634" t="s">
        <v>144</v>
      </c>
      <c r="D13" s="636" t="s">
        <v>136</v>
      </c>
      <c r="E13" s="644">
        <f>K10</f>
        <v>2001600</v>
      </c>
      <c r="F13" s="644">
        <f>L10</f>
        <v>2601600</v>
      </c>
      <c r="G13" s="644">
        <f>M10</f>
        <v>3201600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6.25" x14ac:dyDescent="0.4">
      <c r="A14" s="1"/>
      <c r="B14" s="474"/>
      <c r="C14" s="635"/>
      <c r="D14" s="637"/>
      <c r="E14" s="645"/>
      <c r="F14" s="645"/>
      <c r="G14" s="645"/>
      <c r="H14" s="1"/>
      <c r="I14" s="1"/>
      <c r="J14" s="1"/>
      <c r="K14" s="466" t="s">
        <v>18</v>
      </c>
      <c r="L14" s="386"/>
      <c r="M14" s="387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472"/>
      <c r="C15" s="110" t="s">
        <v>129</v>
      </c>
      <c r="D15" s="111" t="s">
        <v>136</v>
      </c>
      <c r="E15" s="112">
        <f>K11</f>
        <v>17039289.566</v>
      </c>
      <c r="F15" s="112">
        <f>L11</f>
        <v>18678081.659600001</v>
      </c>
      <c r="G15" s="112">
        <f>M11</f>
        <v>21934362.237200003</v>
      </c>
      <c r="H15" s="1"/>
      <c r="I15" s="1"/>
      <c r="J15" s="1"/>
      <c r="K15" s="237">
        <v>2021</v>
      </c>
      <c r="L15" s="237">
        <v>2022</v>
      </c>
      <c r="M15" s="237">
        <v>2023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480" t="s">
        <v>148</v>
      </c>
      <c r="C16" s="412"/>
      <c r="D16" s="113" t="s">
        <v>136</v>
      </c>
      <c r="E16" s="114">
        <f>E12-E13-E14-E15</f>
        <v>2519110.4340000004</v>
      </c>
      <c r="F16" s="114">
        <f>F12-F13-F14-F15</f>
        <v>41470318.340399995</v>
      </c>
      <c r="G16" s="115">
        <f>G12-G13-G14-G15</f>
        <v>80404037.762799993</v>
      </c>
      <c r="H16" s="1"/>
      <c r="I16" s="1"/>
      <c r="J16" s="1"/>
      <c r="K16" s="95">
        <f>Amortizaciones!$K$14</f>
        <v>306398.33333333331</v>
      </c>
      <c r="L16" s="95">
        <f>Amortizaciones!$L$14</f>
        <v>367678</v>
      </c>
      <c r="M16" s="95">
        <f>Amortizaciones!$M$14</f>
        <v>428957.66666666669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487" t="s">
        <v>149</v>
      </c>
      <c r="C17" s="485"/>
      <c r="D17" s="106" t="s">
        <v>136</v>
      </c>
      <c r="E17" s="107">
        <f>E12*0.03</f>
        <v>646800</v>
      </c>
      <c r="F17" s="107">
        <f>F12*0.03</f>
        <v>1882500</v>
      </c>
      <c r="G17" s="116">
        <f t="shared" ref="G17" si="0">G12*0.03</f>
        <v>3166200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6.25" x14ac:dyDescent="0.4">
      <c r="A18" s="1"/>
      <c r="B18" s="488" t="s">
        <v>150</v>
      </c>
      <c r="C18" s="376"/>
      <c r="D18" s="109"/>
      <c r="E18" s="98">
        <f>E16-E17-K16</f>
        <v>1565912.1006666671</v>
      </c>
      <c r="F18" s="98">
        <f t="shared" ref="F18:G18" si="1">F16-F17-L16</f>
        <v>39220140.340399995</v>
      </c>
      <c r="G18" s="100">
        <f t="shared" si="1"/>
        <v>76808880.096133322</v>
      </c>
      <c r="H18" s="1"/>
      <c r="I18" s="1"/>
      <c r="J18" s="466" t="s">
        <v>131</v>
      </c>
      <c r="K18" s="386"/>
      <c r="L18" s="386"/>
      <c r="M18" s="387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489" t="s">
        <v>151</v>
      </c>
      <c r="C19" s="490"/>
      <c r="D19" s="111" t="s">
        <v>136</v>
      </c>
      <c r="E19" s="112">
        <v>0</v>
      </c>
      <c r="F19" s="101">
        <f>(E16-E17)*0.35</f>
        <v>655308.65190000006</v>
      </c>
      <c r="G19" s="101">
        <f>(F16-F17)*0.35</f>
        <v>13855736.419139998</v>
      </c>
      <c r="H19" s="1"/>
      <c r="I19" s="1"/>
      <c r="J19" s="582" t="s">
        <v>132</v>
      </c>
      <c r="K19" s="583">
        <v>2019</v>
      </c>
      <c r="L19" s="583">
        <v>2020</v>
      </c>
      <c r="M19" s="584">
        <v>2021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480" t="s">
        <v>152</v>
      </c>
      <c r="C20" s="412"/>
      <c r="D20" s="113" t="s">
        <v>136</v>
      </c>
      <c r="E20" s="114">
        <f>E16-E17-E19</f>
        <v>1872310.4340000004</v>
      </c>
      <c r="F20" s="114">
        <f>F16-F17-F19</f>
        <v>38932509.688499995</v>
      </c>
      <c r="G20" s="115">
        <f>G16-G17-G19</f>
        <v>63382101.343659997</v>
      </c>
      <c r="H20" s="1"/>
      <c r="I20" s="1"/>
      <c r="J20" s="95">
        <f>'Mod. inversión'!$G$5</f>
        <v>11085995</v>
      </c>
      <c r="K20" s="96">
        <f>'Mod. inversión'!$H$5</f>
        <v>166800</v>
      </c>
      <c r="L20" s="96">
        <f>'Mod. inversión'!$I$5</f>
        <v>400639</v>
      </c>
      <c r="M20" s="97">
        <f>'Mod. inversión'!J5</f>
        <v>450639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481" t="s">
        <v>153</v>
      </c>
      <c r="C21" s="482"/>
      <c r="D21" s="117">
        <f t="shared" ref="D21:G21" si="2">-J20</f>
        <v>-11085995</v>
      </c>
      <c r="E21" s="118">
        <f>-K20</f>
        <v>-166800</v>
      </c>
      <c r="F21" s="118">
        <f t="shared" ref="F21" si="3">-L20</f>
        <v>-400639</v>
      </c>
      <c r="G21" s="118">
        <f t="shared" ref="G21" si="4">-M20</f>
        <v>-450639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480" t="s">
        <v>154</v>
      </c>
      <c r="C22" s="412"/>
      <c r="D22" s="120">
        <f>D21</f>
        <v>-11085995</v>
      </c>
      <c r="E22" s="114">
        <f t="shared" ref="E22:F22" si="5">E20+E21</f>
        <v>1705510.4340000004</v>
      </c>
      <c r="F22" s="114">
        <f t="shared" si="5"/>
        <v>38531870.688499995</v>
      </c>
      <c r="G22" s="115">
        <f>G20+G21</f>
        <v>62931462.343659997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61"/>
      <c r="K23" s="161"/>
      <c r="L23" s="16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61"/>
      <c r="K24" s="161"/>
      <c r="L24" s="16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61"/>
      <c r="K25" s="161"/>
      <c r="L25" s="16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21" t="s">
        <v>155</v>
      </c>
      <c r="G26" s="122">
        <v>1.1000000000000001</v>
      </c>
      <c r="H26" s="1"/>
      <c r="I26" s="1"/>
      <c r="J26" s="161"/>
      <c r="K26" s="161"/>
      <c r="L26" s="16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23" t="s">
        <v>156</v>
      </c>
      <c r="G27" s="124">
        <f>NPV(G26,D22:G22)</f>
        <v>2504218.5153536843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25" t="s">
        <v>157</v>
      </c>
      <c r="G28" s="126">
        <f>IRR(D22:G22,G26)</f>
        <v>1.4792728886642559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25">
      <c r="A31" s="1"/>
      <c r="B31" s="1"/>
      <c r="C31" s="1"/>
      <c r="D31" s="161"/>
      <c r="E31" s="161"/>
      <c r="F31" s="161"/>
      <c r="G31" s="161"/>
      <c r="H31" s="1"/>
      <c r="I31" s="127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61">
        <f>E12/$E15</f>
        <v>1.2653109694796534</v>
      </c>
      <c r="E32" s="161">
        <f>F12/F15</f>
        <v>3.3595527176501174</v>
      </c>
      <c r="F32" s="161">
        <f>G12/G15</f>
        <v>4.8116283873988097</v>
      </c>
      <c r="G32" s="161"/>
      <c r="H32" s="1"/>
      <c r="I32" s="12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61"/>
      <c r="E33" s="161"/>
      <c r="F33" s="161"/>
      <c r="G33" s="16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32"/>
      <c r="E36" s="32"/>
      <c r="F36" s="32"/>
      <c r="G36" s="32"/>
      <c r="H36" s="1"/>
      <c r="I36" s="3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3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28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4">
    <mergeCell ref="J11:J12"/>
    <mergeCell ref="K11:K12"/>
    <mergeCell ref="L11:L12"/>
    <mergeCell ref="M11:M12"/>
    <mergeCell ref="C13:C14"/>
    <mergeCell ref="D13:D14"/>
    <mergeCell ref="E13:E14"/>
    <mergeCell ref="F13:F14"/>
    <mergeCell ref="G13:G14"/>
    <mergeCell ref="B20:C20"/>
    <mergeCell ref="B21:C21"/>
    <mergeCell ref="B22:C22"/>
    <mergeCell ref="K3:M3"/>
    <mergeCell ref="K8:M8"/>
    <mergeCell ref="B10:G10"/>
    <mergeCell ref="B11:C11"/>
    <mergeCell ref="B12:C12"/>
    <mergeCell ref="B13:B15"/>
    <mergeCell ref="K14:M14"/>
    <mergeCell ref="B16:C16"/>
    <mergeCell ref="B17:C17"/>
    <mergeCell ref="B18:C18"/>
    <mergeCell ref="J18:M18"/>
    <mergeCell ref="B19:C19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23" sqref="D23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33.75" customWidth="1"/>
    <col min="4" max="4" width="35.5" customWidth="1"/>
    <col min="5" max="5" width="32.75" customWidth="1"/>
    <col min="6" max="7" width="10" customWidth="1"/>
    <col min="8" max="8" width="13.625" customWidth="1"/>
    <col min="9" max="26" width="10" customWidth="1"/>
  </cols>
  <sheetData>
    <row r="1" spans="1:26" ht="58.5" customHeight="1" x14ac:dyDescent="0.25">
      <c r="A1" s="9"/>
      <c r="B1" s="9"/>
      <c r="C1" s="9"/>
      <c r="D1" s="48" t="s">
        <v>20</v>
      </c>
      <c r="E1" s="9"/>
      <c r="F1" s="9"/>
      <c r="G1" s="67"/>
      <c r="H1" s="67"/>
      <c r="I1" s="9"/>
      <c r="J1" s="9"/>
      <c r="K1" s="9"/>
      <c r="L1" s="9"/>
      <c r="M1" s="9"/>
      <c r="N1" s="9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x14ac:dyDescent="0.4">
      <c r="A4" s="1"/>
      <c r="B4" s="479" t="s">
        <v>20</v>
      </c>
      <c r="C4" s="411"/>
      <c r="D4" s="411"/>
      <c r="E4" s="411"/>
      <c r="F4" s="411"/>
      <c r="G4" s="41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29" t="s">
        <v>158</v>
      </c>
      <c r="C5" s="130" t="s">
        <v>159</v>
      </c>
      <c r="D5" s="130" t="s">
        <v>160</v>
      </c>
      <c r="E5" s="130" t="s">
        <v>161</v>
      </c>
      <c r="F5" s="85" t="s">
        <v>162</v>
      </c>
      <c r="G5" s="131" t="s">
        <v>163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5" x14ac:dyDescent="0.25">
      <c r="A6" s="1"/>
      <c r="B6" s="132">
        <v>1</v>
      </c>
      <c r="C6" s="133" t="s">
        <v>179</v>
      </c>
      <c r="D6" s="134" t="s">
        <v>178</v>
      </c>
      <c r="E6" s="134" t="s">
        <v>180</v>
      </c>
      <c r="F6" s="135" t="s">
        <v>181</v>
      </c>
      <c r="G6" s="135" t="s">
        <v>181</v>
      </c>
      <c r="H6" s="137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5" x14ac:dyDescent="0.25">
      <c r="A7" s="1"/>
      <c r="B7" s="138">
        <v>2</v>
      </c>
      <c r="C7" s="139" t="s">
        <v>182</v>
      </c>
      <c r="D7" s="140" t="s">
        <v>183</v>
      </c>
      <c r="E7" s="140" t="s">
        <v>184</v>
      </c>
      <c r="F7" s="141" t="s">
        <v>181</v>
      </c>
      <c r="G7" s="141" t="s">
        <v>181</v>
      </c>
      <c r="H7" s="13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45" x14ac:dyDescent="0.25">
      <c r="A8" s="1"/>
      <c r="B8" s="142">
        <v>3</v>
      </c>
      <c r="C8" s="143" t="s">
        <v>185</v>
      </c>
      <c r="D8" s="134" t="s">
        <v>186</v>
      </c>
      <c r="E8" s="134" t="s">
        <v>187</v>
      </c>
      <c r="F8" s="135" t="s">
        <v>188</v>
      </c>
      <c r="G8" s="136" t="s">
        <v>189</v>
      </c>
      <c r="H8" s="13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7CF74-6350-40EB-AEED-ACC756C4F5E7}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E9FA-AB14-4B1E-A9CB-4856E7DDD5EF}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956FF-AB29-40B8-8DCE-A35582C5621A}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C41A-D8B3-4E06-B9A8-F2EC27351523}">
  <dimension ref="A2:O28"/>
  <sheetViews>
    <sheetView workbookViewId="0">
      <selection activeCell="O19" sqref="O19"/>
    </sheetView>
  </sheetViews>
  <sheetFormatPr baseColWidth="10" defaultColWidth="9" defaultRowHeight="14.25" x14ac:dyDescent="0.2"/>
  <cols>
    <col min="2" max="2" width="6.75" bestFit="1" customWidth="1"/>
    <col min="3" max="3" width="27.2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70.2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7" thickBot="1" x14ac:dyDescent="0.45">
      <c r="A3" s="1"/>
      <c r="B3" s="1"/>
      <c r="C3" s="1"/>
      <c r="D3" s="1"/>
      <c r="E3" s="1"/>
      <c r="F3" s="1"/>
      <c r="G3" s="1"/>
      <c r="H3" s="49"/>
      <c r="I3" s="1"/>
      <c r="J3" s="1"/>
      <c r="K3" s="473" t="s">
        <v>38</v>
      </c>
      <c r="L3" s="411"/>
      <c r="M3" s="412"/>
      <c r="O3" s="491" t="s">
        <v>179</v>
      </c>
    </row>
    <row r="4" spans="1:15" ht="15" x14ac:dyDescent="0.25">
      <c r="A4" s="1"/>
      <c r="B4" s="1"/>
      <c r="C4" s="1"/>
      <c r="D4" s="1"/>
      <c r="E4" s="1"/>
      <c r="F4" s="1"/>
      <c r="G4" s="1"/>
      <c r="H4" s="66"/>
      <c r="I4" s="1"/>
      <c r="J4" s="1"/>
      <c r="K4" s="68">
        <v>2021</v>
      </c>
      <c r="L4" s="68">
        <v>2022</v>
      </c>
      <c r="M4" s="68">
        <v>2023</v>
      </c>
      <c r="O4" s="492"/>
    </row>
    <row r="5" spans="1:15" ht="15.75" thickBot="1" x14ac:dyDescent="0.3">
      <c r="A5" s="1"/>
      <c r="B5" s="1"/>
      <c r="C5" s="1"/>
      <c r="D5" s="1"/>
      <c r="E5" s="1"/>
      <c r="F5" s="1"/>
      <c r="G5" s="1"/>
      <c r="H5" s="77"/>
      <c r="I5" s="1"/>
      <c r="J5" s="1"/>
      <c r="K5" s="93">
        <f>Hipótesis!$C$27</f>
        <v>0.13</v>
      </c>
      <c r="L5" s="93">
        <f>Hipótesis!$C$28</f>
        <v>0.25</v>
      </c>
      <c r="M5" s="93">
        <f>Hipótesis!$C$29</f>
        <v>0.35</v>
      </c>
      <c r="O5" s="475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9">
        <f>Hipótesis!$D$27</f>
        <v>8829600</v>
      </c>
      <c r="L6" s="69">
        <f>Hipótesis!$D$28</f>
        <v>16980000</v>
      </c>
      <c r="M6" s="69">
        <f>Hipótesis!$D$29</f>
        <v>23772000</v>
      </c>
      <c r="O6" s="80" t="s">
        <v>160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493" t="s">
        <v>178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9"/>
      <c r="I8" s="1"/>
      <c r="J8" s="1"/>
      <c r="K8" s="473" t="s">
        <v>143</v>
      </c>
      <c r="L8" s="411"/>
      <c r="M8" s="412"/>
      <c r="O8" s="492"/>
    </row>
    <row r="9" spans="1:15" ht="15.75" thickBot="1" x14ac:dyDescent="0.3">
      <c r="A9" s="1"/>
      <c r="B9" s="1"/>
      <c r="C9" s="1"/>
      <c r="D9" s="1"/>
      <c r="E9" s="1"/>
      <c r="F9" s="1"/>
      <c r="G9" s="1"/>
      <c r="H9" s="66"/>
      <c r="I9" s="1"/>
      <c r="J9" s="1"/>
      <c r="K9" s="68">
        <v>2021</v>
      </c>
      <c r="L9" s="68">
        <v>2022</v>
      </c>
      <c r="M9" s="68">
        <v>2023</v>
      </c>
      <c r="O9" s="475"/>
    </row>
    <row r="10" spans="1:15" ht="27" thickBot="1" x14ac:dyDescent="0.45">
      <c r="A10" s="1"/>
      <c r="B10" s="473" t="s">
        <v>142</v>
      </c>
      <c r="C10" s="411"/>
      <c r="D10" s="411"/>
      <c r="E10" s="411"/>
      <c r="F10" s="411"/>
      <c r="G10" s="412"/>
      <c r="H10" s="77"/>
      <c r="I10" s="1"/>
      <c r="J10" s="102" t="s">
        <v>144</v>
      </c>
      <c r="K10" s="103">
        <f>'Costos fijos'!$G$5</f>
        <v>2001600</v>
      </c>
      <c r="L10" s="69">
        <f>'Costos fijos'!$H$5</f>
        <v>2601600</v>
      </c>
      <c r="M10" s="104">
        <f>'Costos fijos'!$I$5</f>
        <v>3201600</v>
      </c>
      <c r="O10" s="80" t="s">
        <v>161</v>
      </c>
    </row>
    <row r="11" spans="1:15" ht="15.75" thickBot="1" x14ac:dyDescent="0.3">
      <c r="A11" s="1"/>
      <c r="B11" s="483" t="s">
        <v>145</v>
      </c>
      <c r="C11" s="412"/>
      <c r="D11" s="78" t="s">
        <v>146</v>
      </c>
      <c r="E11" s="79">
        <v>2021</v>
      </c>
      <c r="F11" s="79">
        <v>2022</v>
      </c>
      <c r="G11" s="105">
        <v>2023</v>
      </c>
      <c r="H11" s="1"/>
      <c r="I11" s="1"/>
      <c r="J11" s="102" t="s">
        <v>128</v>
      </c>
      <c r="K11" s="103" t="e">
        <f>#REF!</f>
        <v>#REF!</v>
      </c>
      <c r="L11" s="69" t="e">
        <f>#REF!</f>
        <v>#REF!</v>
      </c>
      <c r="M11" s="104" t="e">
        <f>#REF!</f>
        <v>#REF!</v>
      </c>
      <c r="O11" s="463" t="s">
        <v>180</v>
      </c>
    </row>
    <row r="12" spans="1:15" ht="15.75" thickBot="1" x14ac:dyDescent="0.3">
      <c r="A12" s="1"/>
      <c r="B12" s="484" t="s">
        <v>54</v>
      </c>
      <c r="C12" s="485"/>
      <c r="D12" s="106" t="s">
        <v>136</v>
      </c>
      <c r="E12" s="107">
        <f>+'Mod. ingresos'!C20</f>
        <v>21560000</v>
      </c>
      <c r="F12" s="107">
        <f>+'Mod. ingresos'!D20*0.8</f>
        <v>50200000</v>
      </c>
      <c r="G12" s="107">
        <f>+'Mod. ingresos'!E20*0.73</f>
        <v>77044200</v>
      </c>
      <c r="H12" s="1"/>
      <c r="I12" s="1"/>
      <c r="J12" s="102" t="s">
        <v>129</v>
      </c>
      <c r="K12" s="28">
        <f>'Costos RRHH'!$H$6</f>
        <v>17039289.566</v>
      </c>
      <c r="L12" s="29">
        <f>'Costos RRHH'!$I$6</f>
        <v>18678081.659600001</v>
      </c>
      <c r="M12" s="30">
        <f>'Costos RRHH'!$J$6</f>
        <v>21934362.237200003</v>
      </c>
      <c r="O12" s="464"/>
    </row>
    <row r="13" spans="1:15" ht="15.75" thickBot="1" x14ac:dyDescent="0.3">
      <c r="A13" s="1"/>
      <c r="B13" s="486" t="s">
        <v>147</v>
      </c>
      <c r="C13" s="108" t="s">
        <v>144</v>
      </c>
      <c r="D13" s="109" t="s">
        <v>136</v>
      </c>
      <c r="E13" s="98">
        <f>K10</f>
        <v>2001600</v>
      </c>
      <c r="F13" s="98">
        <f>L10</f>
        <v>2601600</v>
      </c>
      <c r="G13" s="100">
        <f t="shared" ref="G13" si="0">M10</f>
        <v>3201600</v>
      </c>
      <c r="H13" s="1"/>
      <c r="I13" s="1"/>
      <c r="J13" s="1"/>
      <c r="K13" s="1"/>
      <c r="L13" s="1"/>
      <c r="M13" s="1"/>
    </row>
    <row r="14" spans="1:15" ht="27" thickBot="1" x14ac:dyDescent="0.45">
      <c r="A14" s="1"/>
      <c r="B14" s="474"/>
      <c r="C14" s="108" t="s">
        <v>128</v>
      </c>
      <c r="D14" s="109" t="s">
        <v>136</v>
      </c>
      <c r="E14" s="98" t="e">
        <f t="shared" ref="E14:G15" si="1">K11</f>
        <v>#REF!</v>
      </c>
      <c r="F14" s="98" t="e">
        <f t="shared" si="1"/>
        <v>#REF!</v>
      </c>
      <c r="G14" s="98" t="e">
        <f t="shared" si="1"/>
        <v>#REF!</v>
      </c>
      <c r="H14" s="1"/>
      <c r="I14" s="1"/>
      <c r="J14" s="1"/>
      <c r="K14" s="473" t="s">
        <v>18</v>
      </c>
      <c r="L14" s="411"/>
      <c r="M14" s="412"/>
    </row>
    <row r="15" spans="1:15" ht="15.75" thickBot="1" x14ac:dyDescent="0.3">
      <c r="A15" s="1"/>
      <c r="B15" s="472"/>
      <c r="C15" s="110" t="s">
        <v>129</v>
      </c>
      <c r="D15" s="111" t="s">
        <v>136</v>
      </c>
      <c r="E15" s="112">
        <f>K12</f>
        <v>17039289.566</v>
      </c>
      <c r="F15" s="112">
        <f t="shared" si="1"/>
        <v>18678081.659600001</v>
      </c>
      <c r="G15" s="112">
        <f t="shared" si="1"/>
        <v>21934362.237200003</v>
      </c>
      <c r="H15" s="1"/>
      <c r="I15" s="1"/>
      <c r="J15" s="1"/>
      <c r="K15" s="68">
        <v>2021</v>
      </c>
      <c r="L15" s="68">
        <v>2022</v>
      </c>
      <c r="M15" s="68">
        <v>2023</v>
      </c>
    </row>
    <row r="16" spans="1:15" ht="15.75" thickBot="1" x14ac:dyDescent="0.3">
      <c r="A16" s="1"/>
      <c r="B16" s="480" t="s">
        <v>148</v>
      </c>
      <c r="C16" s="412"/>
      <c r="D16" s="113" t="s">
        <v>136</v>
      </c>
      <c r="E16" s="114" t="e">
        <f>E12-E13-E14-E15</f>
        <v>#REF!</v>
      </c>
      <c r="F16" s="114" t="e">
        <f>F12-F13-F14-F15</f>
        <v>#REF!</v>
      </c>
      <c r="G16" s="115" t="e">
        <f>G12-G13-G14-G15</f>
        <v>#REF!</v>
      </c>
      <c r="H16" s="1"/>
      <c r="I16" s="1"/>
      <c r="J16" s="1"/>
      <c r="K16" s="95">
        <f>Amortizaciones!$K$14</f>
        <v>306398.33333333331</v>
      </c>
      <c r="L16" s="95">
        <f>Amortizaciones!$L$14</f>
        <v>367678</v>
      </c>
      <c r="M16" s="95">
        <f>Amortizaciones!$M$14</f>
        <v>428957.66666666669</v>
      </c>
    </row>
    <row r="17" spans="1:13" ht="15.75" thickBot="1" x14ac:dyDescent="0.3">
      <c r="A17" s="1"/>
      <c r="B17" s="487" t="s">
        <v>149</v>
      </c>
      <c r="C17" s="485"/>
      <c r="D17" s="106" t="s">
        <v>136</v>
      </c>
      <c r="E17" s="107">
        <f>E12*0.03</f>
        <v>646800</v>
      </c>
      <c r="F17" s="107">
        <f>F12*0.03</f>
        <v>1506000</v>
      </c>
      <c r="G17" s="116">
        <f t="shared" ref="G17" si="2">G12*0.03</f>
        <v>2311326</v>
      </c>
      <c r="H17" s="1"/>
      <c r="I17" s="1"/>
      <c r="J17" s="1"/>
      <c r="K17" s="1"/>
      <c r="L17" s="1"/>
      <c r="M17" s="1"/>
    </row>
    <row r="18" spans="1:13" ht="27" thickBot="1" x14ac:dyDescent="0.45">
      <c r="A18" s="1"/>
      <c r="B18" s="488" t="s">
        <v>150</v>
      </c>
      <c r="C18" s="376"/>
      <c r="D18" s="109"/>
      <c r="E18" s="98" t="e">
        <f>E16-E17-K16</f>
        <v>#REF!</v>
      </c>
      <c r="F18" s="98" t="e">
        <f t="shared" ref="F18:G18" si="3">F16-F17-L16</f>
        <v>#REF!</v>
      </c>
      <c r="G18" s="100" t="e">
        <f t="shared" si="3"/>
        <v>#REF!</v>
      </c>
      <c r="H18" s="1"/>
      <c r="I18" s="1"/>
      <c r="J18" s="473" t="s">
        <v>131</v>
      </c>
      <c r="K18" s="411"/>
      <c r="L18" s="411"/>
      <c r="M18" s="412"/>
    </row>
    <row r="19" spans="1:13" ht="15.75" thickBot="1" x14ac:dyDescent="0.3">
      <c r="A19" s="1"/>
      <c r="B19" s="489" t="s">
        <v>151</v>
      </c>
      <c r="C19" s="490"/>
      <c r="D19" s="111" t="s">
        <v>136</v>
      </c>
      <c r="E19" s="112">
        <v>0</v>
      </c>
      <c r="F19" s="101" t="e">
        <f>(E16-E17)*0.35</f>
        <v>#REF!</v>
      </c>
      <c r="G19" s="101" t="e">
        <f>(F16-F17)*0.35</f>
        <v>#REF!</v>
      </c>
      <c r="H19" s="1"/>
      <c r="I19" s="1"/>
      <c r="J19" s="89" t="s">
        <v>132</v>
      </c>
      <c r="K19" s="90">
        <v>2019</v>
      </c>
      <c r="L19" s="90">
        <v>2020</v>
      </c>
      <c r="M19" s="91">
        <v>2021</v>
      </c>
    </row>
    <row r="20" spans="1:13" ht="15.75" thickBot="1" x14ac:dyDescent="0.3">
      <c r="A20" s="1"/>
      <c r="B20" s="480" t="s">
        <v>152</v>
      </c>
      <c r="C20" s="412"/>
      <c r="D20" s="113" t="s">
        <v>136</v>
      </c>
      <c r="E20" s="114" t="e">
        <f>E16-E17-E19</f>
        <v>#REF!</v>
      </c>
      <c r="F20" s="114" t="e">
        <f>F16-F17-F19</f>
        <v>#REF!</v>
      </c>
      <c r="G20" s="115" t="e">
        <f>G16-G17-G19</f>
        <v>#REF!</v>
      </c>
      <c r="H20" s="1"/>
      <c r="I20" s="1"/>
      <c r="J20" s="95">
        <f>'Mod. inversión'!$G$5</f>
        <v>11085995</v>
      </c>
      <c r="K20" s="96">
        <f>'Mod. inversión'!$H$5</f>
        <v>166800</v>
      </c>
      <c r="L20" s="96">
        <f>'Mod. inversión'!$I$5</f>
        <v>400639</v>
      </c>
      <c r="M20" s="97" t="e">
        <f>'Mod. inversión'!#REF!</f>
        <v>#REF!</v>
      </c>
    </row>
    <row r="21" spans="1:13" ht="15.75" thickBot="1" x14ac:dyDescent="0.3">
      <c r="A21" s="1"/>
      <c r="B21" s="481" t="s">
        <v>153</v>
      </c>
      <c r="C21" s="482"/>
      <c r="D21" s="117">
        <f t="shared" ref="D21:G21" si="4">-J20</f>
        <v>-11085995</v>
      </c>
      <c r="E21" s="118">
        <f t="shared" si="4"/>
        <v>-166800</v>
      </c>
      <c r="F21" s="118">
        <f t="shared" si="4"/>
        <v>-400639</v>
      </c>
      <c r="G21" s="119" t="e">
        <f t="shared" si="4"/>
        <v>#REF!</v>
      </c>
      <c r="H21" s="1"/>
      <c r="I21" s="1"/>
      <c r="J21" s="1"/>
      <c r="K21" s="1"/>
      <c r="L21" s="1"/>
      <c r="M21" s="1"/>
    </row>
    <row r="22" spans="1:13" ht="15.75" thickBot="1" x14ac:dyDescent="0.3">
      <c r="A22" s="1"/>
      <c r="B22" s="480" t="s">
        <v>154</v>
      </c>
      <c r="C22" s="412"/>
      <c r="D22" s="120">
        <f>D21</f>
        <v>-11085995</v>
      </c>
      <c r="E22" s="114" t="e">
        <f t="shared" ref="E22:F22" si="5">E20+E21</f>
        <v>#REF!</v>
      </c>
      <c r="F22" s="114" t="e">
        <f t="shared" si="5"/>
        <v>#REF!</v>
      </c>
      <c r="G22" s="115" t="e">
        <f>G20+G21</f>
        <v>#REF!</v>
      </c>
      <c r="H22" s="1"/>
      <c r="I22" s="1"/>
      <c r="J22" s="1"/>
      <c r="K22" s="1"/>
      <c r="L22" s="1"/>
      <c r="M22" s="1"/>
    </row>
    <row r="23" spans="1:13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61"/>
      <c r="K23" s="161"/>
      <c r="L23" s="161"/>
      <c r="M23" s="1"/>
    </row>
    <row r="24" spans="1:13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61"/>
      <c r="K24" s="161"/>
      <c r="L24" s="161"/>
      <c r="M24" s="1"/>
    </row>
    <row r="25" spans="1:13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61"/>
      <c r="K25" s="161"/>
      <c r="L25" s="161"/>
      <c r="M25" s="1"/>
    </row>
    <row r="26" spans="1:13" ht="15" x14ac:dyDescent="0.25">
      <c r="A26" s="1"/>
      <c r="B26" s="1"/>
      <c r="C26" s="1"/>
      <c r="D26" s="1"/>
      <c r="E26" s="1"/>
      <c r="F26" s="121" t="s">
        <v>155</v>
      </c>
      <c r="G26" s="122">
        <v>0.7</v>
      </c>
      <c r="H26" s="1"/>
      <c r="I26" s="1"/>
      <c r="J26" s="161"/>
      <c r="K26" s="161"/>
      <c r="L26" s="161"/>
      <c r="M26" s="1"/>
    </row>
    <row r="27" spans="1:13" ht="15" x14ac:dyDescent="0.25">
      <c r="A27" s="1"/>
      <c r="B27" s="1"/>
      <c r="C27" s="1"/>
      <c r="D27" s="1"/>
      <c r="E27" s="1"/>
      <c r="F27" s="123" t="s">
        <v>156</v>
      </c>
      <c r="G27" s="124" t="e">
        <f>NPV(G26,D22:G22)</f>
        <v>#REF!</v>
      </c>
      <c r="H27" s="1"/>
      <c r="I27" s="1"/>
      <c r="J27" s="1"/>
      <c r="K27" s="1"/>
      <c r="L27" s="1"/>
      <c r="M27" s="1"/>
    </row>
    <row r="28" spans="1:13" ht="15.75" thickBot="1" x14ac:dyDescent="0.3">
      <c r="A28" s="1"/>
      <c r="B28" s="1"/>
      <c r="C28" s="1"/>
      <c r="D28" s="1"/>
      <c r="E28" s="1"/>
      <c r="F28" s="125" t="s">
        <v>157</v>
      </c>
      <c r="G28" s="126" t="e">
        <f>IRR(D22:G22,G26)</f>
        <v>#VALUE!</v>
      </c>
      <c r="H28" s="1"/>
      <c r="I28" s="1"/>
      <c r="J28" s="1"/>
      <c r="K28" s="1"/>
      <c r="L28" s="1"/>
      <c r="M28" s="1"/>
    </row>
  </sheetData>
  <mergeCells count="18">
    <mergeCell ref="J18:M18"/>
    <mergeCell ref="B19:C19"/>
    <mergeCell ref="B20:C20"/>
    <mergeCell ref="B21:C21"/>
    <mergeCell ref="B22:C22"/>
    <mergeCell ref="K14:M14"/>
    <mergeCell ref="O3:O5"/>
    <mergeCell ref="O7:O9"/>
    <mergeCell ref="O11:O12"/>
    <mergeCell ref="K3:M3"/>
    <mergeCell ref="K8:M8"/>
    <mergeCell ref="B16:C16"/>
    <mergeCell ref="B17:C17"/>
    <mergeCell ref="B18:C18"/>
    <mergeCell ref="B10:G10"/>
    <mergeCell ref="B11:C11"/>
    <mergeCell ref="B12:C12"/>
    <mergeCell ref="B13:B1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EA0D-D02E-4A87-AD07-4C24F62DF44F}">
  <dimension ref="A2:O28"/>
  <sheetViews>
    <sheetView workbookViewId="0">
      <selection activeCell="K28" sqref="K28"/>
    </sheetView>
  </sheetViews>
  <sheetFormatPr baseColWidth="10" defaultColWidth="9" defaultRowHeight="14.25" x14ac:dyDescent="0.2"/>
  <cols>
    <col min="2" max="2" width="6.75" bestFit="1" customWidth="1"/>
    <col min="3" max="3" width="25.37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70.37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7" thickBot="1" x14ac:dyDescent="0.45">
      <c r="A3" s="1"/>
      <c r="B3" s="1"/>
      <c r="C3" s="1"/>
      <c r="D3" s="1"/>
      <c r="E3" s="1"/>
      <c r="F3" s="1"/>
      <c r="G3" s="1"/>
      <c r="H3" s="49"/>
      <c r="I3" s="1"/>
      <c r="J3" s="1"/>
      <c r="K3" s="473" t="s">
        <v>38</v>
      </c>
      <c r="L3" s="411"/>
      <c r="M3" s="412"/>
      <c r="O3" s="491" t="s">
        <v>182</v>
      </c>
    </row>
    <row r="4" spans="1:15" ht="15" x14ac:dyDescent="0.25">
      <c r="A4" s="1"/>
      <c r="B4" s="1"/>
      <c r="C4" s="1"/>
      <c r="D4" s="1"/>
      <c r="E4" s="1"/>
      <c r="F4" s="1"/>
      <c r="G4" s="1"/>
      <c r="H4" s="66"/>
      <c r="I4" s="1"/>
      <c r="J4" s="1"/>
      <c r="K4" s="68">
        <v>2021</v>
      </c>
      <c r="L4" s="68">
        <v>2022</v>
      </c>
      <c r="M4" s="68">
        <v>2023</v>
      </c>
      <c r="O4" s="492"/>
    </row>
    <row r="5" spans="1:15" ht="15.75" thickBot="1" x14ac:dyDescent="0.3">
      <c r="A5" s="1"/>
      <c r="B5" s="1"/>
      <c r="C5" s="1"/>
      <c r="D5" s="1"/>
      <c r="E5" s="1"/>
      <c r="F5" s="1"/>
      <c r="G5" s="1"/>
      <c r="H5" s="77"/>
      <c r="I5" s="1"/>
      <c r="J5" s="1"/>
      <c r="K5" s="93">
        <f>Hipótesis!$C$27</f>
        <v>0.13</v>
      </c>
      <c r="L5" s="93">
        <f>Hipótesis!$C$28</f>
        <v>0.25</v>
      </c>
      <c r="M5" s="93">
        <f>Hipótesis!$C$29</f>
        <v>0.35</v>
      </c>
      <c r="O5" s="475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9">
        <f>Hipótesis!$D$27</f>
        <v>8829600</v>
      </c>
      <c r="L6" s="69">
        <f>Hipótesis!$D$28</f>
        <v>16980000</v>
      </c>
      <c r="M6" s="69">
        <f>Hipótesis!$D$29</f>
        <v>23772000</v>
      </c>
      <c r="O6" s="80" t="s">
        <v>160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493" t="s">
        <v>183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9"/>
      <c r="I8" s="1"/>
      <c r="J8" s="1"/>
      <c r="K8" s="473" t="s">
        <v>143</v>
      </c>
      <c r="L8" s="411"/>
      <c r="M8" s="412"/>
      <c r="O8" s="492"/>
    </row>
    <row r="9" spans="1:15" ht="15.75" thickBot="1" x14ac:dyDescent="0.3">
      <c r="A9" s="1"/>
      <c r="B9" s="1"/>
      <c r="C9" s="1"/>
      <c r="D9" s="1"/>
      <c r="E9" s="1"/>
      <c r="F9" s="1"/>
      <c r="G9" s="1"/>
      <c r="H9" s="66"/>
      <c r="I9" s="1"/>
      <c r="J9" s="1"/>
      <c r="K9" s="68">
        <v>2021</v>
      </c>
      <c r="L9" s="68">
        <v>2022</v>
      </c>
      <c r="M9" s="68">
        <v>2023</v>
      </c>
      <c r="O9" s="475"/>
    </row>
    <row r="10" spans="1:15" ht="27" thickBot="1" x14ac:dyDescent="0.45">
      <c r="A10" s="1"/>
      <c r="B10" s="473" t="s">
        <v>142</v>
      </c>
      <c r="C10" s="411"/>
      <c r="D10" s="411"/>
      <c r="E10" s="411"/>
      <c r="F10" s="411"/>
      <c r="G10" s="412"/>
      <c r="H10" s="77"/>
      <c r="I10" s="1"/>
      <c r="J10" s="102" t="s">
        <v>144</v>
      </c>
      <c r="K10" s="103">
        <f>'Costos fijos'!$G$5</f>
        <v>2001600</v>
      </c>
      <c r="L10" s="69">
        <f>'Costos fijos'!$H$5</f>
        <v>2601600</v>
      </c>
      <c r="M10" s="104">
        <f>'Costos fijos'!$I$5</f>
        <v>3201600</v>
      </c>
      <c r="O10" s="80" t="s">
        <v>161</v>
      </c>
    </row>
    <row r="11" spans="1:15" ht="15.75" thickBot="1" x14ac:dyDescent="0.3">
      <c r="A11" s="1"/>
      <c r="B11" s="483" t="s">
        <v>145</v>
      </c>
      <c r="C11" s="412"/>
      <c r="D11" s="78" t="s">
        <v>146</v>
      </c>
      <c r="E11" s="79">
        <v>2021</v>
      </c>
      <c r="F11" s="79">
        <v>2022</v>
      </c>
      <c r="G11" s="105">
        <v>2023</v>
      </c>
      <c r="H11" s="1"/>
      <c r="I11" s="1"/>
      <c r="J11" s="102" t="s">
        <v>128</v>
      </c>
      <c r="K11" s="103" t="e">
        <f>#REF!</f>
        <v>#REF!</v>
      </c>
      <c r="L11" s="69" t="e">
        <f>#REF!</f>
        <v>#REF!</v>
      </c>
      <c r="M11" s="104" t="e">
        <f>#REF!</f>
        <v>#REF!</v>
      </c>
      <c r="O11" s="463" t="s">
        <v>184</v>
      </c>
    </row>
    <row r="12" spans="1:15" ht="15.75" thickBot="1" x14ac:dyDescent="0.3">
      <c r="A12" s="1"/>
      <c r="B12" s="507" t="s">
        <v>54</v>
      </c>
      <c r="C12" s="504"/>
      <c r="D12" s="176" t="s">
        <v>136</v>
      </c>
      <c r="E12" s="177">
        <f>+'Mod. ingresos'!C20</f>
        <v>21560000</v>
      </c>
      <c r="F12" s="184">
        <f>+'Mod. ingresos'!D20*0.9</f>
        <v>56475000</v>
      </c>
      <c r="G12" s="184">
        <f>+'Mod. ingresos'!E20*0.83</f>
        <v>87598200</v>
      </c>
      <c r="H12" s="1"/>
      <c r="I12" s="1"/>
      <c r="J12" s="102" t="s">
        <v>129</v>
      </c>
      <c r="K12" s="28">
        <f>'Costos RRHH'!$H$6</f>
        <v>17039289.566</v>
      </c>
      <c r="L12" s="29">
        <f>'Costos RRHH'!$I$6</f>
        <v>18678081.659600001</v>
      </c>
      <c r="M12" s="30">
        <f>'Costos RRHH'!$J$6</f>
        <v>21934362.237200003</v>
      </c>
      <c r="O12" s="464"/>
    </row>
    <row r="13" spans="1:15" ht="15.75" thickBot="1" x14ac:dyDescent="0.3">
      <c r="A13" s="1"/>
      <c r="B13" s="500" t="s">
        <v>147</v>
      </c>
      <c r="C13" s="166" t="s">
        <v>144</v>
      </c>
      <c r="D13" s="167" t="s">
        <v>136</v>
      </c>
      <c r="E13" s="168">
        <f>K10</f>
        <v>2001600</v>
      </c>
      <c r="F13" s="168">
        <f>L10</f>
        <v>2601600</v>
      </c>
      <c r="G13" s="169">
        <f t="shared" ref="G13" si="0">M10</f>
        <v>3201600</v>
      </c>
      <c r="H13" s="1"/>
      <c r="I13" s="1"/>
      <c r="J13" s="1"/>
      <c r="K13" s="1"/>
      <c r="L13" s="1"/>
      <c r="M13" s="1"/>
    </row>
    <row r="14" spans="1:15" ht="27" thickBot="1" x14ac:dyDescent="0.45">
      <c r="A14" s="1"/>
      <c r="B14" s="501"/>
      <c r="C14" s="166" t="s">
        <v>128</v>
      </c>
      <c r="D14" s="167" t="s">
        <v>136</v>
      </c>
      <c r="E14" s="168" t="e">
        <f t="shared" ref="E14" si="1">K11</f>
        <v>#REF!</v>
      </c>
      <c r="F14" s="168" t="e">
        <f>L11*0.9</f>
        <v>#REF!</v>
      </c>
      <c r="G14" s="168" t="e">
        <f>M11*0.9</f>
        <v>#REF!</v>
      </c>
      <c r="H14" s="1"/>
      <c r="I14" s="1"/>
      <c r="J14" s="1"/>
      <c r="K14" s="473" t="s">
        <v>18</v>
      </c>
      <c r="L14" s="411"/>
      <c r="M14" s="412"/>
    </row>
    <row r="15" spans="1:15" ht="15.75" thickBot="1" x14ac:dyDescent="0.3">
      <c r="A15" s="1"/>
      <c r="B15" s="502"/>
      <c r="C15" s="170" t="s">
        <v>129</v>
      </c>
      <c r="D15" s="171" t="s">
        <v>136</v>
      </c>
      <c r="E15" s="172">
        <f>K12</f>
        <v>17039289.566</v>
      </c>
      <c r="F15" s="172">
        <f>L12</f>
        <v>18678081.659600001</v>
      </c>
      <c r="G15" s="172">
        <f>M12</f>
        <v>21934362.237200003</v>
      </c>
      <c r="H15" s="1"/>
      <c r="I15" s="1"/>
      <c r="J15" s="1"/>
      <c r="K15" s="68">
        <v>2021</v>
      </c>
      <c r="L15" s="68">
        <v>2022</v>
      </c>
      <c r="M15" s="68">
        <v>2023</v>
      </c>
    </row>
    <row r="16" spans="1:15" ht="15.75" thickBot="1" x14ac:dyDescent="0.3">
      <c r="A16" s="1"/>
      <c r="B16" s="496" t="s">
        <v>148</v>
      </c>
      <c r="C16" s="497"/>
      <c r="D16" s="173" t="s">
        <v>136</v>
      </c>
      <c r="E16" s="174" t="e">
        <f>E12-E13-E14-E15</f>
        <v>#REF!</v>
      </c>
      <c r="F16" s="174" t="e">
        <f>F12-F13-F14-F15</f>
        <v>#REF!</v>
      </c>
      <c r="G16" s="175" t="e">
        <f>G12-G13-G14-G15</f>
        <v>#REF!</v>
      </c>
      <c r="H16" s="1"/>
      <c r="I16" s="1"/>
      <c r="J16" s="1"/>
      <c r="K16" s="95">
        <f>Amortizaciones!$K$14</f>
        <v>306398.33333333331</v>
      </c>
      <c r="L16" s="95">
        <f>Amortizaciones!$L$14</f>
        <v>367678</v>
      </c>
      <c r="M16" s="95">
        <f>Amortizaciones!$M$14</f>
        <v>428957.66666666669</v>
      </c>
    </row>
    <row r="17" spans="1:13" ht="15.75" thickBot="1" x14ac:dyDescent="0.3">
      <c r="A17" s="1"/>
      <c r="B17" s="503" t="s">
        <v>149</v>
      </c>
      <c r="C17" s="504"/>
      <c r="D17" s="176" t="s">
        <v>136</v>
      </c>
      <c r="E17" s="177">
        <f>E12*0.03</f>
        <v>646800</v>
      </c>
      <c r="F17" s="177">
        <f>F12*0.03</f>
        <v>1694250</v>
      </c>
      <c r="G17" s="178">
        <f t="shared" ref="G17" si="2">G12*0.03</f>
        <v>2627946</v>
      </c>
      <c r="H17" s="1"/>
      <c r="I17" s="1"/>
      <c r="J17" s="1"/>
      <c r="K17" s="1"/>
      <c r="L17" s="1"/>
      <c r="M17" s="1"/>
    </row>
    <row r="18" spans="1:13" ht="27" thickBot="1" x14ac:dyDescent="0.45">
      <c r="A18" s="1"/>
      <c r="B18" s="505" t="s">
        <v>150</v>
      </c>
      <c r="C18" s="506"/>
      <c r="D18" s="167"/>
      <c r="E18" s="168" t="e">
        <f>E16-E17-K16</f>
        <v>#REF!</v>
      </c>
      <c r="F18" s="168" t="e">
        <f t="shared" ref="F18:G18" si="3">F16-F17-L16</f>
        <v>#REF!</v>
      </c>
      <c r="G18" s="169" t="e">
        <f t="shared" si="3"/>
        <v>#REF!</v>
      </c>
      <c r="H18" s="1"/>
      <c r="I18" s="1"/>
      <c r="J18" s="473" t="s">
        <v>131</v>
      </c>
      <c r="K18" s="411"/>
      <c r="L18" s="411"/>
      <c r="M18" s="412"/>
    </row>
    <row r="19" spans="1:13" ht="15.75" thickBot="1" x14ac:dyDescent="0.3">
      <c r="A19" s="1"/>
      <c r="B19" s="494" t="s">
        <v>151</v>
      </c>
      <c r="C19" s="495"/>
      <c r="D19" s="171" t="s">
        <v>136</v>
      </c>
      <c r="E19" s="172">
        <v>0</v>
      </c>
      <c r="F19" s="179" t="e">
        <f>(E16-E17)*0.35</f>
        <v>#REF!</v>
      </c>
      <c r="G19" s="179" t="e">
        <f>(F16-F17)*0.35</f>
        <v>#REF!</v>
      </c>
      <c r="H19" s="1"/>
      <c r="I19" s="1"/>
      <c r="J19" s="89" t="s">
        <v>132</v>
      </c>
      <c r="K19" s="90">
        <v>2019</v>
      </c>
      <c r="L19" s="90">
        <v>2020</v>
      </c>
      <c r="M19" s="91">
        <v>2021</v>
      </c>
    </row>
    <row r="20" spans="1:13" ht="15.75" thickBot="1" x14ac:dyDescent="0.3">
      <c r="A20" s="1"/>
      <c r="B20" s="496" t="s">
        <v>152</v>
      </c>
      <c r="C20" s="497"/>
      <c r="D20" s="173" t="s">
        <v>136</v>
      </c>
      <c r="E20" s="174" t="e">
        <f>E16-E17-E19</f>
        <v>#REF!</v>
      </c>
      <c r="F20" s="174" t="e">
        <f>F16-F17-F19</f>
        <v>#REF!</v>
      </c>
      <c r="G20" s="175" t="e">
        <f>G16-G17-G19</f>
        <v>#REF!</v>
      </c>
      <c r="H20" s="1"/>
      <c r="I20" s="1"/>
      <c r="J20" s="95">
        <f>'Mod. inversión'!$G$5</f>
        <v>11085995</v>
      </c>
      <c r="K20" s="96">
        <f>'Mod. inversión'!$H$5</f>
        <v>166800</v>
      </c>
      <c r="L20" s="96">
        <f>'Mod. inversión'!$I$5</f>
        <v>400639</v>
      </c>
      <c r="M20" s="97" t="e">
        <f>'Mod. inversión'!#REF!</f>
        <v>#REF!</v>
      </c>
    </row>
    <row r="21" spans="1:13" ht="15.75" thickBot="1" x14ac:dyDescent="0.3">
      <c r="A21" s="1"/>
      <c r="B21" s="498" t="s">
        <v>153</v>
      </c>
      <c r="C21" s="499"/>
      <c r="D21" s="180">
        <f t="shared" ref="D21:G21" si="4">-J20</f>
        <v>-11085995</v>
      </c>
      <c r="E21" s="181">
        <f t="shared" si="4"/>
        <v>-166800</v>
      </c>
      <c r="F21" s="181">
        <f t="shared" si="4"/>
        <v>-400639</v>
      </c>
      <c r="G21" s="182" t="e">
        <f t="shared" si="4"/>
        <v>#REF!</v>
      </c>
      <c r="H21" s="1"/>
      <c r="I21" s="1"/>
      <c r="J21" s="1"/>
      <c r="K21" s="1"/>
      <c r="L21" s="1"/>
      <c r="M21" s="1"/>
    </row>
    <row r="22" spans="1:13" ht="15.75" thickBot="1" x14ac:dyDescent="0.3">
      <c r="A22" s="1"/>
      <c r="B22" s="496" t="s">
        <v>154</v>
      </c>
      <c r="C22" s="497"/>
      <c r="D22" s="183">
        <f>D21</f>
        <v>-11085995</v>
      </c>
      <c r="E22" s="174" t="e">
        <f t="shared" ref="E22:F22" si="5">E20+E21</f>
        <v>#REF!</v>
      </c>
      <c r="F22" s="174" t="e">
        <f t="shared" si="5"/>
        <v>#REF!</v>
      </c>
      <c r="G22" s="175" t="e">
        <f>G20+G21</f>
        <v>#REF!</v>
      </c>
      <c r="H22" s="1"/>
      <c r="I22" s="1"/>
      <c r="J22" s="1"/>
      <c r="K22" s="1"/>
      <c r="L22" s="1"/>
      <c r="M22" s="1"/>
    </row>
    <row r="23" spans="1:13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61"/>
      <c r="K23" s="161"/>
      <c r="L23" s="161"/>
      <c r="M23" s="1"/>
    </row>
    <row r="24" spans="1:13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61"/>
      <c r="K24" s="161"/>
      <c r="L24" s="161"/>
      <c r="M24" s="1"/>
    </row>
    <row r="25" spans="1:13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61"/>
      <c r="K25" s="161"/>
      <c r="L25" s="161"/>
      <c r="M25" s="1"/>
    </row>
    <row r="26" spans="1:13" ht="15" x14ac:dyDescent="0.25">
      <c r="A26" s="1"/>
      <c r="B26" s="1"/>
      <c r="C26" s="1"/>
      <c r="D26" s="1"/>
      <c r="E26" s="1"/>
      <c r="F26" s="121" t="s">
        <v>155</v>
      </c>
      <c r="G26" s="122">
        <v>0.7</v>
      </c>
      <c r="H26" s="1"/>
      <c r="I26" s="1"/>
      <c r="J26" s="161"/>
      <c r="K26" s="161"/>
      <c r="L26" s="161"/>
      <c r="M26" s="1"/>
    </row>
    <row r="27" spans="1:13" ht="15" x14ac:dyDescent="0.25">
      <c r="A27" s="1"/>
      <c r="B27" s="1"/>
      <c r="C27" s="1"/>
      <c r="D27" s="1"/>
      <c r="E27" s="1"/>
      <c r="F27" s="123" t="s">
        <v>156</v>
      </c>
      <c r="G27" s="124" t="e">
        <f>NPV(G26,D22:G22)</f>
        <v>#REF!</v>
      </c>
      <c r="H27" s="1"/>
      <c r="I27" s="1"/>
      <c r="J27" s="1"/>
      <c r="K27" s="1"/>
      <c r="L27" s="1"/>
      <c r="M27" s="1"/>
    </row>
    <row r="28" spans="1:13" ht="15.75" thickBot="1" x14ac:dyDescent="0.3">
      <c r="A28" s="1"/>
      <c r="B28" s="1"/>
      <c r="C28" s="1"/>
      <c r="D28" s="1"/>
      <c r="E28" s="1"/>
      <c r="F28" s="125" t="s">
        <v>157</v>
      </c>
      <c r="G28" s="126" t="e">
        <f>IRR(D22:G22,G26)</f>
        <v>#VALUE!</v>
      </c>
      <c r="H28" s="1"/>
      <c r="I28" s="1"/>
      <c r="J28" s="1"/>
      <c r="K28" s="1"/>
      <c r="L28" s="1"/>
      <c r="M28" s="1"/>
    </row>
  </sheetData>
  <mergeCells count="18">
    <mergeCell ref="B11:C11"/>
    <mergeCell ref="O11:O12"/>
    <mergeCell ref="B12:C12"/>
    <mergeCell ref="K3:M3"/>
    <mergeCell ref="O3:O5"/>
    <mergeCell ref="O7:O9"/>
    <mergeCell ref="K8:M8"/>
    <mergeCell ref="B10:G10"/>
    <mergeCell ref="K14:M14"/>
    <mergeCell ref="B16:C16"/>
    <mergeCell ref="B17:C17"/>
    <mergeCell ref="B18:C18"/>
    <mergeCell ref="J18:M18"/>
    <mergeCell ref="B19:C19"/>
    <mergeCell ref="B20:C20"/>
    <mergeCell ref="B21:C21"/>
    <mergeCell ref="B22:C22"/>
    <mergeCell ref="B13:B1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F3627-A570-453F-832B-178E5762DF5F}">
  <dimension ref="A2:O28"/>
  <sheetViews>
    <sheetView workbookViewId="0">
      <selection activeCell="F12" sqref="F12:G12"/>
    </sheetView>
  </sheetViews>
  <sheetFormatPr baseColWidth="10" defaultColWidth="9" defaultRowHeight="14.25" x14ac:dyDescent="0.2"/>
  <cols>
    <col min="3" max="3" width="23.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89.62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7" thickBot="1" x14ac:dyDescent="0.45">
      <c r="A3" s="1"/>
      <c r="B3" s="1"/>
      <c r="C3" s="1"/>
      <c r="D3" s="1"/>
      <c r="E3" s="1"/>
      <c r="F3" s="1"/>
      <c r="G3" s="1"/>
      <c r="H3" s="49"/>
      <c r="I3" s="1"/>
      <c r="J3" s="1"/>
      <c r="K3" s="473" t="s">
        <v>38</v>
      </c>
      <c r="L3" s="411"/>
      <c r="M3" s="412"/>
      <c r="O3" s="491" t="s">
        <v>185</v>
      </c>
    </row>
    <row r="4" spans="1:15" ht="15" x14ac:dyDescent="0.25">
      <c r="A4" s="1"/>
      <c r="B4" s="1"/>
      <c r="C4" s="1"/>
      <c r="D4" s="1"/>
      <c r="E4" s="1"/>
      <c r="F4" s="1"/>
      <c r="G4" s="1"/>
      <c r="H4" s="66"/>
      <c r="I4" s="1"/>
      <c r="J4" s="1"/>
      <c r="K4" s="68">
        <v>2021</v>
      </c>
      <c r="L4" s="68">
        <v>2022</v>
      </c>
      <c r="M4" s="68">
        <v>2023</v>
      </c>
      <c r="O4" s="492"/>
    </row>
    <row r="5" spans="1:15" ht="15.75" thickBot="1" x14ac:dyDescent="0.3">
      <c r="A5" s="1"/>
      <c r="B5" s="1"/>
      <c r="C5" s="1"/>
      <c r="D5" s="1"/>
      <c r="E5" s="1"/>
      <c r="F5" s="1"/>
      <c r="G5" s="1"/>
      <c r="H5" s="77"/>
      <c r="I5" s="1"/>
      <c r="J5" s="1"/>
      <c r="K5" s="93">
        <f>Hipótesis!$C$27</f>
        <v>0.13</v>
      </c>
      <c r="L5" s="93">
        <f>Hipótesis!$C$28</f>
        <v>0.25</v>
      </c>
      <c r="M5" s="93">
        <f>Hipótesis!$C$29</f>
        <v>0.35</v>
      </c>
      <c r="O5" s="475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9">
        <f>Hipótesis!$D$27</f>
        <v>8829600</v>
      </c>
      <c r="L6" s="69">
        <f>Hipótesis!$D$28</f>
        <v>16980000</v>
      </c>
      <c r="M6" s="69">
        <f>Hipótesis!$D$29</f>
        <v>23772000</v>
      </c>
      <c r="O6" s="80" t="s">
        <v>160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493" t="s">
        <v>186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9"/>
      <c r="I8" s="1"/>
      <c r="J8" s="1"/>
      <c r="K8" s="473" t="s">
        <v>143</v>
      </c>
      <c r="L8" s="411"/>
      <c r="M8" s="412"/>
      <c r="O8" s="492"/>
    </row>
    <row r="9" spans="1:15" ht="15.75" thickBot="1" x14ac:dyDescent="0.3">
      <c r="A9" s="1"/>
      <c r="B9" s="1"/>
      <c r="C9" s="1"/>
      <c r="D9" s="1"/>
      <c r="E9" s="1"/>
      <c r="F9" s="1"/>
      <c r="G9" s="1"/>
      <c r="H9" s="66"/>
      <c r="I9" s="1"/>
      <c r="J9" s="1"/>
      <c r="K9" s="68">
        <v>2021</v>
      </c>
      <c r="L9" s="68">
        <v>2022</v>
      </c>
      <c r="M9" s="68">
        <v>2023</v>
      </c>
      <c r="O9" s="475"/>
    </row>
    <row r="10" spans="1:15" ht="27" thickBot="1" x14ac:dyDescent="0.45">
      <c r="A10" s="1"/>
      <c r="B10" s="473" t="s">
        <v>142</v>
      </c>
      <c r="C10" s="411"/>
      <c r="D10" s="411"/>
      <c r="E10" s="411"/>
      <c r="F10" s="411"/>
      <c r="G10" s="412"/>
      <c r="H10" s="77"/>
      <c r="I10" s="1"/>
      <c r="J10" s="102" t="s">
        <v>144</v>
      </c>
      <c r="K10" s="103">
        <f>'Costos fijos'!$G$5</f>
        <v>2001600</v>
      </c>
      <c r="L10" s="69">
        <f>'Costos fijos'!$H$5</f>
        <v>2601600</v>
      </c>
      <c r="M10" s="104">
        <f>'Costos fijos'!$I$5</f>
        <v>3201600</v>
      </c>
      <c r="O10" s="80" t="s">
        <v>161</v>
      </c>
    </row>
    <row r="11" spans="1:15" ht="15.75" thickBot="1" x14ac:dyDescent="0.3">
      <c r="A11" s="1"/>
      <c r="B11" s="483" t="s">
        <v>145</v>
      </c>
      <c r="C11" s="412"/>
      <c r="D11" s="78" t="s">
        <v>146</v>
      </c>
      <c r="E11" s="79">
        <v>2021</v>
      </c>
      <c r="F11" s="79">
        <v>2022</v>
      </c>
      <c r="G11" s="105">
        <v>2023</v>
      </c>
      <c r="H11" s="1"/>
      <c r="I11" s="1"/>
      <c r="J11" s="102" t="s">
        <v>128</v>
      </c>
      <c r="K11" s="103" t="e">
        <f>#REF!</f>
        <v>#REF!</v>
      </c>
      <c r="L11" s="69" t="e">
        <f>#REF!</f>
        <v>#REF!</v>
      </c>
      <c r="M11" s="104" t="e">
        <f>#REF!</f>
        <v>#REF!</v>
      </c>
      <c r="O11" s="463" t="s">
        <v>187</v>
      </c>
    </row>
    <row r="12" spans="1:15" ht="15.75" thickBot="1" x14ac:dyDescent="0.3">
      <c r="A12" s="1"/>
      <c r="B12" s="507" t="s">
        <v>54</v>
      </c>
      <c r="C12" s="504"/>
      <c r="D12" s="176" t="s">
        <v>136</v>
      </c>
      <c r="E12" s="177">
        <f>+'Mod. ingresos'!C20</f>
        <v>21560000</v>
      </c>
      <c r="F12" s="184">
        <f>+'Mod. ingresos'!D20*0.79</f>
        <v>49572500</v>
      </c>
      <c r="G12" s="184">
        <f>+'Mod. ingresos'!E20*0.73</f>
        <v>77044200</v>
      </c>
      <c r="H12" s="1"/>
      <c r="I12" s="1"/>
      <c r="J12" s="102" t="s">
        <v>129</v>
      </c>
      <c r="K12" s="28">
        <f>'Costos RRHH'!$H$6</f>
        <v>17039289.566</v>
      </c>
      <c r="L12" s="29">
        <f>'Costos RRHH'!$I$6</f>
        <v>18678081.659600001</v>
      </c>
      <c r="M12" s="30">
        <f>'Costos RRHH'!$J$6</f>
        <v>21934362.237200003</v>
      </c>
      <c r="O12" s="464"/>
    </row>
    <row r="13" spans="1:15" ht="15.75" thickBot="1" x14ac:dyDescent="0.3">
      <c r="A13" s="1"/>
      <c r="B13" s="500" t="s">
        <v>147</v>
      </c>
      <c r="C13" s="166" t="s">
        <v>144</v>
      </c>
      <c r="D13" s="167" t="s">
        <v>136</v>
      </c>
      <c r="E13" s="168">
        <f>K10</f>
        <v>2001600</v>
      </c>
      <c r="F13" s="168">
        <f>L10</f>
        <v>2601600</v>
      </c>
      <c r="G13" s="169">
        <f t="shared" ref="G13" si="0">M10</f>
        <v>3201600</v>
      </c>
      <c r="H13" s="1"/>
      <c r="I13" s="1"/>
      <c r="J13" s="1"/>
      <c r="K13" s="1"/>
      <c r="L13" s="1"/>
      <c r="M13" s="1"/>
    </row>
    <row r="14" spans="1:15" ht="27" thickBot="1" x14ac:dyDescent="0.45">
      <c r="A14" s="1"/>
      <c r="B14" s="501"/>
      <c r="C14" s="166" t="s">
        <v>128</v>
      </c>
      <c r="D14" s="167" t="s">
        <v>136</v>
      </c>
      <c r="E14" s="168" t="e">
        <f t="shared" ref="E14:G15" si="1">K11</f>
        <v>#REF!</v>
      </c>
      <c r="F14" s="168" t="e">
        <f t="shared" si="1"/>
        <v>#REF!</v>
      </c>
      <c r="G14" s="168" t="e">
        <f t="shared" si="1"/>
        <v>#REF!</v>
      </c>
      <c r="H14" s="1"/>
      <c r="I14" s="1"/>
      <c r="J14" s="1"/>
      <c r="K14" s="473" t="s">
        <v>18</v>
      </c>
      <c r="L14" s="411"/>
      <c r="M14" s="412"/>
    </row>
    <row r="15" spans="1:15" ht="15.75" thickBot="1" x14ac:dyDescent="0.3">
      <c r="A15" s="1"/>
      <c r="B15" s="502"/>
      <c r="C15" s="170" t="s">
        <v>129</v>
      </c>
      <c r="D15" s="171" t="s">
        <v>136</v>
      </c>
      <c r="E15" s="172">
        <f>K12</f>
        <v>17039289.566</v>
      </c>
      <c r="F15" s="172">
        <f t="shared" si="1"/>
        <v>18678081.659600001</v>
      </c>
      <c r="G15" s="172">
        <f t="shared" si="1"/>
        <v>21934362.237200003</v>
      </c>
      <c r="H15" s="1"/>
      <c r="I15" s="1"/>
      <c r="J15" s="1"/>
      <c r="K15" s="68">
        <v>2021</v>
      </c>
      <c r="L15" s="68">
        <v>2022</v>
      </c>
      <c r="M15" s="68">
        <v>2023</v>
      </c>
    </row>
    <row r="16" spans="1:15" ht="15.75" thickBot="1" x14ac:dyDescent="0.3">
      <c r="A16" s="1"/>
      <c r="B16" s="496" t="s">
        <v>148</v>
      </c>
      <c r="C16" s="497"/>
      <c r="D16" s="173" t="s">
        <v>136</v>
      </c>
      <c r="E16" s="174" t="e">
        <f>E12-E13-E14-E15</f>
        <v>#REF!</v>
      </c>
      <c r="F16" s="174" t="e">
        <f>F12-F13-F14-F15</f>
        <v>#REF!</v>
      </c>
      <c r="G16" s="175" t="e">
        <f>G12-G13-G14-G15</f>
        <v>#REF!</v>
      </c>
      <c r="H16" s="1"/>
      <c r="I16" s="1"/>
      <c r="J16" s="1"/>
      <c r="K16" s="95">
        <f>Amortizaciones!$K$14</f>
        <v>306398.33333333331</v>
      </c>
      <c r="L16" s="95">
        <f>Amortizaciones!$L$14</f>
        <v>367678</v>
      </c>
      <c r="M16" s="95">
        <f>Amortizaciones!$M$14</f>
        <v>428957.66666666669</v>
      </c>
    </row>
    <row r="17" spans="1:13" ht="15.75" thickBot="1" x14ac:dyDescent="0.3">
      <c r="A17" s="1"/>
      <c r="B17" s="503" t="s">
        <v>149</v>
      </c>
      <c r="C17" s="504"/>
      <c r="D17" s="176" t="s">
        <v>136</v>
      </c>
      <c r="E17" s="177">
        <f>E12*0.03</f>
        <v>646800</v>
      </c>
      <c r="F17" s="177">
        <f>F12*0.03</f>
        <v>1487175</v>
      </c>
      <c r="G17" s="178">
        <f t="shared" ref="G17" si="2">G12*0.03</f>
        <v>2311326</v>
      </c>
      <c r="H17" s="1"/>
      <c r="I17" s="1"/>
      <c r="J17" s="1"/>
      <c r="K17" s="1"/>
      <c r="L17" s="1"/>
      <c r="M17" s="1"/>
    </row>
    <row r="18" spans="1:13" ht="27" thickBot="1" x14ac:dyDescent="0.45">
      <c r="A18" s="1"/>
      <c r="B18" s="505" t="s">
        <v>150</v>
      </c>
      <c r="C18" s="506"/>
      <c r="D18" s="167"/>
      <c r="E18" s="168" t="e">
        <f>E16-E17-K16</f>
        <v>#REF!</v>
      </c>
      <c r="F18" s="168" t="e">
        <f t="shared" ref="F18:G18" si="3">F16-F17-L16</f>
        <v>#REF!</v>
      </c>
      <c r="G18" s="169" t="e">
        <f t="shared" si="3"/>
        <v>#REF!</v>
      </c>
      <c r="H18" s="1"/>
      <c r="I18" s="1"/>
      <c r="J18" s="473" t="s">
        <v>131</v>
      </c>
      <c r="K18" s="411"/>
      <c r="L18" s="411"/>
      <c r="M18" s="412"/>
    </row>
    <row r="19" spans="1:13" ht="15.75" thickBot="1" x14ac:dyDescent="0.3">
      <c r="A19" s="1"/>
      <c r="B19" s="494" t="s">
        <v>151</v>
      </c>
      <c r="C19" s="495"/>
      <c r="D19" s="171" t="s">
        <v>136</v>
      </c>
      <c r="E19" s="172">
        <v>0</v>
      </c>
      <c r="F19" s="179" t="e">
        <f>(E16-E17)*0.35</f>
        <v>#REF!</v>
      </c>
      <c r="G19" s="179" t="e">
        <f>(F16-F17)*0.35</f>
        <v>#REF!</v>
      </c>
      <c r="H19" s="1"/>
      <c r="I19" s="1"/>
      <c r="J19" s="89" t="s">
        <v>132</v>
      </c>
      <c r="K19" s="90">
        <v>2019</v>
      </c>
      <c r="L19" s="90">
        <v>2020</v>
      </c>
      <c r="M19" s="91">
        <v>2021</v>
      </c>
    </row>
    <row r="20" spans="1:13" ht="15.75" thickBot="1" x14ac:dyDescent="0.3">
      <c r="A20" s="1"/>
      <c r="B20" s="496" t="s">
        <v>152</v>
      </c>
      <c r="C20" s="497"/>
      <c r="D20" s="173" t="s">
        <v>136</v>
      </c>
      <c r="E20" s="174" t="e">
        <f>E16-E17-E19</f>
        <v>#REF!</v>
      </c>
      <c r="F20" s="174" t="e">
        <f>F16-F17-F19</f>
        <v>#REF!</v>
      </c>
      <c r="G20" s="175" t="e">
        <f>G16-G17-G19</f>
        <v>#REF!</v>
      </c>
      <c r="H20" s="1"/>
      <c r="I20" s="1"/>
      <c r="J20" s="95">
        <f>'Mod. inversión'!$G$5</f>
        <v>11085995</v>
      </c>
      <c r="K20" s="96">
        <f>'Mod. inversión'!$H$5</f>
        <v>166800</v>
      </c>
      <c r="L20" s="96">
        <f>'Mod. inversión'!$I$5</f>
        <v>400639</v>
      </c>
      <c r="M20" s="97" t="e">
        <f>'Mod. inversión'!#REF!</f>
        <v>#REF!</v>
      </c>
    </row>
    <row r="21" spans="1:13" ht="15.75" thickBot="1" x14ac:dyDescent="0.3">
      <c r="A21" s="1"/>
      <c r="B21" s="498" t="s">
        <v>153</v>
      </c>
      <c r="C21" s="499"/>
      <c r="D21" s="180">
        <f t="shared" ref="D21:G21" si="4">-J20</f>
        <v>-11085995</v>
      </c>
      <c r="E21" s="181">
        <f t="shared" si="4"/>
        <v>-166800</v>
      </c>
      <c r="F21" s="181">
        <f t="shared" si="4"/>
        <v>-400639</v>
      </c>
      <c r="G21" s="182" t="e">
        <f t="shared" si="4"/>
        <v>#REF!</v>
      </c>
      <c r="H21" s="1"/>
      <c r="I21" s="1"/>
      <c r="J21" s="1"/>
      <c r="K21" s="1"/>
      <c r="L21" s="1"/>
      <c r="M21" s="1"/>
    </row>
    <row r="22" spans="1:13" ht="15.75" thickBot="1" x14ac:dyDescent="0.3">
      <c r="A22" s="1"/>
      <c r="B22" s="496" t="s">
        <v>154</v>
      </c>
      <c r="C22" s="497"/>
      <c r="D22" s="183">
        <f>D21</f>
        <v>-11085995</v>
      </c>
      <c r="E22" s="174" t="e">
        <f t="shared" ref="E22:F22" si="5">E20+E21</f>
        <v>#REF!</v>
      </c>
      <c r="F22" s="174" t="e">
        <f t="shared" si="5"/>
        <v>#REF!</v>
      </c>
      <c r="G22" s="175" t="e">
        <f>G20+G21</f>
        <v>#REF!</v>
      </c>
      <c r="H22" s="1"/>
      <c r="I22" s="1"/>
      <c r="J22" s="1"/>
      <c r="K22" s="1"/>
      <c r="L22" s="1"/>
      <c r="M22" s="1"/>
    </row>
    <row r="23" spans="1:13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61"/>
      <c r="K23" s="161"/>
      <c r="L23" s="161"/>
      <c r="M23" s="1"/>
    </row>
    <row r="24" spans="1:13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61"/>
      <c r="K24" s="161"/>
      <c r="L24" s="161"/>
      <c r="M24" s="1"/>
    </row>
    <row r="25" spans="1:13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61"/>
      <c r="K25" s="161"/>
      <c r="L25" s="161"/>
      <c r="M25" s="1"/>
    </row>
    <row r="26" spans="1:13" ht="15" x14ac:dyDescent="0.25">
      <c r="A26" s="1"/>
      <c r="B26" s="1"/>
      <c r="C26" s="1"/>
      <c r="D26" s="1"/>
      <c r="E26" s="1"/>
      <c r="F26" s="121" t="s">
        <v>155</v>
      </c>
      <c r="G26" s="122">
        <v>0.7</v>
      </c>
      <c r="H26" s="1"/>
      <c r="I26" s="1"/>
      <c r="J26" s="161"/>
      <c r="K26" s="161"/>
      <c r="L26" s="161"/>
      <c r="M26" s="1"/>
    </row>
    <row r="27" spans="1:13" ht="15" x14ac:dyDescent="0.25">
      <c r="A27" s="1"/>
      <c r="B27" s="1"/>
      <c r="C27" s="1"/>
      <c r="D27" s="1"/>
      <c r="E27" s="1"/>
      <c r="F27" s="123" t="s">
        <v>156</v>
      </c>
      <c r="G27" s="124" t="e">
        <f>NPV(G26,D22:G22)</f>
        <v>#REF!</v>
      </c>
      <c r="H27" s="1"/>
      <c r="I27" s="1"/>
      <c r="J27" s="1"/>
      <c r="K27" s="1"/>
      <c r="L27" s="1"/>
      <c r="M27" s="1"/>
    </row>
    <row r="28" spans="1:13" ht="15.75" thickBot="1" x14ac:dyDescent="0.3">
      <c r="A28" s="1"/>
      <c r="B28" s="1"/>
      <c r="C28" s="1"/>
      <c r="D28" s="1"/>
      <c r="E28" s="1"/>
      <c r="F28" s="125" t="s">
        <v>157</v>
      </c>
      <c r="G28" s="126" t="e">
        <f>IRR(D22:G22,G26)</f>
        <v>#VALUE!</v>
      </c>
      <c r="H28" s="1"/>
      <c r="I28" s="1"/>
      <c r="J28" s="1"/>
      <c r="K28" s="1"/>
      <c r="L28" s="1"/>
      <c r="M28" s="1"/>
    </row>
  </sheetData>
  <mergeCells count="18">
    <mergeCell ref="B11:C11"/>
    <mergeCell ref="O11:O12"/>
    <mergeCell ref="B12:C12"/>
    <mergeCell ref="K3:M3"/>
    <mergeCell ref="O3:O5"/>
    <mergeCell ref="O7:O9"/>
    <mergeCell ref="K8:M8"/>
    <mergeCell ref="B10:G10"/>
    <mergeCell ref="K14:M14"/>
    <mergeCell ref="B16:C16"/>
    <mergeCell ref="B17:C17"/>
    <mergeCell ref="B18:C18"/>
    <mergeCell ref="J18:M18"/>
    <mergeCell ref="B19:C19"/>
    <mergeCell ref="B20:C20"/>
    <mergeCell ref="B21:C21"/>
    <mergeCell ref="B22:C22"/>
    <mergeCell ref="B13:B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9E793-2082-4D11-B9FC-56832233A658}">
  <dimension ref="A2:O29"/>
  <sheetViews>
    <sheetView topLeftCell="D1" workbookViewId="0">
      <selection activeCell="O27" sqref="O27:O29"/>
    </sheetView>
  </sheetViews>
  <sheetFormatPr baseColWidth="10" defaultColWidth="9" defaultRowHeight="14.25" x14ac:dyDescent="0.2"/>
  <cols>
    <col min="3" max="3" width="20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89.62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7" thickBot="1" x14ac:dyDescent="0.45">
      <c r="A3" s="1"/>
      <c r="B3" s="1"/>
      <c r="C3" s="1"/>
      <c r="D3" s="1"/>
      <c r="E3" s="1"/>
      <c r="F3" s="1"/>
      <c r="G3" s="1"/>
      <c r="H3" s="49"/>
      <c r="I3" s="1"/>
      <c r="J3" s="1"/>
      <c r="K3" s="473" t="s">
        <v>38</v>
      </c>
      <c r="L3" s="411"/>
      <c r="M3" s="412"/>
      <c r="O3" s="491" t="s">
        <v>182</v>
      </c>
    </row>
    <row r="4" spans="1:15" ht="15" x14ac:dyDescent="0.25">
      <c r="A4" s="1"/>
      <c r="B4" s="1"/>
      <c r="C4" s="1"/>
      <c r="D4" s="1"/>
      <c r="E4" s="1"/>
      <c r="F4" s="1"/>
      <c r="G4" s="1"/>
      <c r="H4" s="66"/>
      <c r="I4" s="1"/>
      <c r="J4" s="1"/>
      <c r="K4" s="68">
        <v>2021</v>
      </c>
      <c r="L4" s="68">
        <v>2022</v>
      </c>
      <c r="M4" s="68">
        <v>2023</v>
      </c>
      <c r="O4" s="492"/>
    </row>
    <row r="5" spans="1:15" ht="15.75" thickBot="1" x14ac:dyDescent="0.3">
      <c r="A5" s="1"/>
      <c r="B5" s="1"/>
      <c r="C5" s="1"/>
      <c r="D5" s="1"/>
      <c r="E5" s="1"/>
      <c r="F5" s="1"/>
      <c r="G5" s="1"/>
      <c r="H5" s="77"/>
      <c r="I5" s="1"/>
      <c r="J5" s="1"/>
      <c r="K5" s="93">
        <f>Hipótesis!$C$27</f>
        <v>0.13</v>
      </c>
      <c r="L5" s="93">
        <f>Hipótesis!$C$28</f>
        <v>0.25</v>
      </c>
      <c r="M5" s="93">
        <f>Hipótesis!$C$29</f>
        <v>0.35</v>
      </c>
      <c r="O5" s="475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9">
        <f>Hipótesis!$D$27</f>
        <v>8829600</v>
      </c>
      <c r="L6" s="69">
        <f>Hipótesis!$D$28</f>
        <v>16980000</v>
      </c>
      <c r="M6" s="69">
        <f>Hipótesis!$D$29</f>
        <v>23772000</v>
      </c>
      <c r="O6" s="80" t="s">
        <v>160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493" t="s">
        <v>183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9"/>
      <c r="I8" s="1"/>
      <c r="J8" s="1"/>
      <c r="K8" s="473" t="s">
        <v>143</v>
      </c>
      <c r="L8" s="411"/>
      <c r="M8" s="412"/>
      <c r="O8" s="492"/>
    </row>
    <row r="9" spans="1:15" ht="15.75" thickBot="1" x14ac:dyDescent="0.3">
      <c r="A9" s="1"/>
      <c r="B9" s="1"/>
      <c r="C9" s="1"/>
      <c r="D9" s="1"/>
      <c r="E9" s="1"/>
      <c r="F9" s="1"/>
      <c r="G9" s="1"/>
      <c r="H9" s="66"/>
      <c r="I9" s="1"/>
      <c r="J9" s="1"/>
      <c r="K9" s="68">
        <v>2021</v>
      </c>
      <c r="L9" s="68">
        <v>2022</v>
      </c>
      <c r="M9" s="68">
        <v>2023</v>
      </c>
      <c r="O9" s="475"/>
    </row>
    <row r="10" spans="1:15" ht="27" thickBot="1" x14ac:dyDescent="0.45">
      <c r="A10" s="1"/>
      <c r="B10" s="473" t="s">
        <v>142</v>
      </c>
      <c r="C10" s="411"/>
      <c r="D10" s="411"/>
      <c r="E10" s="411"/>
      <c r="F10" s="411"/>
      <c r="G10" s="412"/>
      <c r="H10" s="77"/>
      <c r="I10" s="1"/>
      <c r="J10" s="102" t="s">
        <v>144</v>
      </c>
      <c r="K10" s="103">
        <f>'Costos fijos'!$G$5</f>
        <v>2001600</v>
      </c>
      <c r="L10" s="69">
        <f>'Costos fijos'!$H$5</f>
        <v>2601600</v>
      </c>
      <c r="M10" s="104">
        <f>'Costos fijos'!$I$5</f>
        <v>3201600</v>
      </c>
      <c r="O10" s="80" t="s">
        <v>161</v>
      </c>
    </row>
    <row r="11" spans="1:15" ht="15.75" thickBot="1" x14ac:dyDescent="0.3">
      <c r="A11" s="1"/>
      <c r="B11" s="483" t="s">
        <v>145</v>
      </c>
      <c r="C11" s="412"/>
      <c r="D11" s="78" t="s">
        <v>146</v>
      </c>
      <c r="E11" s="79">
        <v>2021</v>
      </c>
      <c r="F11" s="79">
        <v>2022</v>
      </c>
      <c r="G11" s="105">
        <v>2023</v>
      </c>
      <c r="H11" s="1"/>
      <c r="I11" s="1"/>
      <c r="J11" s="102" t="s">
        <v>128</v>
      </c>
      <c r="K11" s="103" t="e">
        <f>#REF!</f>
        <v>#REF!</v>
      </c>
      <c r="L11" s="69" t="e">
        <f>#REF!</f>
        <v>#REF!</v>
      </c>
      <c r="M11" s="104" t="e">
        <f>#REF!</f>
        <v>#REF!</v>
      </c>
      <c r="O11" s="463" t="s">
        <v>184</v>
      </c>
    </row>
    <row r="12" spans="1:15" ht="15.75" thickBot="1" x14ac:dyDescent="0.3">
      <c r="A12" s="1"/>
      <c r="B12" s="484" t="s">
        <v>54</v>
      </c>
      <c r="C12" s="485"/>
      <c r="D12" s="106" t="s">
        <v>136</v>
      </c>
      <c r="E12" s="107">
        <f>+'Mod. ingresos'!C20</f>
        <v>21560000</v>
      </c>
      <c r="F12" s="184">
        <f>+'Mod. ingresos'!D20*0.9</f>
        <v>56475000</v>
      </c>
      <c r="G12" s="184">
        <f>+'Mod. ingresos'!E20*0.83</f>
        <v>87598200</v>
      </c>
      <c r="H12" s="1"/>
      <c r="I12" s="1"/>
      <c r="J12" s="102" t="s">
        <v>129</v>
      </c>
      <c r="K12" s="28">
        <f>'Costos RRHH'!$H$6</f>
        <v>17039289.566</v>
      </c>
      <c r="L12" s="29">
        <f>'Costos RRHH'!$I$6</f>
        <v>18678081.659600001</v>
      </c>
      <c r="M12" s="30">
        <f>'Costos RRHH'!$J$6</f>
        <v>21934362.237200003</v>
      </c>
      <c r="O12" s="464"/>
    </row>
    <row r="13" spans="1:15" ht="15.75" thickBot="1" x14ac:dyDescent="0.3">
      <c r="A13" s="1"/>
      <c r="B13" s="500" t="s">
        <v>147</v>
      </c>
      <c r="C13" s="166" t="s">
        <v>144</v>
      </c>
      <c r="D13" s="167" t="s">
        <v>136</v>
      </c>
      <c r="E13" s="168">
        <f>K10</f>
        <v>2001600</v>
      </c>
      <c r="F13" s="168">
        <f>L10</f>
        <v>2601600</v>
      </c>
      <c r="G13" s="169">
        <f t="shared" ref="G13" si="0">M10</f>
        <v>3201600</v>
      </c>
      <c r="H13" s="1"/>
      <c r="I13" s="1"/>
      <c r="J13" s="1"/>
      <c r="K13" s="1"/>
      <c r="L13" s="1"/>
      <c r="M13" s="1"/>
    </row>
    <row r="14" spans="1:15" ht="27" thickBot="1" x14ac:dyDescent="0.45">
      <c r="A14" s="1"/>
      <c r="B14" s="501"/>
      <c r="C14" s="166" t="s">
        <v>128</v>
      </c>
      <c r="D14" s="167" t="s">
        <v>136</v>
      </c>
      <c r="E14" s="168" t="e">
        <f t="shared" ref="E14" si="1">K11</f>
        <v>#REF!</v>
      </c>
      <c r="F14" s="168" t="e">
        <f>L11</f>
        <v>#REF!</v>
      </c>
      <c r="G14" s="168" t="e">
        <f>M11</f>
        <v>#REF!</v>
      </c>
      <c r="H14" s="1"/>
      <c r="I14" s="1"/>
      <c r="J14" s="1"/>
      <c r="K14" s="473" t="s">
        <v>18</v>
      </c>
      <c r="L14" s="411"/>
      <c r="M14" s="412"/>
      <c r="O14" s="187" t="s">
        <v>164</v>
      </c>
    </row>
    <row r="15" spans="1:15" ht="15.75" thickBot="1" x14ac:dyDescent="0.3">
      <c r="A15" s="1"/>
      <c r="B15" s="502"/>
      <c r="C15" s="170" t="s">
        <v>129</v>
      </c>
      <c r="D15" s="171" t="s">
        <v>136</v>
      </c>
      <c r="E15" s="172">
        <f>K12</f>
        <v>17039289.566</v>
      </c>
      <c r="F15" s="185">
        <f>L12*0.9</f>
        <v>16810273.493640002</v>
      </c>
      <c r="G15" s="185">
        <f>M12*0.87</f>
        <v>19082895.146364003</v>
      </c>
      <c r="H15" s="1"/>
      <c r="I15" s="1"/>
      <c r="J15" s="1"/>
      <c r="K15" s="68">
        <v>2021</v>
      </c>
      <c r="L15" s="68">
        <v>2022</v>
      </c>
      <c r="M15" s="68">
        <v>2023</v>
      </c>
      <c r="O15" s="511" t="s">
        <v>191</v>
      </c>
    </row>
    <row r="16" spans="1:15" ht="15.75" thickBot="1" x14ac:dyDescent="0.3">
      <c r="A16" s="1"/>
      <c r="B16" s="496" t="s">
        <v>148</v>
      </c>
      <c r="C16" s="497"/>
      <c r="D16" s="173" t="s">
        <v>136</v>
      </c>
      <c r="E16" s="174" t="e">
        <f>E12-E13-E14-E15</f>
        <v>#REF!</v>
      </c>
      <c r="F16" s="174" t="e">
        <f>F12-F13-F14-F15</f>
        <v>#REF!</v>
      </c>
      <c r="G16" s="175" t="e">
        <f>G12-G13-G14-G15</f>
        <v>#REF!</v>
      </c>
      <c r="H16" s="1"/>
      <c r="I16" s="1"/>
      <c r="J16" s="1"/>
      <c r="K16" s="95">
        <f>Amortizaciones!$K$14</f>
        <v>306398.33333333331</v>
      </c>
      <c r="L16" s="95">
        <f>Amortizaciones!$L$14</f>
        <v>367678</v>
      </c>
      <c r="M16" s="95">
        <f>Amortizaciones!$M$14</f>
        <v>428957.66666666669</v>
      </c>
      <c r="O16" s="512"/>
    </row>
    <row r="17" spans="1:15" ht="15.75" thickBot="1" x14ac:dyDescent="0.3">
      <c r="A17" s="1"/>
      <c r="B17" s="503" t="s">
        <v>149</v>
      </c>
      <c r="C17" s="504"/>
      <c r="D17" s="176" t="s">
        <v>136</v>
      </c>
      <c r="E17" s="177">
        <f>E12*0.03</f>
        <v>646800</v>
      </c>
      <c r="F17" s="177">
        <f>F12*0.03</f>
        <v>1694250</v>
      </c>
      <c r="G17" s="178">
        <f t="shared" ref="G17" si="2">G12*0.03</f>
        <v>2627946</v>
      </c>
      <c r="H17" s="1"/>
      <c r="I17" s="1"/>
      <c r="J17" s="1"/>
      <c r="K17" s="1"/>
      <c r="L17" s="1"/>
      <c r="M17" s="1"/>
      <c r="O17" s="512"/>
    </row>
    <row r="18" spans="1:15" ht="27" thickBot="1" x14ac:dyDescent="0.45">
      <c r="A18" s="1"/>
      <c r="B18" s="505" t="s">
        <v>150</v>
      </c>
      <c r="C18" s="506"/>
      <c r="D18" s="167"/>
      <c r="E18" s="168" t="e">
        <f>E16-E17-K16</f>
        <v>#REF!</v>
      </c>
      <c r="F18" s="168" t="e">
        <f t="shared" ref="F18:G18" si="3">F16-F17-L16</f>
        <v>#REF!</v>
      </c>
      <c r="G18" s="169" t="e">
        <f t="shared" si="3"/>
        <v>#REF!</v>
      </c>
      <c r="H18" s="1"/>
      <c r="I18" s="1"/>
      <c r="J18" s="473" t="s">
        <v>131</v>
      </c>
      <c r="K18" s="411"/>
      <c r="L18" s="411"/>
      <c r="M18" s="412"/>
      <c r="O18" s="512"/>
    </row>
    <row r="19" spans="1:15" ht="15.75" thickBot="1" x14ac:dyDescent="0.3">
      <c r="A19" s="1"/>
      <c r="B19" s="494" t="s">
        <v>151</v>
      </c>
      <c r="C19" s="495"/>
      <c r="D19" s="171" t="s">
        <v>136</v>
      </c>
      <c r="E19" s="172">
        <v>0</v>
      </c>
      <c r="F19" s="179" t="e">
        <f>(E16-E17)*0.35</f>
        <v>#REF!</v>
      </c>
      <c r="G19" s="179" t="e">
        <f>(F16-F17)*0.35</f>
        <v>#REF!</v>
      </c>
      <c r="H19" s="1"/>
      <c r="I19" s="1"/>
      <c r="J19" s="89" t="s">
        <v>132</v>
      </c>
      <c r="K19" s="90">
        <v>2019</v>
      </c>
      <c r="L19" s="90">
        <v>2020</v>
      </c>
      <c r="M19" s="91">
        <v>2021</v>
      </c>
      <c r="O19" s="512"/>
    </row>
    <row r="20" spans="1:15" ht="15.75" thickBot="1" x14ac:dyDescent="0.3">
      <c r="A20" s="1"/>
      <c r="B20" s="496" t="s">
        <v>152</v>
      </c>
      <c r="C20" s="497"/>
      <c r="D20" s="173" t="s">
        <v>136</v>
      </c>
      <c r="E20" s="174" t="e">
        <f>E16-E17-E19</f>
        <v>#REF!</v>
      </c>
      <c r="F20" s="174" t="e">
        <f>F16-F17-F19</f>
        <v>#REF!</v>
      </c>
      <c r="G20" s="175" t="e">
        <f>G16-G17-G19</f>
        <v>#REF!</v>
      </c>
      <c r="H20" s="1"/>
      <c r="I20" s="1"/>
      <c r="J20" s="95">
        <f>'Mod. inversión'!$G$5</f>
        <v>11085995</v>
      </c>
      <c r="K20" s="96">
        <f>'Mod. inversión'!$H$5</f>
        <v>166800</v>
      </c>
      <c r="L20" s="96">
        <f>'Mod. inversión'!$I$5</f>
        <v>400639</v>
      </c>
      <c r="M20" s="97" t="e">
        <f>'Mod. inversión'!#REF!</f>
        <v>#REF!</v>
      </c>
      <c r="O20" s="512"/>
    </row>
    <row r="21" spans="1:15" ht="15.75" thickBot="1" x14ac:dyDescent="0.3">
      <c r="A21" s="1"/>
      <c r="B21" s="498" t="s">
        <v>153</v>
      </c>
      <c r="C21" s="499"/>
      <c r="D21" s="180">
        <f t="shared" ref="D21:G21" si="4">-J20</f>
        <v>-11085995</v>
      </c>
      <c r="E21" s="181">
        <f t="shared" si="4"/>
        <v>-166800</v>
      </c>
      <c r="F21" s="181">
        <f t="shared" si="4"/>
        <v>-400639</v>
      </c>
      <c r="G21" s="182" t="e">
        <f t="shared" si="4"/>
        <v>#REF!</v>
      </c>
      <c r="H21" s="1"/>
      <c r="I21" s="1"/>
      <c r="J21" s="1"/>
      <c r="K21" s="1"/>
      <c r="L21" s="1"/>
      <c r="M21" s="1"/>
      <c r="O21" s="512"/>
    </row>
    <row r="22" spans="1:15" ht="15.75" thickBot="1" x14ac:dyDescent="0.3">
      <c r="A22" s="1"/>
      <c r="B22" s="496" t="s">
        <v>154</v>
      </c>
      <c r="C22" s="497"/>
      <c r="D22" s="183">
        <f>D21</f>
        <v>-11085995</v>
      </c>
      <c r="E22" s="174" t="e">
        <f t="shared" ref="E22:F22" si="5">E20+E21</f>
        <v>#REF!</v>
      </c>
      <c r="F22" s="174" t="e">
        <f t="shared" si="5"/>
        <v>#REF!</v>
      </c>
      <c r="G22" s="175" t="e">
        <f>G20+G21</f>
        <v>#REF!</v>
      </c>
      <c r="H22" s="1"/>
      <c r="I22" s="1"/>
      <c r="J22" s="1"/>
      <c r="K22" s="1"/>
      <c r="L22" s="1"/>
      <c r="M22" s="1"/>
      <c r="O22" s="512"/>
    </row>
    <row r="23" spans="1:15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61"/>
      <c r="K23" s="161"/>
      <c r="L23" s="161"/>
      <c r="M23" s="1"/>
      <c r="O23" s="512"/>
    </row>
    <row r="24" spans="1:15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61"/>
      <c r="K24" s="161"/>
      <c r="L24" s="161"/>
      <c r="M24" s="1"/>
      <c r="O24" s="51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61"/>
      <c r="K25" s="161"/>
      <c r="L25" s="161"/>
      <c r="M25" s="1"/>
      <c r="O25" s="186"/>
    </row>
    <row r="26" spans="1:15" ht="15" x14ac:dyDescent="0.25">
      <c r="A26" s="1"/>
      <c r="B26" s="1"/>
      <c r="C26" s="1"/>
      <c r="D26" s="1"/>
      <c r="E26" s="1"/>
      <c r="F26" s="121" t="s">
        <v>155</v>
      </c>
      <c r="G26" s="122">
        <v>0.7</v>
      </c>
      <c r="H26" s="1"/>
      <c r="I26" s="1"/>
      <c r="J26" s="161"/>
      <c r="K26" s="161"/>
      <c r="L26" s="161"/>
      <c r="M26" s="1"/>
      <c r="O26" s="188" t="s">
        <v>95</v>
      </c>
    </row>
    <row r="27" spans="1:15" ht="15" x14ac:dyDescent="0.25">
      <c r="A27" s="1"/>
      <c r="B27" s="1"/>
      <c r="C27" s="1"/>
      <c r="D27" s="1"/>
      <c r="E27" s="1"/>
      <c r="F27" s="123" t="s">
        <v>156</v>
      </c>
      <c r="G27" s="124" t="e">
        <f>NPV(G26,D22:G22)</f>
        <v>#REF!</v>
      </c>
      <c r="H27" s="1"/>
      <c r="I27" s="1"/>
      <c r="J27" s="1"/>
      <c r="K27" s="1"/>
      <c r="L27" s="1"/>
      <c r="M27" s="1"/>
      <c r="O27" s="508" t="s">
        <v>190</v>
      </c>
    </row>
    <row r="28" spans="1:15" ht="15.75" thickBot="1" x14ac:dyDescent="0.3">
      <c r="A28" s="1"/>
      <c r="B28" s="1"/>
      <c r="C28" s="1"/>
      <c r="D28" s="1"/>
      <c r="E28" s="1"/>
      <c r="F28" s="125" t="s">
        <v>157</v>
      </c>
      <c r="G28" s="126" t="e">
        <f>IRR(D22:G22,G26)</f>
        <v>#VALUE!</v>
      </c>
      <c r="H28" s="1"/>
      <c r="I28" s="1"/>
      <c r="J28" s="1"/>
      <c r="K28" s="1"/>
      <c r="L28" s="1"/>
      <c r="M28" s="1"/>
      <c r="O28" s="509"/>
    </row>
    <row r="29" spans="1:15" x14ac:dyDescent="0.2">
      <c r="O29" s="510"/>
    </row>
  </sheetData>
  <mergeCells count="20">
    <mergeCell ref="B11:C11"/>
    <mergeCell ref="O11:O12"/>
    <mergeCell ref="B12:C12"/>
    <mergeCell ref="K3:M3"/>
    <mergeCell ref="O3:O5"/>
    <mergeCell ref="O7:O9"/>
    <mergeCell ref="K8:M8"/>
    <mergeCell ref="B10:G10"/>
    <mergeCell ref="O27:O29"/>
    <mergeCell ref="B19:C19"/>
    <mergeCell ref="B20:C20"/>
    <mergeCell ref="B21:C21"/>
    <mergeCell ref="B22:C22"/>
    <mergeCell ref="O15:O24"/>
    <mergeCell ref="B13:B15"/>
    <mergeCell ref="K14:M14"/>
    <mergeCell ref="B16:C16"/>
    <mergeCell ref="B17:C17"/>
    <mergeCell ref="B18:C18"/>
    <mergeCell ref="J18:M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RRHH</vt:lpstr>
      <vt:lpstr>Mod. egresos</vt:lpstr>
      <vt:lpstr>Mod. inversión</vt:lpstr>
      <vt:lpstr>Amortizaciones</vt:lpstr>
      <vt:lpstr>Presupuesto financiero</vt:lpstr>
      <vt:lpstr>Matriz riesgo</vt:lpstr>
      <vt:lpstr>Hoja1</vt:lpstr>
      <vt:lpstr>Hoja2</vt:lpstr>
      <vt:lpstr>Hoja3</vt:lpstr>
      <vt:lpstr>Mi Escenario 1</vt:lpstr>
      <vt:lpstr>Mi Escenario 2</vt:lpstr>
      <vt:lpstr>Mi Escenario 3</vt:lpstr>
      <vt:lpstr>Mi 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dcterms:created xsi:type="dcterms:W3CDTF">2022-09-25T03:41:55Z</dcterms:created>
  <dcterms:modified xsi:type="dcterms:W3CDTF">2022-09-25T21:42:51Z</dcterms:modified>
</cp:coreProperties>
</file>