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1656843C-E43A-4773-80A8-912E177765B3}" xr6:coauthVersionLast="47" xr6:coauthVersionMax="47" xr10:uidLastSave="{00000000-0000-0000-0000-000000000000}"/>
  <bookViews>
    <workbookView xWindow="-120" yWindow="-120" windowWidth="29040" windowHeight="15840" tabRatio="787" firstSheet="7" activeTab="17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26" l="1"/>
  <c r="F13" i="26"/>
  <c r="G16" i="27"/>
  <c r="G13" i="27"/>
  <c r="E12" i="13" l="1"/>
  <c r="F12" i="13"/>
  <c r="G12" i="13"/>
  <c r="E29" i="7"/>
  <c r="F29" i="7"/>
  <c r="G29" i="7"/>
  <c r="D29" i="7"/>
  <c r="F16" i="27"/>
  <c r="E16" i="2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J32" i="7"/>
  <c r="K32" i="7"/>
  <c r="L32" i="7"/>
  <c r="M32" i="7"/>
  <c r="N32" i="7"/>
  <c r="O32" i="7"/>
  <c r="D32" i="7"/>
  <c r="D31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D23" i="7"/>
  <c r="D22" i="7"/>
  <c r="E14" i="7"/>
  <c r="F14" i="7"/>
  <c r="G14" i="7"/>
  <c r="H14" i="7"/>
  <c r="I14" i="7"/>
  <c r="J14" i="7"/>
  <c r="K14" i="7"/>
  <c r="L14" i="7"/>
  <c r="M14" i="7"/>
  <c r="N14" i="7"/>
  <c r="O14" i="7"/>
  <c r="D14" i="7"/>
  <c r="E13" i="7"/>
  <c r="F13" i="7"/>
  <c r="G13" i="7"/>
  <c r="H13" i="7"/>
  <c r="I13" i="7"/>
  <c r="J13" i="7"/>
  <c r="K13" i="7"/>
  <c r="L13" i="7"/>
  <c r="M13" i="7"/>
  <c r="N13" i="7"/>
  <c r="O13" i="7"/>
  <c r="D13" i="7"/>
  <c r="F44" i="5"/>
  <c r="H44" i="5"/>
  <c r="J44" i="5"/>
  <c r="L44" i="5"/>
  <c r="N44" i="5"/>
  <c r="P44" i="5"/>
  <c r="R44" i="5"/>
  <c r="T44" i="5"/>
  <c r="V44" i="5"/>
  <c r="X44" i="5"/>
  <c r="Z44" i="5"/>
  <c r="N34" i="5"/>
  <c r="P34" i="5"/>
  <c r="R34" i="5"/>
  <c r="T34" i="5"/>
  <c r="V34" i="5"/>
  <c r="X34" i="5"/>
  <c r="Z34" i="5"/>
  <c r="E37" i="24"/>
  <c r="C20" i="11"/>
  <c r="E20" i="11" s="1"/>
  <c r="C43" i="4"/>
  <c r="D34" i="11"/>
  <c r="D27" i="11"/>
  <c r="D19" i="11"/>
  <c r="H29" i="7"/>
  <c r="I29" i="7"/>
  <c r="J29" i="7"/>
  <c r="K29" i="7"/>
  <c r="L29" i="7"/>
  <c r="M29" i="7"/>
  <c r="N29" i="7"/>
  <c r="O29" i="7"/>
  <c r="Z22" i="5"/>
  <c r="X22" i="5"/>
  <c r="V22" i="5"/>
  <c r="T22" i="5"/>
  <c r="R22" i="5"/>
  <c r="P22" i="5"/>
  <c r="N22" i="5"/>
  <c r="L22" i="5"/>
  <c r="J22" i="5"/>
  <c r="H22" i="5"/>
  <c r="F22" i="5"/>
  <c r="D26" i="11"/>
  <c r="D18" i="11"/>
  <c r="G26" i="27"/>
  <c r="G26" i="20"/>
  <c r="G26" i="25"/>
  <c r="G26" i="26"/>
  <c r="F18" i="13"/>
  <c r="I3" i="25"/>
  <c r="I11" i="26"/>
  <c r="I7" i="26"/>
  <c r="I3" i="26"/>
  <c r="I11" i="25"/>
  <c r="I7" i="25"/>
  <c r="I7" i="20"/>
  <c r="I3" i="20"/>
  <c r="D33" i="11" l="1"/>
  <c r="E18" i="11" l="1"/>
  <c r="D12" i="3"/>
  <c r="E12" i="3" s="1"/>
  <c r="E33" i="11"/>
  <c r="E34" i="11"/>
  <c r="E26" i="11"/>
  <c r="E27" i="11"/>
  <c r="E19" i="11"/>
  <c r="E23" i="24"/>
  <c r="O35" i="24"/>
  <c r="J35" i="24"/>
  <c r="K35" i="24"/>
  <c r="L35" i="24"/>
  <c r="M35" i="24"/>
  <c r="N35" i="24"/>
  <c r="P35" i="24"/>
  <c r="I35" i="24"/>
  <c r="J36" i="24"/>
  <c r="K36" i="24"/>
  <c r="L36" i="24"/>
  <c r="M36" i="24"/>
  <c r="N36" i="24"/>
  <c r="O36" i="24"/>
  <c r="P36" i="24"/>
  <c r="I36" i="24"/>
  <c r="F25" i="24"/>
  <c r="G25" i="24"/>
  <c r="H25" i="24"/>
  <c r="I25" i="24"/>
  <c r="E25" i="24"/>
  <c r="J24" i="24"/>
  <c r="K24" i="24"/>
  <c r="L24" i="24"/>
  <c r="M24" i="24"/>
  <c r="N24" i="24"/>
  <c r="O24" i="24"/>
  <c r="P24" i="24"/>
  <c r="F35" i="24" s="1"/>
  <c r="I24" i="24"/>
  <c r="F24" i="24"/>
  <c r="G24" i="24"/>
  <c r="H24" i="24"/>
  <c r="E24" i="24"/>
  <c r="F36" i="24"/>
  <c r="G36" i="24"/>
  <c r="H36" i="24"/>
  <c r="E36" i="24"/>
  <c r="L13" i="24"/>
  <c r="M13" i="24"/>
  <c r="N13" i="24"/>
  <c r="O13" i="24"/>
  <c r="P13" i="24"/>
  <c r="K13" i="24"/>
  <c r="J25" i="24"/>
  <c r="K25" i="24"/>
  <c r="L25" i="24"/>
  <c r="M25" i="24"/>
  <c r="N25" i="24"/>
  <c r="O25" i="24"/>
  <c r="P25" i="24"/>
  <c r="J26" i="24"/>
  <c r="K26" i="24"/>
  <c r="J23" i="24"/>
  <c r="K23" i="24"/>
  <c r="I26" i="24"/>
  <c r="I23" i="24"/>
  <c r="B28" i="11"/>
  <c r="B35" i="11" s="1"/>
  <c r="D35" i="11"/>
  <c r="D11" i="11"/>
  <c r="E10" i="11"/>
  <c r="D10" i="11"/>
  <c r="D9" i="11"/>
  <c r="D8" i="11"/>
  <c r="B10" i="11"/>
  <c r="B11" i="11"/>
  <c r="B9" i="11"/>
  <c r="B8" i="11"/>
  <c r="B7" i="11"/>
  <c r="P37" i="24"/>
  <c r="P34" i="24"/>
  <c r="O37" i="24"/>
  <c r="O34" i="24"/>
  <c r="J37" i="24"/>
  <c r="K37" i="24"/>
  <c r="L37" i="24"/>
  <c r="M37" i="24"/>
  <c r="N37" i="24"/>
  <c r="J34" i="24"/>
  <c r="K34" i="24"/>
  <c r="L34" i="24"/>
  <c r="M34" i="24"/>
  <c r="N34" i="24"/>
  <c r="I37" i="24"/>
  <c r="I34" i="24"/>
  <c r="F37" i="24"/>
  <c r="G37" i="24"/>
  <c r="H37" i="24"/>
  <c r="F34" i="24"/>
  <c r="G34" i="24"/>
  <c r="H34" i="24"/>
  <c r="E34" i="24"/>
  <c r="F26" i="24"/>
  <c r="G26" i="24"/>
  <c r="H26" i="24"/>
  <c r="L23" i="24"/>
  <c r="M26" i="24"/>
  <c r="N26" i="24"/>
  <c r="O26" i="24"/>
  <c r="P26" i="24"/>
  <c r="M23" i="24"/>
  <c r="N23" i="24"/>
  <c r="O23" i="24"/>
  <c r="P23" i="24"/>
  <c r="F23" i="24"/>
  <c r="G23" i="24"/>
  <c r="H23" i="24"/>
  <c r="L26" i="24"/>
  <c r="E26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30" i="7"/>
  <c r="F30" i="7"/>
  <c r="G30" i="7"/>
  <c r="H30" i="7"/>
  <c r="I30" i="7"/>
  <c r="J30" i="7"/>
  <c r="K30" i="7"/>
  <c r="L30" i="7"/>
  <c r="M30" i="7"/>
  <c r="N30" i="7"/>
  <c r="O30" i="7"/>
  <c r="D30" i="7"/>
  <c r="D21" i="7"/>
  <c r="E12" i="7"/>
  <c r="F12" i="7"/>
  <c r="G12" i="7"/>
  <c r="H12" i="7"/>
  <c r="I12" i="7"/>
  <c r="J12" i="7"/>
  <c r="K12" i="7"/>
  <c r="L12" i="7"/>
  <c r="M12" i="7"/>
  <c r="N12" i="7"/>
  <c r="O12" i="7"/>
  <c r="D12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E35" i="24" l="1"/>
  <c r="H35" i="24"/>
  <c r="G35" i="24"/>
  <c r="P30" i="7"/>
  <c r="P31" i="7"/>
  <c r="P29" i="7"/>
  <c r="P13" i="7"/>
  <c r="P20" i="7"/>
  <c r="P22" i="7"/>
  <c r="D46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3" i="24"/>
  <c r="E33" i="24"/>
  <c r="J22" i="24"/>
  <c r="L22" i="24"/>
  <c r="K22" i="24"/>
  <c r="K11" i="24"/>
  <c r="M22" i="24"/>
  <c r="J33" i="24"/>
  <c r="N11" i="24"/>
  <c r="N22" i="24"/>
  <c r="I22" i="24"/>
  <c r="M33" i="24"/>
  <c r="F33" i="24"/>
  <c r="O22" i="24"/>
  <c r="P22" i="24"/>
  <c r="L11" i="24"/>
  <c r="I33" i="24"/>
  <c r="F22" i="24"/>
  <c r="D7" i="11"/>
  <c r="E7" i="11" s="1"/>
  <c r="H22" i="24"/>
  <c r="P11" i="24"/>
  <c r="P33" i="24"/>
  <c r="G22" i="24"/>
  <c r="K33" i="24"/>
  <c r="M11" i="24"/>
  <c r="L33" i="24"/>
  <c r="E22" i="24"/>
  <c r="O11" i="24"/>
  <c r="G33" i="24"/>
  <c r="N33" i="24"/>
  <c r="O33" i="24"/>
  <c r="AB82" i="4"/>
  <c r="Z82" i="4"/>
  <c r="E21" i="11"/>
  <c r="E6" i="11"/>
  <c r="C74" i="4"/>
  <c r="Q12" i="24"/>
  <c r="Q34" i="24"/>
  <c r="F11" i="24"/>
  <c r="Q36" i="24"/>
  <c r="Q24" i="24"/>
  <c r="Q26" i="24"/>
  <c r="Q14" i="24"/>
  <c r="Q13" i="24"/>
  <c r="Q23" i="24"/>
  <c r="Q35" i="24"/>
  <c r="Q25" i="24"/>
  <c r="Q15" i="24"/>
  <c r="Q37" i="24"/>
  <c r="I24" i="7"/>
  <c r="J24" i="7"/>
  <c r="F33" i="7"/>
  <c r="G33" i="7"/>
  <c r="H33" i="7"/>
  <c r="N33" i="7"/>
  <c r="E15" i="7"/>
  <c r="E24" i="7"/>
  <c r="P11" i="7"/>
  <c r="E11" i="24"/>
  <c r="G11" i="24"/>
  <c r="H11" i="24"/>
  <c r="I11" i="24"/>
  <c r="J11" i="24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E21" i="27" l="1"/>
  <c r="E21" i="26"/>
  <c r="E20" i="13"/>
  <c r="E21" i="25"/>
  <c r="E21" i="20"/>
  <c r="Q22" i="24"/>
  <c r="P32" i="7"/>
  <c r="P33" i="7" s="1"/>
  <c r="J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Q33" i="24"/>
  <c r="Q11" i="24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3" i="25" l="1"/>
  <c r="G13" i="20"/>
  <c r="F5" i="7"/>
  <c r="E6" i="10"/>
  <c r="P24" i="7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D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B38" i="24" s="1"/>
  <c r="F83" i="4"/>
  <c r="D82" i="4"/>
  <c r="H83" i="4"/>
  <c r="F82" i="4"/>
  <c r="R82" i="4"/>
  <c r="C53" i="4"/>
  <c r="B27" i="24" s="1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C28" i="11" s="1"/>
  <c r="W42" i="9"/>
  <c r="U42" i="9"/>
  <c r="S42" i="9"/>
  <c r="Q42" i="9"/>
  <c r="O42" i="9"/>
  <c r="M42" i="9"/>
  <c r="K42" i="9"/>
  <c r="I42" i="9"/>
  <c r="G42" i="9"/>
  <c r="E42" i="9"/>
  <c r="C42" i="9"/>
  <c r="C30" i="9"/>
  <c r="C35" i="11" l="1"/>
  <c r="D11" i="12"/>
  <c r="G11" i="12" s="1"/>
  <c r="C12" i="11"/>
  <c r="D26" i="3"/>
  <c r="D27" i="3"/>
  <c r="D25" i="3"/>
  <c r="O54" i="4"/>
  <c r="N87" i="4"/>
  <c r="O87" i="4"/>
  <c r="C22" i="4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E13" i="26" s="1"/>
  <c r="B19" i="6"/>
  <c r="B18" i="6"/>
  <c r="B17" i="6"/>
  <c r="B10" i="5"/>
  <c r="B12" i="5" s="1"/>
  <c r="B13" i="5" s="1"/>
  <c r="B14" i="5" s="1"/>
  <c r="B21" i="4"/>
  <c r="B20" i="4"/>
  <c r="B19" i="4"/>
  <c r="C26" i="4" l="1"/>
  <c r="C57" i="4" s="1"/>
  <c r="B16" i="24"/>
  <c r="Z46" i="5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E28" i="11"/>
  <c r="E29" i="11" s="1"/>
  <c r="E12" i="11"/>
  <c r="E14" i="11" s="1"/>
  <c r="M11" i="12"/>
  <c r="K11" i="12"/>
  <c r="K14" i="12" s="1"/>
  <c r="L11" i="12"/>
  <c r="D12" i="12"/>
  <c r="I12" i="12" s="1"/>
  <c r="E35" i="11"/>
  <c r="E36" i="11" s="1"/>
  <c r="G20" i="13" s="1"/>
  <c r="D13" i="12"/>
  <c r="J13" i="12" s="1"/>
  <c r="Z21" i="4"/>
  <c r="AB21" i="4"/>
  <c r="Z20" i="4"/>
  <c r="AB20" i="4"/>
  <c r="J19" i="4"/>
  <c r="AB19" i="4"/>
  <c r="F43" i="5"/>
  <c r="V42" i="5"/>
  <c r="T42" i="5"/>
  <c r="R42" i="5"/>
  <c r="Z43" i="5"/>
  <c r="L45" i="5"/>
  <c r="D43" i="5"/>
  <c r="D46" i="5"/>
  <c r="X43" i="5"/>
  <c r="R43" i="5"/>
  <c r="N43" i="5"/>
  <c r="Z42" i="5"/>
  <c r="T43" i="5"/>
  <c r="P43" i="5"/>
  <c r="D45" i="5"/>
  <c r="X42" i="5"/>
  <c r="D44" i="5"/>
  <c r="J45" i="5"/>
  <c r="L43" i="5"/>
  <c r="H45" i="5"/>
  <c r="J43" i="5"/>
  <c r="H43" i="5"/>
  <c r="N45" i="5"/>
  <c r="V43" i="5"/>
  <c r="F45" i="5"/>
  <c r="J33" i="5"/>
  <c r="V32" i="5"/>
  <c r="J34" i="5"/>
  <c r="Z33" i="5"/>
  <c r="V33" i="5"/>
  <c r="J35" i="5"/>
  <c r="N33" i="5"/>
  <c r="H33" i="5"/>
  <c r="L34" i="5"/>
  <c r="P32" i="5"/>
  <c r="N32" i="5"/>
  <c r="J32" i="5"/>
  <c r="F32" i="5"/>
  <c r="R33" i="5"/>
  <c r="D22" i="5"/>
  <c r="L33" i="5"/>
  <c r="N36" i="5"/>
  <c r="F33" i="5"/>
  <c r="R32" i="5"/>
  <c r="V35" i="5"/>
  <c r="H32" i="5"/>
  <c r="L35" i="5"/>
  <c r="F35" i="5"/>
  <c r="D33" i="5"/>
  <c r="D36" i="5"/>
  <c r="X35" i="5"/>
  <c r="D34" i="5"/>
  <c r="Z32" i="5"/>
  <c r="T32" i="5"/>
  <c r="H34" i="5"/>
  <c r="T35" i="5"/>
  <c r="P35" i="5"/>
  <c r="T33" i="5"/>
  <c r="X32" i="5"/>
  <c r="Z35" i="5"/>
  <c r="F34" i="5"/>
  <c r="L32" i="5"/>
  <c r="X33" i="5"/>
  <c r="D32" i="5"/>
  <c r="P33" i="5"/>
  <c r="R35" i="5"/>
  <c r="N35" i="5"/>
  <c r="H35" i="5"/>
  <c r="D35" i="5"/>
  <c r="J24" i="5"/>
  <c r="F26" i="5"/>
  <c r="X25" i="5"/>
  <c r="L24" i="5"/>
  <c r="H26" i="5"/>
  <c r="F24" i="5"/>
  <c r="N24" i="5"/>
  <c r="J26" i="5"/>
  <c r="Z25" i="5"/>
  <c r="P24" i="5"/>
  <c r="L26" i="5"/>
  <c r="H24" i="5"/>
  <c r="R24" i="5"/>
  <c r="N26" i="5"/>
  <c r="T24" i="5"/>
  <c r="P26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V23" i="5"/>
  <c r="R25" i="5"/>
  <c r="X23" i="5"/>
  <c r="T25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7" l="1"/>
  <c r="D22" i="27" s="1"/>
  <c r="D20" i="13"/>
  <c r="F21" i="26"/>
  <c r="F20" i="13"/>
  <c r="G21" i="20"/>
  <c r="G21" i="27"/>
  <c r="G21" i="26"/>
  <c r="G21" i="25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F5" i="12"/>
  <c r="C6" i="10"/>
  <c r="F16" i="24" l="1"/>
  <c r="F17" i="24" s="1"/>
  <c r="G16" i="24"/>
  <c r="G17" i="24" s="1"/>
  <c r="F26" i="4"/>
  <c r="E16" i="24"/>
  <c r="X55" i="4"/>
  <c r="Z55" i="4" s="1"/>
  <c r="AB55" i="4" s="1"/>
  <c r="N56" i="4"/>
  <c r="P56" i="4" s="1"/>
  <c r="R56" i="4" s="1"/>
  <c r="T56" i="4" s="1"/>
  <c r="V56" i="4" s="1"/>
  <c r="L57" i="4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E27" i="24" s="1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O38" i="24" l="1"/>
  <c r="O39" i="24" s="1"/>
  <c r="N38" i="24"/>
  <c r="N39" i="24" s="1"/>
  <c r="J38" i="24"/>
  <c r="J39" i="24" s="1"/>
  <c r="K38" i="24"/>
  <c r="K39" i="24" s="1"/>
  <c r="J27" i="24"/>
  <c r="J28" i="24" s="1"/>
  <c r="K27" i="24"/>
  <c r="K28" i="24" s="1"/>
  <c r="J16" i="24"/>
  <c r="J17" i="24" s="1"/>
  <c r="K16" i="24"/>
  <c r="K17" i="24" s="1"/>
  <c r="F38" i="24"/>
  <c r="F39" i="24" s="1"/>
  <c r="G38" i="24"/>
  <c r="G39" i="24" s="1"/>
  <c r="G27" i="24"/>
  <c r="G28" i="24" s="1"/>
  <c r="F27" i="24"/>
  <c r="F28" i="24" s="1"/>
  <c r="I27" i="24"/>
  <c r="I28" i="24" s="1"/>
  <c r="H27" i="24"/>
  <c r="H28" i="24" s="1"/>
  <c r="E28" i="24"/>
  <c r="I16" i="24"/>
  <c r="I17" i="24" s="1"/>
  <c r="H16" i="24"/>
  <c r="H17" i="24" s="1"/>
  <c r="E17" i="24"/>
  <c r="J26" i="4"/>
  <c r="L26" i="4" s="1"/>
  <c r="N22" i="4"/>
  <c r="W54" i="4"/>
  <c r="Q57" i="4"/>
  <c r="V87" i="4"/>
  <c r="W87" i="4"/>
  <c r="P54" i="4"/>
  <c r="N57" i="4"/>
  <c r="P22" i="4"/>
  <c r="D55" i="4"/>
  <c r="D18" i="6" s="1"/>
  <c r="Z51" i="4"/>
  <c r="Z50" i="4"/>
  <c r="F84" i="4"/>
  <c r="E38" i="24" s="1"/>
  <c r="J81" i="4"/>
  <c r="J84" i="4" s="1"/>
  <c r="N84" i="4"/>
  <c r="N53" i="4"/>
  <c r="T52" i="4"/>
  <c r="T53" i="4" s="1"/>
  <c r="R52" i="4"/>
  <c r="P53" i="4"/>
  <c r="R21" i="4"/>
  <c r="R22" i="4" s="1"/>
  <c r="P16" i="24" s="1"/>
  <c r="P17" i="24" s="1"/>
  <c r="T21" i="4"/>
  <c r="T22" i="4" s="1"/>
  <c r="AA54" i="9"/>
  <c r="AA42" i="9"/>
  <c r="AA30" i="9"/>
  <c r="N26" i="4" l="1"/>
  <c r="P26" i="4" s="1"/>
  <c r="F16" i="26"/>
  <c r="L27" i="24"/>
  <c r="L28" i="24" s="1"/>
  <c r="M27" i="24"/>
  <c r="M28" i="24" s="1"/>
  <c r="L38" i="24"/>
  <c r="L39" i="24" s="1"/>
  <c r="M38" i="24"/>
  <c r="M39" i="24" s="1"/>
  <c r="O16" i="24"/>
  <c r="O17" i="24" s="1"/>
  <c r="N16" i="24"/>
  <c r="N17" i="24" s="1"/>
  <c r="L16" i="24"/>
  <c r="M16" i="24"/>
  <c r="M17" i="24" s="1"/>
  <c r="N27" i="24"/>
  <c r="N28" i="24" s="1"/>
  <c r="O27" i="24"/>
  <c r="O28" i="24" s="1"/>
  <c r="E39" i="24"/>
  <c r="H38" i="24"/>
  <c r="H39" i="24" s="1"/>
  <c r="I38" i="24"/>
  <c r="I39" i="24" s="1"/>
  <c r="E6" i="9"/>
  <c r="E16" i="20"/>
  <c r="E16" i="26"/>
  <c r="E16" i="25"/>
  <c r="F6" i="9"/>
  <c r="D7" i="10" s="1"/>
  <c r="F14" i="13" s="1"/>
  <c r="F16" i="20"/>
  <c r="F16" i="25"/>
  <c r="G6" i="9"/>
  <c r="G16" i="26"/>
  <c r="G16" i="20"/>
  <c r="G16" i="25"/>
  <c r="D21" i="13"/>
  <c r="R54" i="4"/>
  <c r="P57" i="4"/>
  <c r="Y54" i="4"/>
  <c r="Y87" i="4"/>
  <c r="X87" i="4"/>
  <c r="S57" i="4"/>
  <c r="R26" i="4"/>
  <c r="T26" i="4" s="1"/>
  <c r="X81" i="4"/>
  <c r="R84" i="4"/>
  <c r="P38" i="24" s="1"/>
  <c r="P39" i="24" s="1"/>
  <c r="V81" i="4"/>
  <c r="X52" i="4"/>
  <c r="V52" i="4"/>
  <c r="R53" i="4"/>
  <c r="P27" i="24" s="1"/>
  <c r="P28" i="24" s="1"/>
  <c r="V21" i="4"/>
  <c r="V22" i="4" s="1"/>
  <c r="X21" i="4"/>
  <c r="X22" i="4" s="1"/>
  <c r="L17" i="24" l="1"/>
  <c r="Q16" i="24"/>
  <c r="Q17" i="24" s="1"/>
  <c r="Q27" i="24"/>
  <c r="Q28" i="24" s="1"/>
  <c r="F15" i="26" s="1"/>
  <c r="Q38" i="24"/>
  <c r="Q39" i="24" s="1"/>
  <c r="E7" i="10"/>
  <c r="G14" i="13" s="1"/>
  <c r="C7" i="10"/>
  <c r="E14" i="13" s="1"/>
  <c r="Z87" i="4"/>
  <c r="AA87" i="4"/>
  <c r="AB87" i="4" s="1"/>
  <c r="AA54" i="4"/>
  <c r="AA57" i="4" s="1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G15" i="26" l="1"/>
  <c r="G15" i="27"/>
  <c r="F13" i="13"/>
  <c r="D8" i="10"/>
  <c r="D9" i="10" s="1"/>
  <c r="F15" i="20"/>
  <c r="F5" i="24"/>
  <c r="F15" i="27"/>
  <c r="F15" i="25"/>
  <c r="E15" i="26"/>
  <c r="E13" i="13"/>
  <c r="E15" i="13" s="1"/>
  <c r="C8" i="10"/>
  <c r="E15" i="25"/>
  <c r="E15" i="27"/>
  <c r="E15" i="20"/>
  <c r="E5" i="24"/>
  <c r="C9" i="10"/>
  <c r="G5" i="24"/>
  <c r="G15" i="25"/>
  <c r="G13" i="13"/>
  <c r="G15" i="13" s="1"/>
  <c r="E8" i="10"/>
  <c r="E9" i="10" s="1"/>
  <c r="G15" i="20"/>
  <c r="F15" i="13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D10" i="10"/>
  <c r="D57" i="4"/>
  <c r="F11" i="13"/>
  <c r="I12" i="13" s="1"/>
  <c r="O85" i="4"/>
  <c r="N85" i="4"/>
  <c r="J88" i="4"/>
  <c r="K86" i="4"/>
  <c r="F16" i="13" l="1"/>
  <c r="I13" i="13"/>
  <c r="I14" i="13"/>
  <c r="F18" i="27"/>
  <c r="F17" i="27"/>
  <c r="F18" i="26"/>
  <c r="F17" i="26"/>
  <c r="F18" i="25"/>
  <c r="F17" i="25"/>
  <c r="K88" i="4"/>
  <c r="L86" i="4"/>
  <c r="L88" i="4" s="1"/>
  <c r="F18" i="20"/>
  <c r="F17" i="20"/>
  <c r="M86" i="4"/>
  <c r="F17" i="13"/>
  <c r="P85" i="4"/>
  <c r="Q85" i="4"/>
  <c r="G18" i="13" l="1"/>
  <c r="G19" i="27"/>
  <c r="G19" i="26"/>
  <c r="G19" i="25"/>
  <c r="M88" i="4"/>
  <c r="N86" i="4"/>
  <c r="G19" i="20"/>
  <c r="R85" i="4"/>
  <c r="S85" i="4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C10" i="10"/>
  <c r="E11" i="13"/>
  <c r="H12" i="13" s="1"/>
  <c r="U86" i="4"/>
  <c r="Y85" i="4"/>
  <c r="H13" i="13" l="1"/>
  <c r="H14" i="13"/>
  <c r="E18" i="27"/>
  <c r="E17" i="27"/>
  <c r="E18" i="26"/>
  <c r="E17" i="26"/>
  <c r="E18" i="25"/>
  <c r="E17" i="25"/>
  <c r="U88" i="4"/>
  <c r="V86" i="4"/>
  <c r="E18" i="20"/>
  <c r="E17" i="20"/>
  <c r="E16" i="13"/>
  <c r="E17" i="13"/>
  <c r="Z85" i="4"/>
  <c r="AA85" i="4"/>
  <c r="AB85" i="4" s="1"/>
  <c r="V88" i="4"/>
  <c r="W86" i="4"/>
  <c r="E20" i="27" l="1"/>
  <c r="E22" i="27" s="1"/>
  <c r="F19" i="27"/>
  <c r="F20" i="27" s="1"/>
  <c r="F22" i="27" s="1"/>
  <c r="E19" i="13"/>
  <c r="E21" i="13" s="1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F19" i="13"/>
  <c r="F21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E10" i="10"/>
  <c r="G11" i="13"/>
  <c r="J12" i="13" s="1"/>
  <c r="G16" i="13" l="1"/>
  <c r="J13" i="13"/>
  <c r="J14" i="13"/>
  <c r="G18" i="27"/>
  <c r="G17" i="27"/>
  <c r="G20" i="27" s="1"/>
  <c r="G22" i="27" s="1"/>
  <c r="G18" i="25"/>
  <c r="G17" i="25"/>
  <c r="G18" i="26"/>
  <c r="G17" i="26"/>
  <c r="G18" i="20"/>
  <c r="G17" i="20"/>
  <c r="G17" i="13"/>
  <c r="G28" i="27" l="1"/>
  <c r="G27" i="27"/>
  <c r="G20" i="25"/>
  <c r="G22" i="25" s="1"/>
  <c r="G20" i="26"/>
  <c r="G22" i="26" s="1"/>
  <c r="G20" i="20"/>
  <c r="G22" i="20" s="1"/>
  <c r="G19" i="13"/>
  <c r="G21" i="13" s="1"/>
  <c r="G27" i="26" l="1"/>
  <c r="G28" i="26"/>
  <c r="G27" i="25"/>
  <c r="G28" i="25"/>
  <c r="G27" i="20"/>
  <c r="G28" i="20"/>
  <c r="G26" i="13"/>
  <c r="G27" i="13"/>
  <c r="E11" i="14" l="1"/>
</calcChain>
</file>

<file path=xl/sharedStrings.xml><?xml version="1.0" encoding="utf-8"?>
<sst xmlns="http://schemas.openxmlformats.org/spreadsheetml/2006/main" count="1536" uniqueCount="326">
  <si>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</si>
  <si>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</si>
  <si>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</si>
  <si>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</si>
  <si>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</si>
  <si>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</si>
  <si>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</si>
  <si>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</si>
  <si>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</si>
  <si>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</si>
  <si>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</si>
  <si>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</si>
  <si>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</si>
  <si>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</si>
  <si>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</si>
  <si>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</si>
  <si>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</si>
  <si>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</si>
  <si>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</si>
  <si>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</si>
  <si>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</si>
  <si>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</si>
  <si>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</si>
  <si>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</si>
  <si>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</si>
  <si>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</si>
  <si>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</si>
  <si>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</si>
  <si>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</si>
  <si>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</si>
  <si>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</si>
  <si>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</si>
  <si>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</si>
  <si>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</si>
  <si>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</si>
  <si>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</si>
  <si>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</si>
  <si>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</si>
  <si>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</si>
  <si>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</si>
  <si>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</si>
  <si>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</si>
  <si>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</si>
  <si>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</si>
  <si>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</si>
  <si>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</si>
  <si>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</si>
  <si>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</si>
  <si>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</si>
  <si>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</si>
  <si>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</si>
  <si>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</si>
  <si>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</si>
  <si>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</si>
  <si>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</si>
  <si>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</si>
  <si>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</si>
  <si>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</si>
  <si>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</si>
  <si>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</si>
  <si>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</si>
  <si>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</si>
  <si>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</si>
  <si>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</si>
  <si>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</si>
  <si>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</si>
  <si>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</si>
  <si>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</si>
  <si>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</si>
  <si>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</si>
  <si>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</si>
  <si>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</si>
  <si>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</si>
  <si>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</si>
  <si>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</si>
  <si>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</si>
  <si>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</si>
  <si>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</si>
  <si>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</si>
  <si>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</si>
  <si>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</si>
  <si>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</si>
  <si>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</si>
  <si>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</si>
  <si>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</si>
  <si>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</si>
  <si>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</si>
  <si>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</si>
  <si>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</si>
  <si>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</si>
  <si>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</si>
  <si>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</si>
  <si>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</si>
  <si>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</si>
  <si>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</si>
  <si>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</si>
  <si>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</si>
  <si>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</si>
  <si>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</si>
  <si>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</si>
  <si>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</si>
  <si>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</si>
  <si>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</si>
  <si>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</si>
  <si>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</si>
  <si>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</si>
  <si>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</si>
  <si>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</si>
  <si>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</si>
  <si>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</si>
  <si>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</si>
  <si>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</si>
  <si>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</si>
  <si>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</si>
  <si>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</si>
  <si>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</si>
  <si>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</si>
  <si>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</si>
  <si>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</si>
  <si>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</si>
  <si>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</si>
  <si>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</si>
  <si>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</si>
  <si>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</si>
  <si>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</si>
  <si>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</si>
  <si>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</si>
  <si>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</si>
  <si>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</si>
  <si>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</si>
  <si>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</si>
  <si>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</si>
  <si>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</si>
  <si>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</si>
  <si>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</si>
  <si>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</si>
  <si>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</si>
  <si>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</si>
  <si>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</si>
  <si>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</si>
  <si>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</si>
  <si>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</si>
  <si>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</si>
  <si>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</si>
  <si>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</si>
  <si>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</si>
  <si>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</si>
  <si>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</si>
  <si>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</si>
  <si>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</si>
  <si>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</si>
  <si>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</si>
  <si>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</si>
  <si>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</si>
  <si>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</si>
  <si>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</si>
  <si>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</si>
  <si>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</si>
  <si>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</si>
  <si>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</si>
  <si>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</si>
  <si>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</si>
  <si>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</si>
  <si>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</si>
  <si>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</si>
  <si>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</si>
  <si>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</si>
  <si>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</si>
  <si>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</si>
  <si>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</si>
  <si>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</si>
  <si>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</si>
  <si>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</si>
  <si>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</si>
  <si>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</si>
  <si>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</si>
  <si>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</si>
  <si>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</si>
  <si>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</si>
  <si>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</si>
  <si>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</si>
  <si>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</si>
  <si>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</si>
  <si>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</si>
  <si>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</si>
  <si>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</si>
  <si>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</si>
  <si>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</si>
  <si>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</si>
  <si>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</si>
  <si>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</si>
  <si>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</si>
  <si>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</si>
  <si>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</si>
  <si>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</si>
  <si>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</si>
  <si>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</si>
  <si>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</si>
  <si>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</si>
  <si>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</si>
  <si>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</si>
  <si>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</si>
  <si>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</si>
  <si>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</si>
  <si>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</si>
  <si>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</si>
  <si>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</si>
  <si>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</si>
  <si>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</si>
  <si>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</si>
  <si>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</si>
  <si>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</si>
  <si>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</si>
  <si>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</si>
  <si>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</si>
  <si>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</si>
  <si>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</si>
  <si>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</si>
  <si>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</si>
  <si>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</si>
  <si>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</si>
  <si>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</si>
  <si>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</si>
  <si>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</si>
  <si>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</si>
  <si>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</si>
  <si>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</si>
  <si>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</si>
  <si>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</si>
  <si>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</si>
  <si>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</si>
  <si>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</si>
  <si>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</si>
  <si>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</si>
  <si>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</si>
  <si>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</si>
  <si>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</si>
  <si>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</si>
  <si>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</si>
  <si>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</si>
  <si>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</si>
  <si>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</si>
  <si>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</si>
  <si>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Costo VPN</t>
  </si>
  <si>
    <t>Servicios contaduria 2023</t>
  </si>
  <si>
    <t>Servicios contaduria 2024</t>
  </si>
  <si>
    <t>Servicios contaduria 2022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</si>
  <si>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</si>
  <si>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</si>
  <si>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</si>
  <si>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</si>
  <si>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</si>
  <si>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</si>
  <si>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</si>
  <si>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</si>
  <si>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</si>
  <si>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</si>
  <si>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</si>
  <si>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</si>
  <si>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</si>
  <si>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</si>
  <si>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</si>
  <si>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</si>
  <si>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</si>
  <si>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</si>
  <si>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</si>
  <si>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</si>
  <si>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</si>
  <si>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</si>
  <si>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</si>
  <si>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</si>
  <si>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</si>
  <si>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</si>
  <si>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</si>
  <si>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</si>
  <si>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</si>
  <si>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</si>
  <si>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</si>
  <si>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</si>
  <si>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</si>
  <si>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</si>
  <si>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</si>
  <si>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</si>
  <si>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</si>
  <si>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</si>
  <si>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</si>
  <si>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</si>
  <si>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</si>
  <si>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</si>
  <si>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</si>
  <si>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</si>
  <si>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</si>
  <si>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</si>
  <si>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</si>
  <si>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</si>
  <si>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</si>
  <si>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</si>
  <si>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</si>
  <si>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</si>
  <si>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</si>
  <si>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</si>
  <si>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</si>
  <si>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</si>
  <si>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</si>
  <si>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</si>
  <si>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</si>
  <si>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</si>
  <si>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Aumento de carga impositiva para la contratación de servicios.</t>
  </si>
  <si>
    <t>Para frenar el desabastecimiento de reservas, el gobierno impulsa la creación de nuevos impuestos hacia la contratación extranjera de servicios.</t>
  </si>
  <si>
    <t>La aparicion de competidores y el amplio mercado de IT, hace que la rotación de recursos aumente.</t>
  </si>
  <si>
    <t>Tomamos el precio a partir de la estimacion hecha desde el project</t>
  </si>
  <si>
    <t>Promocion de venta</t>
  </si>
  <si>
    <t>cada cliente nuevo recibe 1 mes gratis en el plan adecuado para su local de venta</t>
  </si>
  <si>
    <t>el primer mes de servicio es de prueba</t>
  </si>
  <si>
    <t>Costos variables - Año 2022</t>
  </si>
  <si>
    <t>Costos variables - Año 2023</t>
  </si>
  <si>
    <t>Costos variables - Año 2024</t>
  </si>
  <si>
    <t>Publicidad online 2022</t>
  </si>
  <si>
    <t>Publicidad online 2023</t>
  </si>
  <si>
    <t>Publicidad online 2024</t>
  </si>
  <si>
    <t>Gasto en servicios externos aumentan un 35% en 2023 y un 50% en 2024.</t>
  </si>
  <si>
    <t>Campaña de venta 2022</t>
  </si>
  <si>
    <t>Campaña de venta 2023</t>
  </si>
  <si>
    <t>Campaña de venta 2024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</si>
  <si>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$95000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$741.000.000,00 anuales.</t>
    </r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</si>
  <si>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 (reduccion en un 10%).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 (reduccion en un 20%).
</t>
    </r>
    <r>
      <rPr>
        <b/>
        <sz val="11"/>
        <color theme="1"/>
        <rFont val="Calibri"/>
        <family val="2"/>
        <scheme val="minor"/>
      </rPr>
      <t>Medida nº3:</t>
    </r>
    <r>
      <rPr>
        <sz val="11"/>
        <color theme="1"/>
        <rFont val="Calibri"/>
        <family val="2"/>
        <scheme val="minor"/>
      </rPr>
      <t xml:space="preserve"> Se reduce la la instalacion de los nuevos servers para 2024 ya que no es necesario para el numero de clientes que tendremos (reduccion en un 10% de los servers necesarios).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</si>
</sst>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  <fill>
      <patternFill patternType="solid">
        <fgColor theme="2"/>
        <bgColor theme="0"/>
      </patternFill>
    </fill>
    <fill>
      <patternFill patternType="solid">
        <fgColor rgb="FFFFFF00"/>
        <bgColor rgb="FFFB6D6D"/>
      </patternFill>
    </fill>
  </fills>
  <borders count="1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2">
    <xf numFmtId="0" fontId="0" fillId="0" borderId="0"/>
    <xf numFmtId="0" fontId="24" fillId="0" borderId="75"/>
    <xf numFmtId="0" fontId="18" fillId="0" borderId="0" applyNumberFormat="0" applyFill="0" applyBorder="0" applyAlignment="0" applyProtection="0"/>
    <xf numFmtId="0" fontId="4" fillId="0" borderId="75"/>
    <xf numFmtId="176" fontId="4" fillId="0" borderId="75" applyFont="0" applyFill="0" applyBorder="0" applyAlignment="0" applyProtection="0"/>
    <xf numFmtId="0" fontId="29" fillId="0" borderId="75" applyNumberFormat="0" applyFill="0" applyBorder="0" applyAlignment="0" applyProtection="0"/>
    <xf numFmtId="176" fontId="4" fillId="0" borderId="75" applyFont="0" applyFill="0" applyBorder="0" applyAlignment="0" applyProtection="0"/>
    <xf numFmtId="0" fontId="4" fillId="0" borderId="75"/>
    <xf numFmtId="177" fontId="30" fillId="0" borderId="75" applyFont="0" applyFill="0" applyBorder="0" applyAlignment="0" applyProtection="0"/>
    <xf numFmtId="9" fontId="4" fillId="0" borderId="75" applyFont="0" applyFill="0" applyBorder="0" applyAlignment="0" applyProtection="0"/>
    <xf numFmtId="0" fontId="3" fillId="0" borderId="75"/>
    <xf numFmtId="0" fontId="3" fillId="16" borderId="75" applyNumberFormat="0" applyBorder="0" applyAlignment="0" applyProtection="0"/>
    <xf numFmtId="166" fontId="3" fillId="0" borderId="75" applyFont="0" applyFill="0" applyBorder="0" applyAlignment="0" applyProtection="0"/>
    <xf numFmtId="178" fontId="3" fillId="0" borderId="75" applyFont="0" applyFill="0" applyBorder="0" applyAlignment="0" applyProtection="0"/>
    <xf numFmtId="179" fontId="32" fillId="0" borderId="75"/>
    <xf numFmtId="179" fontId="32" fillId="0" borderId="75"/>
    <xf numFmtId="44" fontId="3" fillId="0" borderId="75" applyFont="0" applyFill="0" applyBorder="0" applyAlignment="0" applyProtection="0"/>
    <xf numFmtId="9" fontId="3" fillId="0" borderId="75" applyFont="0" applyFill="0" applyBorder="0" applyAlignment="0" applyProtection="0"/>
    <xf numFmtId="165" fontId="3" fillId="0" borderId="75" applyFont="0" applyFill="0" applyBorder="0" applyAlignment="0" applyProtection="0"/>
    <xf numFmtId="44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8" fillId="0" borderId="0" applyFont="0" applyFill="0" applyBorder="0" applyAlignment="0" applyProtection="0"/>
  </cellStyleXfs>
  <cellXfs count="616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11" fillId="0" borderId="0" xfId="0" applyFont="1"/>
    <xf numFmtId="0" fontId="5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7" fillId="2" borderId="1" xfId="0" applyFont="1" applyFill="1" applyBorder="1" applyAlignment="1">
      <alignment horizontal="left" vertical="top" wrapText="1"/>
    </xf>
    <xf numFmtId="0" fontId="17" fillId="2" borderId="15" xfId="0" applyFont="1" applyFill="1" applyBorder="1" applyAlignment="1">
      <alignment horizontal="center" vertical="top" wrapText="1"/>
    </xf>
    <xf numFmtId="170" fontId="17" fillId="2" borderId="15" xfId="0" applyNumberFormat="1" applyFont="1" applyFill="1" applyBorder="1" applyAlignment="1">
      <alignment horizontal="center" vertical="top" wrapText="1"/>
    </xf>
    <xf numFmtId="169" fontId="17" fillId="2" borderId="15" xfId="0" applyNumberFormat="1" applyFont="1" applyFill="1" applyBorder="1" applyAlignment="1">
      <alignment horizontal="left" vertical="top" wrapText="1"/>
    </xf>
    <xf numFmtId="9" fontId="17" fillId="2" borderId="1" xfId="0" applyNumberFormat="1" applyFont="1" applyFill="1" applyBorder="1" applyAlignment="1">
      <alignment horizontal="left" vertical="top" wrapText="1"/>
    </xf>
    <xf numFmtId="169" fontId="17" fillId="2" borderId="1" xfId="0" applyNumberFormat="1" applyFont="1" applyFill="1" applyBorder="1" applyAlignment="1">
      <alignment horizontal="left" vertical="top" wrapText="1"/>
    </xf>
    <xf numFmtId="171" fontId="17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2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5" fillId="0" borderId="55" xfId="0" applyFont="1" applyBorder="1" applyAlignment="1">
      <alignment horizontal="left" wrapText="1"/>
    </xf>
    <xf numFmtId="0" fontId="19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173" fontId="5" fillId="0" borderId="38" xfId="0" applyNumberFormat="1" applyFont="1" applyBorder="1" applyAlignment="1">
      <alignment horizontal="left" wrapText="1"/>
    </xf>
    <xf numFmtId="173" fontId="5" fillId="0" borderId="43" xfId="0" applyNumberFormat="1" applyFont="1" applyBorder="1" applyAlignment="1">
      <alignment horizontal="left" wrapText="1"/>
    </xf>
    <xf numFmtId="0" fontId="1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173" fontId="5" fillId="6" borderId="1" xfId="0" applyNumberFormat="1" applyFont="1" applyFill="1" applyBorder="1"/>
    <xf numFmtId="0" fontId="5" fillId="6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8" xfId="0" applyFont="1" applyFill="1" applyBorder="1" applyAlignment="1">
      <alignment wrapText="1"/>
    </xf>
    <xf numFmtId="0" fontId="5" fillId="2" borderId="68" xfId="0" applyFont="1" applyFill="1" applyBorder="1" applyAlignment="1">
      <alignment horizontal="center" wrapText="1"/>
    </xf>
    <xf numFmtId="0" fontId="5" fillId="2" borderId="68" xfId="0" applyFont="1" applyFill="1" applyBorder="1"/>
    <xf numFmtId="0" fontId="19" fillId="2" borderId="70" xfId="0" applyFont="1" applyFill="1" applyBorder="1" applyAlignment="1">
      <alignment horizontal="center" vertical="center" wrapText="1"/>
    </xf>
    <xf numFmtId="0" fontId="19" fillId="2" borderId="50" xfId="0" applyFont="1" applyFill="1" applyBorder="1" applyAlignment="1">
      <alignment horizontal="center" vertical="center" wrapText="1"/>
    </xf>
    <xf numFmtId="1" fontId="19" fillId="0" borderId="72" xfId="0" applyNumberFormat="1" applyFont="1" applyBorder="1" applyAlignment="1">
      <alignment horizontal="center" vertical="center" wrapText="1"/>
    </xf>
    <xf numFmtId="0" fontId="19" fillId="0" borderId="7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/>
    </xf>
    <xf numFmtId="171" fontId="15" fillId="4" borderId="23" xfId="0" applyNumberFormat="1" applyFont="1" applyFill="1" applyBorder="1" applyAlignment="1">
      <alignment horizontal="left" wrapText="1"/>
    </xf>
    <xf numFmtId="169" fontId="5" fillId="4" borderId="24" xfId="0" applyNumberFormat="1" applyFont="1" applyFill="1" applyBorder="1" applyAlignment="1">
      <alignment wrapText="1"/>
    </xf>
    <xf numFmtId="171" fontId="15" fillId="7" borderId="23" xfId="0" applyNumberFormat="1" applyFont="1" applyFill="1" applyBorder="1" applyAlignment="1">
      <alignment horizontal="left" wrapText="1"/>
    </xf>
    <xf numFmtId="169" fontId="5" fillId="7" borderId="24" xfId="0" applyNumberFormat="1" applyFont="1" applyFill="1" applyBorder="1" applyAlignment="1">
      <alignment wrapText="1"/>
    </xf>
    <xf numFmtId="0" fontId="19" fillId="8" borderId="19" xfId="0" applyFont="1" applyFill="1" applyBorder="1" applyAlignment="1">
      <alignment wrapText="1"/>
    </xf>
    <xf numFmtId="169" fontId="19" fillId="8" borderId="20" xfId="0" applyNumberFormat="1" applyFont="1" applyFill="1" applyBorder="1" applyAlignment="1">
      <alignment wrapText="1"/>
    </xf>
    <xf numFmtId="169" fontId="19" fillId="8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169" fontId="19" fillId="5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173" fontId="19" fillId="5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19" fillId="5" borderId="15" xfId="0" applyNumberFormat="1" applyFont="1" applyFill="1" applyBorder="1" applyAlignment="1">
      <alignment horizontal="right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19" fillId="5" borderId="5" xfId="0" applyNumberFormat="1" applyFont="1" applyFill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0" fontId="5" fillId="0" borderId="79" xfId="0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0" borderId="77" xfId="0" applyFont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0" fontId="5" fillId="5" borderId="80" xfId="0" applyFont="1" applyFill="1" applyBorder="1" applyAlignment="1">
      <alignment horizontal="center"/>
    </xf>
    <xf numFmtId="173" fontId="5" fillId="5" borderId="81" xfId="0" applyNumberFormat="1" applyFont="1" applyFill="1" applyBorder="1" applyAlignment="1">
      <alignment horizontal="center"/>
    </xf>
    <xf numFmtId="173" fontId="5" fillId="5" borderId="73" xfId="0" applyNumberFormat="1" applyFont="1" applyFill="1" applyBorder="1" applyAlignment="1">
      <alignment horizontal="center"/>
    </xf>
    <xf numFmtId="173" fontId="5" fillId="0" borderId="93" xfId="0" applyNumberFormat="1" applyFont="1" applyBorder="1" applyAlignment="1">
      <alignment horizontal="center"/>
    </xf>
    <xf numFmtId="173" fontId="5" fillId="0" borderId="103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5" borderId="80" xfId="0" applyNumberFormat="1" applyFont="1" applyFill="1" applyBorder="1" applyAlignment="1">
      <alignment horizontal="center"/>
    </xf>
    <xf numFmtId="173" fontId="19" fillId="5" borderId="23" xfId="0" applyNumberFormat="1" applyFont="1" applyFill="1" applyBorder="1"/>
    <xf numFmtId="9" fontId="19" fillId="3" borderId="48" xfId="0" applyNumberFormat="1" applyFont="1" applyFill="1" applyBorder="1" applyAlignment="1">
      <alignment horizontal="center"/>
    </xf>
    <xf numFmtId="173" fontId="19" fillId="5" borderId="29" xfId="0" applyNumberFormat="1" applyFont="1" applyFill="1" applyBorder="1"/>
    <xf numFmtId="164" fontId="19" fillId="3" borderId="30" xfId="0" applyNumberFormat="1" applyFont="1" applyFill="1" applyBorder="1" applyAlignment="1">
      <alignment horizontal="center"/>
    </xf>
    <xf numFmtId="173" fontId="19" fillId="5" borderId="19" xfId="0" applyNumberFormat="1" applyFont="1" applyFill="1" applyBorder="1"/>
    <xf numFmtId="9" fontId="19" fillId="3" borderId="35" xfId="0" applyNumberFormat="1" applyFont="1" applyFill="1" applyBorder="1" applyAlignment="1">
      <alignment horizontal="center"/>
    </xf>
    <xf numFmtId="169" fontId="19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5" fillId="2" borderId="1" xfId="0" applyFont="1" applyFill="1" applyBorder="1" applyAlignment="1">
      <alignment horizontal="left" vertical="center" wrapText="1"/>
    </xf>
    <xf numFmtId="0" fontId="5" fillId="2" borderId="75" xfId="0" applyFont="1" applyFill="1" applyBorder="1"/>
    <xf numFmtId="0" fontId="19" fillId="9" borderId="43" xfId="0" applyFont="1" applyFill="1" applyBorder="1" applyAlignment="1">
      <alignment horizontal="center" vertical="center"/>
    </xf>
    <xf numFmtId="1" fontId="5" fillId="2" borderId="109" xfId="0" applyNumberFormat="1" applyFont="1" applyFill="1" applyBorder="1"/>
    <xf numFmtId="173" fontId="5" fillId="0" borderId="109" xfId="0" applyNumberFormat="1" applyFont="1" applyBorder="1" applyAlignment="1">
      <alignment horizontal="left" wrapText="1"/>
    </xf>
    <xf numFmtId="1" fontId="5" fillId="10" borderId="109" xfId="0" applyNumberFormat="1" applyFont="1" applyFill="1" applyBorder="1"/>
    <xf numFmtId="0" fontId="25" fillId="0" borderId="109" xfId="0" applyFont="1" applyBorder="1" applyAlignment="1">
      <alignment horizontal="center" vertical="center"/>
    </xf>
    <xf numFmtId="0" fontId="25" fillId="0" borderId="109" xfId="0" applyFont="1" applyBorder="1" applyAlignment="1">
      <alignment horizontal="center"/>
    </xf>
    <xf numFmtId="0" fontId="5" fillId="11" borderId="1" xfId="0" applyFont="1" applyFill="1" applyBorder="1"/>
    <xf numFmtId="173" fontId="19" fillId="5" borderId="109" xfId="0" applyNumberFormat="1" applyFont="1" applyFill="1" applyBorder="1"/>
    <xf numFmtId="0" fontId="5" fillId="0" borderId="109" xfId="0" applyFont="1" applyBorder="1" applyAlignment="1">
      <alignment vertical="center"/>
    </xf>
    <xf numFmtId="173" fontId="5" fillId="0" borderId="109" xfId="0" applyNumberFormat="1" applyFont="1" applyBorder="1" applyAlignment="1">
      <alignment horizontal="center"/>
    </xf>
    <xf numFmtId="10" fontId="5" fillId="2" borderId="1" xfId="0" applyNumberFormat="1" applyFont="1" applyFill="1" applyBorder="1"/>
    <xf numFmtId="173" fontId="25" fillId="0" borderId="112" xfId="0" applyNumberFormat="1" applyFont="1" applyBorder="1" applyAlignment="1">
      <alignment horizontal="left" wrapText="1"/>
    </xf>
    <xf numFmtId="0" fontId="25" fillId="0" borderId="112" xfId="0" applyFont="1" applyBorder="1" applyAlignment="1">
      <alignment horizontal="center" vertical="center"/>
    </xf>
    <xf numFmtId="0" fontId="5" fillId="2" borderId="75" xfId="0" applyFont="1" applyFill="1" applyBorder="1" applyAlignment="1">
      <alignment horizontal="center" vertical="center"/>
    </xf>
    <xf numFmtId="173" fontId="25" fillId="0" borderId="112" xfId="0" applyNumberFormat="1" applyFont="1" applyBorder="1" applyAlignment="1">
      <alignment horizontal="center"/>
    </xf>
    <xf numFmtId="173" fontId="5" fillId="9" borderId="94" xfId="0" applyNumberFormat="1" applyFont="1" applyFill="1" applyBorder="1" applyAlignment="1">
      <alignment horizontal="center"/>
    </xf>
    <xf numFmtId="0" fontId="3" fillId="15" borderId="75" xfId="10" applyFill="1"/>
    <xf numFmtId="0" fontId="5" fillId="17" borderId="1" xfId="0" applyFont="1" applyFill="1" applyBorder="1"/>
    <xf numFmtId="0" fontId="37" fillId="17" borderId="15" xfId="0" applyFont="1" applyFill="1" applyBorder="1" applyAlignment="1">
      <alignment horizontal="center" vertical="top" wrapText="1"/>
    </xf>
    <xf numFmtId="0" fontId="37" fillId="17" borderId="15" xfId="0" applyFont="1" applyFill="1" applyBorder="1" applyAlignment="1">
      <alignment horizontal="left" vertical="top" wrapText="1"/>
    </xf>
    <xf numFmtId="0" fontId="14" fillId="2" borderId="75" xfId="0" applyFont="1" applyFill="1" applyBorder="1" applyAlignment="1">
      <alignment horizontal="left" vertical="top" wrapText="1"/>
    </xf>
    <xf numFmtId="168" fontId="5" fillId="2" borderId="75" xfId="0" applyNumberFormat="1" applyFont="1" applyFill="1" applyBorder="1"/>
    <xf numFmtId="167" fontId="14" fillId="2" borderId="75" xfId="0" applyNumberFormat="1" applyFont="1" applyFill="1" applyBorder="1" applyAlignment="1">
      <alignment horizontal="left" vertical="top" wrapText="1"/>
    </xf>
    <xf numFmtId="168" fontId="14" fillId="2" borderId="75" xfId="0" applyNumberFormat="1" applyFont="1" applyFill="1" applyBorder="1" applyAlignment="1">
      <alignment horizontal="left" vertical="top" wrapText="1"/>
    </xf>
    <xf numFmtId="169" fontId="16" fillId="19" borderId="75" xfId="0" applyNumberFormat="1" applyFont="1" applyFill="1" applyBorder="1" applyAlignment="1">
      <alignment horizontal="left" vertical="top" wrapText="1"/>
    </xf>
    <xf numFmtId="0" fontId="15" fillId="17" borderId="109" xfId="0" applyFont="1" applyFill="1" applyBorder="1" applyAlignment="1">
      <alignment horizontal="center" vertical="center" wrapText="1"/>
    </xf>
    <xf numFmtId="167" fontId="14" fillId="2" borderId="109" xfId="0" applyNumberFormat="1" applyFont="1" applyFill="1" applyBorder="1" applyAlignment="1">
      <alignment horizontal="left" vertical="top" wrapText="1"/>
    </xf>
    <xf numFmtId="168" fontId="14" fillId="2" borderId="109" xfId="0" applyNumberFormat="1" applyFont="1" applyFill="1" applyBorder="1" applyAlignment="1">
      <alignment horizontal="left" vertical="top" wrapText="1"/>
    </xf>
    <xf numFmtId="169" fontId="16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6" fillId="17" borderId="19" xfId="0" applyFont="1" applyFill="1" applyBorder="1" applyAlignment="1">
      <alignment horizontal="left" vertical="top" wrapText="1"/>
    </xf>
    <xf numFmtId="0" fontId="16" fillId="17" borderId="20" xfId="0" applyFont="1" applyFill="1" applyBorder="1" applyAlignment="1">
      <alignment horizontal="left" vertical="top" wrapText="1"/>
    </xf>
    <xf numFmtId="0" fontId="15" fillId="20" borderId="23" xfId="0" applyFont="1" applyFill="1" applyBorder="1" applyAlignment="1">
      <alignment vertical="center"/>
    </xf>
    <xf numFmtId="172" fontId="15" fillId="20" borderId="24" xfId="0" applyNumberFormat="1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172" fontId="15" fillId="21" borderId="24" xfId="0" applyNumberFormat="1" applyFont="1" applyFill="1" applyBorder="1" applyAlignment="1">
      <alignment vertical="center"/>
    </xf>
    <xf numFmtId="0" fontId="5" fillId="23" borderId="1" xfId="0" applyFont="1" applyFill="1" applyBorder="1"/>
    <xf numFmtId="0" fontId="9" fillId="23" borderId="1" xfId="0" applyFont="1" applyFill="1" applyBorder="1" applyAlignment="1">
      <alignment vertical="center"/>
    </xf>
    <xf numFmtId="0" fontId="10" fillId="23" borderId="1" xfId="0" applyFont="1" applyFill="1" applyBorder="1" applyAlignment="1">
      <alignment vertical="center"/>
    </xf>
    <xf numFmtId="173" fontId="25" fillId="0" borderId="38" xfId="0" applyNumberFormat="1" applyFont="1" applyBorder="1" applyAlignment="1">
      <alignment vertical="center"/>
    </xf>
    <xf numFmtId="0" fontId="5" fillId="17" borderId="1" xfId="0" applyFont="1" applyFill="1" applyBorder="1" applyAlignment="1">
      <alignment wrapText="1"/>
    </xf>
    <xf numFmtId="0" fontId="9" fillId="17" borderId="1" xfId="0" applyFont="1" applyFill="1" applyBorder="1" applyAlignment="1">
      <alignment vertical="center"/>
    </xf>
    <xf numFmtId="0" fontId="27" fillId="17" borderId="102" xfId="0" applyFont="1" applyFill="1" applyBorder="1" applyAlignment="1">
      <alignment horizontal="center" vertical="center" wrapText="1"/>
    </xf>
    <xf numFmtId="0" fontId="19" fillId="17" borderId="102" xfId="0" applyFont="1" applyFill="1" applyBorder="1" applyAlignment="1">
      <alignment horizontal="center" vertical="center" wrapText="1"/>
    </xf>
    <xf numFmtId="0" fontId="15" fillId="34" borderId="23" xfId="0" applyFont="1" applyFill="1" applyBorder="1" applyAlignment="1">
      <alignment vertical="center"/>
    </xf>
    <xf numFmtId="0" fontId="12" fillId="29" borderId="2" xfId="0" applyFont="1" applyFill="1" applyBorder="1" applyAlignment="1">
      <alignment horizontal="center" vertical="center"/>
    </xf>
    <xf numFmtId="0" fontId="19" fillId="31" borderId="54" xfId="0" applyFont="1" applyFill="1" applyBorder="1" applyAlignment="1">
      <alignment horizontal="center"/>
    </xf>
    <xf numFmtId="0" fontId="19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19" fillId="15" borderId="107" xfId="0" applyFont="1" applyFill="1" applyBorder="1" applyAlignment="1">
      <alignment horizontal="center" vertical="center"/>
    </xf>
    <xf numFmtId="0" fontId="24" fillId="0" borderId="0" xfId="0" applyFont="1"/>
    <xf numFmtId="0" fontId="5" fillId="41" borderId="1" xfId="0" applyFont="1" applyFill="1" applyBorder="1"/>
    <xf numFmtId="0" fontId="9" fillId="41" borderId="1" xfId="0" applyFont="1" applyFill="1" applyBorder="1" applyAlignment="1">
      <alignment vertical="center"/>
    </xf>
    <xf numFmtId="0" fontId="21" fillId="41" borderId="1" xfId="0" applyFont="1" applyFill="1" applyBorder="1" applyAlignment="1">
      <alignment vertical="center"/>
    </xf>
    <xf numFmtId="0" fontId="19" fillId="41" borderId="15" xfId="0" applyFont="1" applyFill="1" applyBorder="1" applyAlignment="1">
      <alignment horizontal="center"/>
    </xf>
    <xf numFmtId="0" fontId="19" fillId="7" borderId="100" xfId="0" applyFont="1" applyFill="1" applyBorder="1" applyAlignment="1">
      <alignment horizontal="center"/>
    </xf>
    <xf numFmtId="0" fontId="19" fillId="29" borderId="2" xfId="0" applyFont="1" applyFill="1" applyBorder="1" applyAlignment="1">
      <alignment horizontal="center" vertical="center" wrapText="1"/>
    </xf>
    <xf numFmtId="0" fontId="15" fillId="34" borderId="2" xfId="0" applyFont="1" applyFill="1" applyBorder="1" applyAlignment="1">
      <alignment vertical="center"/>
    </xf>
    <xf numFmtId="169" fontId="5" fillId="34" borderId="2" xfId="0" applyNumberFormat="1" applyFont="1" applyFill="1" applyBorder="1"/>
    <xf numFmtId="0" fontId="15" fillId="20" borderId="2" xfId="0" applyFont="1" applyFill="1" applyBorder="1" applyAlignment="1">
      <alignment vertical="center"/>
    </xf>
    <xf numFmtId="169" fontId="5" fillId="20" borderId="2" xfId="0" applyNumberFormat="1" applyFont="1" applyFill="1" applyBorder="1"/>
    <xf numFmtId="0" fontId="15" fillId="21" borderId="2" xfId="0" applyFont="1" applyFill="1" applyBorder="1" applyAlignment="1">
      <alignment vertical="center"/>
    </xf>
    <xf numFmtId="169" fontId="5" fillId="21" borderId="2" xfId="0" applyNumberFormat="1" applyFont="1" applyFill="1" applyBorder="1"/>
    <xf numFmtId="169" fontId="5" fillId="48" borderId="24" xfId="0" applyNumberFormat="1" applyFont="1" applyFill="1" applyBorder="1" applyAlignment="1">
      <alignment wrapText="1"/>
    </xf>
    <xf numFmtId="169" fontId="5" fillId="49" borderId="24" xfId="0" applyNumberFormat="1" applyFont="1" applyFill="1" applyBorder="1" applyAlignment="1">
      <alignment wrapText="1"/>
    </xf>
    <xf numFmtId="169" fontId="5" fillId="48" borderId="48" xfId="0" applyNumberFormat="1" applyFont="1" applyFill="1" applyBorder="1" applyAlignment="1">
      <alignment wrapText="1"/>
    </xf>
    <xf numFmtId="169" fontId="5" fillId="49" borderId="48" xfId="0" applyNumberFormat="1" applyFont="1" applyFill="1" applyBorder="1" applyAlignment="1">
      <alignment wrapText="1"/>
    </xf>
    <xf numFmtId="171" fontId="15" fillId="50" borderId="23" xfId="0" applyNumberFormat="1" applyFont="1" applyFill="1" applyBorder="1" applyAlignment="1">
      <alignment horizontal="left" wrapText="1"/>
    </xf>
    <xf numFmtId="169" fontId="5" fillId="50" borderId="24" xfId="0" applyNumberFormat="1" applyFont="1" applyFill="1" applyBorder="1" applyAlignment="1">
      <alignment wrapText="1"/>
    </xf>
    <xf numFmtId="169" fontId="5" fillId="50" borderId="48" xfId="0" applyNumberFormat="1" applyFont="1" applyFill="1" applyBorder="1" applyAlignment="1">
      <alignment wrapText="1"/>
    </xf>
    <xf numFmtId="171" fontId="15" fillId="41" borderId="51" xfId="0" applyNumberFormat="1" applyFont="1" applyFill="1" applyBorder="1" applyAlignment="1">
      <alignment horizontal="center" wrapText="1"/>
    </xf>
    <xf numFmtId="171" fontId="20" fillId="41" borderId="64" xfId="0" applyNumberFormat="1" applyFont="1" applyFill="1" applyBorder="1" applyAlignment="1">
      <alignment horizontal="center" vertical="center" wrapText="1"/>
    </xf>
    <xf numFmtId="171" fontId="20" fillId="41" borderId="52" xfId="0" applyNumberFormat="1" applyFont="1" applyFill="1" applyBorder="1" applyAlignment="1">
      <alignment horizontal="center" vertical="center" wrapText="1"/>
    </xf>
    <xf numFmtId="0" fontId="5" fillId="29" borderId="1" xfId="0" applyFont="1" applyFill="1" applyBorder="1"/>
    <xf numFmtId="0" fontId="9" fillId="29" borderId="1" xfId="0" applyFont="1" applyFill="1" applyBorder="1" applyAlignment="1">
      <alignment vertical="center"/>
    </xf>
    <xf numFmtId="0" fontId="21" fillId="29" borderId="1" xfId="0" applyFont="1" applyFill="1" applyBorder="1" applyAlignment="1">
      <alignment vertical="center"/>
    </xf>
    <xf numFmtId="0" fontId="19" fillId="41" borderId="29" xfId="0" applyFont="1" applyFill="1" applyBorder="1" applyAlignment="1">
      <alignment horizontal="center"/>
    </xf>
    <xf numFmtId="0" fontId="19" fillId="41" borderId="30" xfId="0" applyFont="1" applyFill="1" applyBorder="1" applyAlignment="1">
      <alignment horizontal="center"/>
    </xf>
    <xf numFmtId="0" fontId="19" fillId="41" borderId="2" xfId="0" applyFont="1" applyFill="1" applyBorder="1" applyAlignment="1">
      <alignment horizontal="center"/>
    </xf>
    <xf numFmtId="169" fontId="19" fillId="41" borderId="2" xfId="0" applyNumberFormat="1" applyFont="1" applyFill="1" applyBorder="1" applyAlignment="1">
      <alignment horizontal="center"/>
    </xf>
    <xf numFmtId="0" fontId="43" fillId="41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3" fillId="41" borderId="2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left"/>
    </xf>
    <xf numFmtId="0" fontId="19" fillId="41" borderId="2" xfId="0" applyFont="1" applyFill="1" applyBorder="1"/>
    <xf numFmtId="172" fontId="15" fillId="34" borderId="24" xfId="0" applyNumberFormat="1" applyFont="1" applyFill="1" applyBorder="1" applyAlignment="1">
      <alignment vertical="center"/>
    </xf>
    <xf numFmtId="0" fontId="9" fillId="41" borderId="1" xfId="0" applyFont="1" applyFill="1" applyBorder="1" applyAlignment="1">
      <alignment horizontal="center" vertical="center"/>
    </xf>
    <xf numFmtId="0" fontId="10" fillId="41" borderId="1" xfId="0" applyFont="1" applyFill="1" applyBorder="1" applyAlignment="1">
      <alignment horizontal="center" vertical="center"/>
    </xf>
    <xf numFmtId="0" fontId="23" fillId="41" borderId="1" xfId="0" applyFont="1" applyFill="1" applyBorder="1" applyAlignment="1">
      <alignment vertical="center"/>
    </xf>
    <xf numFmtId="0" fontId="8" fillId="30" borderId="2" xfId="0" applyFont="1" applyFill="1" applyBorder="1" applyAlignment="1">
      <alignment horizontal="center"/>
    </xf>
    <xf numFmtId="169" fontId="5" fillId="34" borderId="2" xfId="0" applyNumberFormat="1" applyFont="1" applyFill="1" applyBorder="1" applyAlignment="1">
      <alignment horizontal="center" vertical="center"/>
    </xf>
    <xf numFmtId="167" fontId="5" fillId="35" borderId="2" xfId="0" applyNumberFormat="1" applyFont="1" applyFill="1" applyBorder="1" applyAlignment="1">
      <alignment horizontal="center" vertical="center"/>
    </xf>
    <xf numFmtId="167" fontId="5" fillId="34" borderId="2" xfId="0" applyNumberFormat="1" applyFont="1" applyFill="1" applyBorder="1" applyAlignment="1">
      <alignment horizontal="center" vertical="center"/>
    </xf>
    <xf numFmtId="169" fontId="5" fillId="20" borderId="2" xfId="0" applyNumberFormat="1" applyFont="1" applyFill="1" applyBorder="1" applyAlignment="1">
      <alignment horizontal="center" vertical="center"/>
    </xf>
    <xf numFmtId="167" fontId="5" fillId="20" borderId="2" xfId="0" applyNumberFormat="1" applyFont="1" applyFill="1" applyBorder="1" applyAlignment="1">
      <alignment horizontal="center" vertical="center"/>
    </xf>
    <xf numFmtId="169" fontId="5" fillId="26" borderId="2" xfId="0" applyNumberFormat="1" applyFont="1" applyFill="1" applyBorder="1" applyAlignment="1">
      <alignment horizontal="center" vertical="center"/>
    </xf>
    <xf numFmtId="169" fontId="5" fillId="21" borderId="2" xfId="0" applyNumberFormat="1" applyFont="1" applyFill="1" applyBorder="1" applyAlignment="1">
      <alignment horizontal="center" vertical="center"/>
    </xf>
    <xf numFmtId="167" fontId="5" fillId="28" borderId="2" xfId="0" applyNumberFormat="1" applyFont="1" applyFill="1" applyBorder="1" applyAlignment="1">
      <alignment horizontal="center" vertical="center"/>
    </xf>
    <xf numFmtId="167" fontId="5" fillId="21" borderId="2" xfId="0" applyNumberFormat="1" applyFont="1" applyFill="1" applyBorder="1" applyAlignment="1">
      <alignment horizontal="center" vertical="center"/>
    </xf>
    <xf numFmtId="169" fontId="5" fillId="27" borderId="2" xfId="0" applyNumberFormat="1" applyFont="1" applyFill="1" applyBorder="1" applyAlignment="1">
      <alignment horizontal="center" vertical="center"/>
    </xf>
    <xf numFmtId="169" fontId="19" fillId="47" borderId="2" xfId="0" applyNumberFormat="1" applyFont="1" applyFill="1" applyBorder="1" applyAlignment="1">
      <alignment horizontal="center" vertical="center"/>
    </xf>
    <xf numFmtId="167" fontId="19" fillId="33" borderId="2" xfId="0" applyNumberFormat="1" applyFont="1" applyFill="1" applyBorder="1" applyAlignment="1">
      <alignment horizontal="center" vertical="center"/>
    </xf>
    <xf numFmtId="169" fontId="19" fillId="37" borderId="2" xfId="0" applyNumberFormat="1" applyFont="1" applyFill="1" applyBorder="1" applyAlignment="1">
      <alignment horizontal="center" vertical="center"/>
    </xf>
    <xf numFmtId="174" fontId="15" fillId="34" borderId="2" xfId="0" applyNumberFormat="1" applyFont="1" applyFill="1" applyBorder="1" applyAlignment="1">
      <alignment horizontal="center" vertical="center"/>
    </xf>
    <xf numFmtId="44" fontId="17" fillId="42" borderId="2" xfId="19" applyFont="1" applyFill="1" applyBorder="1" applyAlignment="1">
      <alignment horizontal="center" vertical="center"/>
    </xf>
    <xf numFmtId="44" fontId="15" fillId="34" borderId="2" xfId="19" applyFont="1" applyFill="1" applyBorder="1" applyAlignment="1">
      <alignment horizontal="center" vertical="center"/>
    </xf>
    <xf numFmtId="169" fontId="19" fillId="43" borderId="2" xfId="0" applyNumberFormat="1" applyFont="1" applyFill="1" applyBorder="1" applyAlignment="1">
      <alignment horizontal="center" vertical="center"/>
    </xf>
    <xf numFmtId="174" fontId="15" fillId="26" borderId="2" xfId="0" applyNumberFormat="1" applyFont="1" applyFill="1" applyBorder="1" applyAlignment="1">
      <alignment horizontal="center" vertical="center"/>
    </xf>
    <xf numFmtId="44" fontId="17" fillId="44" borderId="2" xfId="19" applyFont="1" applyFill="1" applyBorder="1" applyAlignment="1">
      <alignment horizontal="center" vertical="center"/>
    </xf>
    <xf numFmtId="44" fontId="15" fillId="26" borderId="2" xfId="19" applyFont="1" applyFill="1" applyBorder="1" applyAlignment="1">
      <alignment horizontal="center" vertical="center"/>
    </xf>
    <xf numFmtId="169" fontId="19" fillId="45" borderId="2" xfId="0" applyNumberFormat="1" applyFont="1" applyFill="1" applyBorder="1" applyAlignment="1">
      <alignment horizontal="center" vertical="center"/>
    </xf>
    <xf numFmtId="174" fontId="15" fillId="27" borderId="2" xfId="0" applyNumberFormat="1" applyFont="1" applyFill="1" applyBorder="1" applyAlignment="1">
      <alignment horizontal="center" vertical="center"/>
    </xf>
    <xf numFmtId="44" fontId="17" fillId="46" borderId="2" xfId="19" applyFont="1" applyFill="1" applyBorder="1" applyAlignment="1">
      <alignment horizontal="center" vertical="center"/>
    </xf>
    <xf numFmtId="44" fontId="15" fillId="27" borderId="2" xfId="19" applyFont="1" applyFill="1" applyBorder="1" applyAlignment="1">
      <alignment horizontal="center" vertical="center"/>
    </xf>
    <xf numFmtId="174" fontId="15" fillId="24" borderId="2" xfId="0" applyNumberFormat="1" applyFont="1" applyFill="1" applyBorder="1" applyAlignment="1">
      <alignment horizontal="center" vertical="center"/>
    </xf>
    <xf numFmtId="169" fontId="19" fillId="2" borderId="2" xfId="0" applyNumberFormat="1" applyFont="1" applyFill="1" applyBorder="1" applyAlignment="1">
      <alignment horizontal="center" vertical="center"/>
    </xf>
    <xf numFmtId="174" fontId="15" fillId="13" borderId="2" xfId="0" applyNumberFormat="1" applyFont="1" applyFill="1" applyBorder="1" applyAlignment="1">
      <alignment horizontal="center" vertical="center"/>
    </xf>
    <xf numFmtId="171" fontId="15" fillId="25" borderId="2" xfId="0" applyNumberFormat="1" applyFont="1" applyFill="1" applyBorder="1" applyAlignment="1">
      <alignment horizontal="center" vertical="center"/>
    </xf>
    <xf numFmtId="171" fontId="17" fillId="25" borderId="2" xfId="0" applyNumberFormat="1" applyFont="1" applyFill="1" applyBorder="1" applyAlignment="1">
      <alignment horizontal="center" vertical="center"/>
    </xf>
    <xf numFmtId="0" fontId="15" fillId="34" borderId="2" xfId="0" applyFont="1" applyFill="1" applyBorder="1" applyAlignment="1">
      <alignment horizontal="left" vertical="center"/>
    </xf>
    <xf numFmtId="169" fontId="5" fillId="34" borderId="2" xfId="0" applyNumberFormat="1" applyFont="1" applyFill="1" applyBorder="1" applyAlignment="1">
      <alignment horizontal="left" vertical="center"/>
    </xf>
    <xf numFmtId="0" fontId="15" fillId="20" borderId="2" xfId="0" applyFont="1" applyFill="1" applyBorder="1" applyAlignment="1">
      <alignment horizontal="left" vertical="center"/>
    </xf>
    <xf numFmtId="169" fontId="5" fillId="20" borderId="2" xfId="0" applyNumberFormat="1" applyFont="1" applyFill="1" applyBorder="1" applyAlignment="1">
      <alignment horizontal="left" vertical="center"/>
    </xf>
    <xf numFmtId="0" fontId="15" fillId="21" borderId="2" xfId="0" applyFont="1" applyFill="1" applyBorder="1" applyAlignment="1">
      <alignment horizontal="left" vertical="center"/>
    </xf>
    <xf numFmtId="169" fontId="5" fillId="21" borderId="2" xfId="0" applyNumberFormat="1" applyFont="1" applyFill="1" applyBorder="1" applyAlignment="1">
      <alignment horizontal="left" vertical="center"/>
    </xf>
    <xf numFmtId="167" fontId="19" fillId="30" borderId="2" xfId="0" applyNumberFormat="1" applyFont="1" applyFill="1" applyBorder="1" applyAlignment="1">
      <alignment horizontal="center" vertical="center"/>
    </xf>
    <xf numFmtId="169" fontId="19" fillId="36" borderId="2" xfId="0" applyNumberFormat="1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173" fontId="25" fillId="0" borderId="2" xfId="0" applyNumberFormat="1" applyFont="1" applyBorder="1" applyAlignment="1">
      <alignment vertical="center"/>
    </xf>
    <xf numFmtId="0" fontId="24" fillId="30" borderId="109" xfId="0" applyFont="1" applyFill="1" applyBorder="1"/>
    <xf numFmtId="44" fontId="0" fillId="0" borderId="109" xfId="19" applyFont="1" applyBorder="1"/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44" fontId="24" fillId="0" borderId="0" xfId="19" applyFont="1"/>
    <xf numFmtId="0" fontId="15" fillId="41" borderId="2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 vertical="center" wrapText="1"/>
    </xf>
    <xf numFmtId="10" fontId="15" fillId="41" borderId="2" xfId="0" applyNumberFormat="1" applyFont="1" applyFill="1" applyBorder="1" applyAlignment="1">
      <alignment horizontal="center" vertical="center"/>
    </xf>
    <xf numFmtId="9" fontId="15" fillId="41" borderId="2" xfId="0" applyNumberFormat="1" applyFont="1" applyFill="1" applyBorder="1" applyAlignment="1">
      <alignment horizontal="center" vertical="center"/>
    </xf>
    <xf numFmtId="169" fontId="19" fillId="41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09" xfId="0" applyNumberFormat="1" applyFont="1" applyBorder="1" applyAlignment="1">
      <alignment horizontal="center"/>
    </xf>
    <xf numFmtId="1" fontId="19" fillId="0" borderId="109" xfId="0" applyNumberFormat="1" applyFont="1" applyBorder="1" applyAlignment="1">
      <alignment horizontal="center"/>
    </xf>
    <xf numFmtId="0" fontId="12" fillId="41" borderId="54" xfId="0" applyFont="1" applyFill="1" applyBorder="1" applyAlignment="1">
      <alignment horizontal="left"/>
    </xf>
    <xf numFmtId="0" fontId="12" fillId="41" borderId="7" xfId="0" applyFont="1" applyFill="1" applyBorder="1" applyAlignment="1">
      <alignment horizontal="left"/>
    </xf>
    <xf numFmtId="0" fontId="12" fillId="41" borderId="53" xfId="0" applyFont="1" applyFill="1" applyBorder="1" applyAlignment="1">
      <alignment horizontal="left"/>
    </xf>
    <xf numFmtId="0" fontId="15" fillId="41" borderId="15" xfId="0" applyFont="1" applyFill="1" applyBorder="1" applyAlignment="1">
      <alignment horizontal="center" vertical="center"/>
    </xf>
    <xf numFmtId="173" fontId="5" fillId="41" borderId="30" xfId="0" applyNumberFormat="1" applyFont="1" applyFill="1" applyBorder="1"/>
    <xf numFmtId="0" fontId="15" fillId="41" borderId="19" xfId="0" applyFont="1" applyFill="1" applyBorder="1" applyAlignment="1">
      <alignment horizontal="center" vertical="center"/>
    </xf>
    <xf numFmtId="0" fontId="19" fillId="41" borderId="20" xfId="0" applyFont="1" applyFill="1" applyBorder="1" applyAlignment="1">
      <alignment horizontal="center"/>
    </xf>
    <xf numFmtId="175" fontId="19" fillId="41" borderId="20" xfId="0" applyNumberFormat="1" applyFont="1" applyFill="1" applyBorder="1" applyAlignment="1">
      <alignment horizontal="center"/>
    </xf>
    <xf numFmtId="0" fontId="15" fillId="41" borderId="45" xfId="0" applyFont="1" applyFill="1" applyBorder="1" applyAlignment="1">
      <alignment horizontal="center" vertical="center"/>
    </xf>
    <xf numFmtId="0" fontId="19" fillId="41" borderId="95" xfId="0" applyFont="1" applyFill="1" applyBorder="1" applyAlignment="1">
      <alignment horizontal="center"/>
    </xf>
    <xf numFmtId="0" fontId="15" fillId="41" borderId="109" xfId="0" applyFont="1" applyFill="1" applyBorder="1" applyAlignment="1">
      <alignment horizontal="center" vertical="center"/>
    </xf>
    <xf numFmtId="0" fontId="19" fillId="41" borderId="109" xfId="0" applyFont="1" applyFill="1" applyBorder="1" applyAlignment="1">
      <alignment horizontal="center"/>
    </xf>
    <xf numFmtId="175" fontId="19" fillId="41" borderId="109" xfId="0" applyNumberFormat="1" applyFont="1" applyFill="1" applyBorder="1" applyAlignment="1">
      <alignment horizontal="center"/>
    </xf>
    <xf numFmtId="0" fontId="19" fillId="41" borderId="15" xfId="0" applyFont="1" applyFill="1" applyBorder="1" applyAlignment="1">
      <alignment horizontal="left"/>
    </xf>
    <xf numFmtId="0" fontId="5" fillId="30" borderId="0" xfId="0" applyFont="1" applyFill="1"/>
    <xf numFmtId="0" fontId="5" fillId="51" borderId="1" xfId="0" applyFont="1" applyFill="1" applyBorder="1"/>
    <xf numFmtId="0" fontId="19" fillId="41" borderId="86" xfId="0" applyFont="1" applyFill="1" applyBorder="1" applyAlignment="1">
      <alignment horizontal="center"/>
    </xf>
    <xf numFmtId="0" fontId="19" fillId="41" borderId="87" xfId="0" applyFont="1" applyFill="1" applyBorder="1" applyAlignment="1">
      <alignment horizontal="center"/>
    </xf>
    <xf numFmtId="0" fontId="19" fillId="41" borderId="88" xfId="0" applyFont="1" applyFill="1" applyBorder="1" applyAlignment="1">
      <alignment horizontal="center"/>
    </xf>
    <xf numFmtId="0" fontId="15" fillId="41" borderId="98" xfId="0" applyFont="1" applyFill="1" applyBorder="1" applyAlignment="1">
      <alignment horizontal="center"/>
    </xf>
    <xf numFmtId="0" fontId="15" fillId="41" borderId="97" xfId="0" applyFont="1" applyFill="1" applyBorder="1" applyAlignment="1">
      <alignment horizontal="center"/>
    </xf>
    <xf numFmtId="0" fontId="15" fillId="41" borderId="99" xfId="0" applyFont="1" applyFill="1" applyBorder="1" applyAlignment="1">
      <alignment horizontal="center"/>
    </xf>
    <xf numFmtId="0" fontId="24" fillId="0" borderId="109" xfId="0" applyFont="1" applyBorder="1" applyAlignment="1">
      <alignment horizontal="center"/>
    </xf>
    <xf numFmtId="0" fontId="24" fillId="0" borderId="109" xfId="0" applyFont="1" applyBorder="1" applyAlignment="1">
      <alignment horizontal="center" vertical="center"/>
    </xf>
    <xf numFmtId="0" fontId="24" fillId="0" borderId="109" xfId="1" applyBorder="1" applyAlignment="1">
      <alignment horizontal="center" vertical="center"/>
    </xf>
    <xf numFmtId="0" fontId="19" fillId="7" borderId="101" xfId="0" applyFont="1" applyFill="1" applyBorder="1" applyAlignment="1">
      <alignment horizontal="center"/>
    </xf>
    <xf numFmtId="0" fontId="19" fillId="7" borderId="37" xfId="0" applyFont="1" applyFill="1" applyBorder="1" applyAlignment="1">
      <alignment horizontal="center"/>
    </xf>
    <xf numFmtId="0" fontId="19" fillId="41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5" fillId="0" borderId="2" xfId="0" applyNumberFormat="1" applyFont="1" applyBorder="1" applyAlignment="1">
      <alignment horizontal="center"/>
    </xf>
    <xf numFmtId="173" fontId="5" fillId="5" borderId="2" xfId="0" applyNumberFormat="1" applyFont="1" applyFill="1" applyBorder="1" applyAlignment="1">
      <alignment horizontal="center"/>
    </xf>
    <xf numFmtId="173" fontId="5" fillId="5" borderId="2" xfId="0" applyNumberFormat="1" applyFont="1" applyFill="1" applyBorder="1"/>
    <xf numFmtId="173" fontId="15" fillId="5" borderId="2" xfId="0" applyNumberFormat="1" applyFont="1" applyFill="1" applyBorder="1"/>
    <xf numFmtId="173" fontId="5" fillId="0" borderId="2" xfId="0" applyNumberFormat="1" applyFont="1" applyBorder="1" applyAlignment="1">
      <alignment horizontal="center"/>
    </xf>
    <xf numFmtId="173" fontId="5" fillId="52" borderId="2" xfId="0" applyNumberFormat="1" applyFont="1" applyFill="1" applyBorder="1" applyAlignment="1">
      <alignment horizontal="center"/>
    </xf>
    <xf numFmtId="173" fontId="5" fillId="52" borderId="2" xfId="0" applyNumberFormat="1" applyFont="1" applyFill="1" applyBorder="1"/>
    <xf numFmtId="0" fontId="35" fillId="41" borderId="3" xfId="0" applyFont="1" applyFill="1" applyBorder="1" applyAlignment="1">
      <alignment horizontal="center" vertical="center"/>
    </xf>
    <xf numFmtId="0" fontId="19" fillId="41" borderId="80" xfId="0" applyFont="1" applyFill="1" applyBorder="1" applyAlignment="1">
      <alignment horizontal="center"/>
    </xf>
    <xf numFmtId="0" fontId="19" fillId="41" borderId="81" xfId="0" applyFont="1" applyFill="1" applyBorder="1" applyAlignment="1">
      <alignment horizontal="center"/>
    </xf>
    <xf numFmtId="0" fontId="19" fillId="41" borderId="73" xfId="0" applyFont="1" applyFill="1" applyBorder="1" applyAlignment="1">
      <alignment horizontal="center"/>
    </xf>
    <xf numFmtId="0" fontId="24" fillId="30" borderId="109" xfId="0" applyFont="1" applyFill="1" applyBorder="1" applyAlignment="1">
      <alignment horizontal="center"/>
    </xf>
    <xf numFmtId="0" fontId="19" fillId="41" borderId="19" xfId="0" applyFont="1" applyFill="1" applyBorder="1" applyAlignment="1">
      <alignment horizontal="center"/>
    </xf>
    <xf numFmtId="0" fontId="19" fillId="41" borderId="20" xfId="0" applyFont="1" applyFill="1" applyBorder="1" applyAlignment="1">
      <alignment horizontal="center" vertical="center" wrapText="1"/>
    </xf>
    <xf numFmtId="0" fontId="19" fillId="41" borderId="55" xfId="0" applyFont="1" applyFill="1" applyBorder="1" applyAlignment="1">
      <alignment horizontal="center" vertical="center"/>
    </xf>
    <xf numFmtId="0" fontId="5" fillId="43" borderId="104" xfId="0" applyFont="1" applyFill="1" applyBorder="1" applyAlignment="1">
      <alignment horizontal="left" vertical="center" wrapText="1"/>
    </xf>
    <xf numFmtId="0" fontId="5" fillId="43" borderId="64" xfId="0" applyFont="1" applyFill="1" applyBorder="1" applyAlignment="1">
      <alignment horizontal="left" vertical="center" wrapText="1"/>
    </xf>
    <xf numFmtId="0" fontId="31" fillId="30" borderId="109" xfId="10" applyFont="1" applyFill="1" applyBorder="1" applyAlignment="1">
      <alignment horizontal="center" vertical="center" wrapText="1"/>
    </xf>
    <xf numFmtId="0" fontId="31" fillId="30" borderId="109" xfId="10" applyFont="1" applyFill="1" applyBorder="1" applyAlignment="1">
      <alignment horizontal="center"/>
    </xf>
    <xf numFmtId="0" fontId="45" fillId="41" borderId="4" xfId="2" applyFont="1" applyFill="1" applyBorder="1" applyAlignment="1">
      <alignment horizontal="center" vertical="center"/>
    </xf>
    <xf numFmtId="0" fontId="45" fillId="41" borderId="5" xfId="2" applyFont="1" applyFill="1" applyBorder="1" applyAlignment="1">
      <alignment horizontal="center" vertical="center"/>
    </xf>
    <xf numFmtId="0" fontId="5" fillId="29" borderId="75" xfId="0" applyFont="1" applyFill="1" applyBorder="1"/>
    <xf numFmtId="0" fontId="19" fillId="41" borderId="71" xfId="0" applyFont="1" applyFill="1" applyBorder="1" applyAlignment="1">
      <alignment horizontal="center"/>
    </xf>
    <xf numFmtId="0" fontId="5" fillId="0" borderId="106" xfId="0" applyFont="1" applyBorder="1"/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9" fontId="5" fillId="9" borderId="2" xfId="0" applyNumberFormat="1" applyFont="1" applyFill="1" applyBorder="1" applyAlignment="1">
      <alignment horizontal="center"/>
    </xf>
    <xf numFmtId="169" fontId="5" fillId="15" borderId="2" xfId="0" applyNumberFormat="1" applyFont="1" applyFill="1" applyBorder="1" applyAlignment="1">
      <alignment horizontal="center"/>
    </xf>
    <xf numFmtId="0" fontId="35" fillId="41" borderId="90" xfId="2" quotePrefix="1" applyFont="1" applyFill="1" applyBorder="1" applyAlignment="1">
      <alignment horizontal="center" vertical="center"/>
    </xf>
    <xf numFmtId="0" fontId="19" fillId="9" borderId="38" xfId="0" applyFont="1" applyFill="1" applyBorder="1" applyAlignment="1">
      <alignment horizontal="center" vertical="center"/>
    </xf>
    <xf numFmtId="0" fontId="19" fillId="53" borderId="38" xfId="0" applyFont="1" applyFill="1" applyBorder="1" applyAlignment="1">
      <alignment horizontal="center" vertical="center"/>
    </xf>
    <xf numFmtId="0" fontId="25" fillId="15" borderId="112" xfId="0" applyFont="1" applyFill="1" applyBorder="1" applyAlignment="1">
      <alignment horizontal="center" vertical="center"/>
    </xf>
    <xf numFmtId="173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30" borderId="2" xfId="0" applyFont="1" applyFill="1" applyBorder="1" applyAlignment="1">
      <alignment horizontal="center"/>
    </xf>
    <xf numFmtId="173" fontId="5" fillId="30" borderId="2" xfId="0" applyNumberFormat="1" applyFont="1" applyFill="1" applyBorder="1" applyAlignment="1">
      <alignment horizontal="center"/>
    </xf>
    <xf numFmtId="169" fontId="5" fillId="54" borderId="2" xfId="0" applyNumberFormat="1" applyFont="1" applyFill="1" applyBorder="1" applyAlignment="1">
      <alignment horizontal="center"/>
    </xf>
    <xf numFmtId="169" fontId="5" fillId="53" borderId="2" xfId="0" applyNumberFormat="1" applyFont="1" applyFill="1" applyBorder="1" applyAlignment="1">
      <alignment horizontal="center"/>
    </xf>
    <xf numFmtId="169" fontId="46" fillId="9" borderId="2" xfId="0" applyNumberFormat="1" applyFont="1" applyFill="1" applyBorder="1" applyAlignment="1">
      <alignment horizontal="center"/>
    </xf>
    <xf numFmtId="169" fontId="46" fillId="15" borderId="2" xfId="0" applyNumberFormat="1" applyFont="1" applyFill="1" applyBorder="1" applyAlignment="1">
      <alignment horizontal="center"/>
    </xf>
    <xf numFmtId="0" fontId="5" fillId="0" borderId="109" xfId="0" applyFont="1" applyBorder="1" applyAlignment="1">
      <alignment horizontal="center" vertical="center"/>
    </xf>
    <xf numFmtId="0" fontId="38" fillId="30" borderId="113" xfId="0" applyFont="1" applyFill="1" applyBorder="1"/>
    <xf numFmtId="0" fontId="38" fillId="30" borderId="114" xfId="0" applyFont="1" applyFill="1" applyBorder="1"/>
    <xf numFmtId="0" fontId="38" fillId="30" borderId="115" xfId="0" applyFont="1" applyFill="1" applyBorder="1"/>
    <xf numFmtId="0" fontId="5" fillId="0" borderId="99" xfId="0" applyFont="1" applyBorder="1" applyAlignment="1">
      <alignment horizontal="center"/>
    </xf>
    <xf numFmtId="0" fontId="5" fillId="0" borderId="104" xfId="0" applyFont="1" applyBorder="1" applyAlignment="1">
      <alignment horizontal="center"/>
    </xf>
    <xf numFmtId="173" fontId="5" fillId="0" borderId="97" xfId="0" applyNumberFormat="1" applyFont="1" applyBorder="1" applyAlignment="1">
      <alignment horizontal="center"/>
    </xf>
    <xf numFmtId="0" fontId="0" fillId="53" borderId="0" xfId="0" applyFill="1"/>
    <xf numFmtId="0" fontId="47" fillId="30" borderId="2" xfId="0" applyFont="1" applyFill="1" applyBorder="1" applyAlignment="1">
      <alignment horizontal="center"/>
    </xf>
    <xf numFmtId="0" fontId="5" fillId="15" borderId="75" xfId="0" applyFont="1" applyFill="1" applyBorder="1"/>
    <xf numFmtId="44" fontId="24" fillId="0" borderId="109" xfId="19" applyFont="1" applyBorder="1"/>
    <xf numFmtId="180" fontId="24" fillId="0" borderId="109" xfId="20" applyNumberFormat="1" applyFont="1" applyBorder="1"/>
    <xf numFmtId="0" fontId="0" fillId="15" borderId="75" xfId="0" applyFill="1" applyBorder="1"/>
    <xf numFmtId="0" fontId="5" fillId="15" borderId="0" xfId="0" applyFont="1" applyFill="1"/>
    <xf numFmtId="1" fontId="19" fillId="0" borderId="15" xfId="0" applyNumberFormat="1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19" fillId="41" borderId="46" xfId="0" applyFont="1" applyFill="1" applyBorder="1" applyAlignment="1">
      <alignment horizontal="center"/>
    </xf>
    <xf numFmtId="0" fontId="5" fillId="55" borderId="81" xfId="0" applyFont="1" applyFill="1" applyBorder="1" applyAlignment="1">
      <alignment horizontal="left" vertical="center" wrapText="1"/>
    </xf>
    <xf numFmtId="0" fontId="5" fillId="2" borderId="64" xfId="0" applyFont="1" applyFill="1" applyBorder="1" applyAlignment="1">
      <alignment horizontal="left" vertical="center" wrapText="1"/>
    </xf>
    <xf numFmtId="0" fontId="5" fillId="56" borderId="81" xfId="0" applyFont="1" applyFill="1" applyBorder="1" applyAlignment="1">
      <alignment horizontal="left" vertical="center" wrapText="1"/>
    </xf>
    <xf numFmtId="0" fontId="5" fillId="55" borderId="72" xfId="0" applyFont="1" applyFill="1" applyBorder="1" applyAlignment="1">
      <alignment horizontal="left" vertical="center" wrapText="1"/>
    </xf>
    <xf numFmtId="0" fontId="5" fillId="2" borderId="104" xfId="0" applyFont="1" applyFill="1" applyBorder="1" applyAlignment="1">
      <alignment horizontal="left" vertical="center" wrapText="1"/>
    </xf>
    <xf numFmtId="0" fontId="5" fillId="55" borderId="80" xfId="0" applyFont="1" applyFill="1" applyBorder="1" applyAlignment="1">
      <alignment horizontal="left" vertical="center" wrapText="1"/>
    </xf>
    <xf numFmtId="0" fontId="5" fillId="56" borderId="72" xfId="0" applyFont="1" applyFill="1" applyBorder="1" applyAlignment="1">
      <alignment horizontal="left" vertical="center" wrapText="1"/>
    </xf>
    <xf numFmtId="0" fontId="5" fillId="55" borderId="104" xfId="0" applyFont="1" applyFill="1" applyBorder="1" applyAlignment="1">
      <alignment horizontal="left" vertical="center" wrapText="1"/>
    </xf>
    <xf numFmtId="0" fontId="5" fillId="2" borderId="72" xfId="0" applyFont="1" applyFill="1" applyBorder="1" applyAlignment="1">
      <alignment horizontal="left" vertical="center" wrapText="1"/>
    </xf>
    <xf numFmtId="0" fontId="5" fillId="2" borderId="80" xfId="0" applyFont="1" applyFill="1" applyBorder="1" applyAlignment="1">
      <alignment horizontal="left" vertical="center" wrapText="1"/>
    </xf>
    <xf numFmtId="0" fontId="5" fillId="2" borderId="81" xfId="0" applyFont="1" applyFill="1" applyBorder="1" applyAlignment="1">
      <alignment horizontal="left" vertical="center" wrapText="1"/>
    </xf>
    <xf numFmtId="0" fontId="5" fillId="55" borderId="64" xfId="0" applyFont="1" applyFill="1" applyBorder="1" applyAlignment="1">
      <alignment horizontal="left" vertical="center" wrapText="1"/>
    </xf>
    <xf numFmtId="0" fontId="5" fillId="56" borderId="104" xfId="0" applyFont="1" applyFill="1" applyBorder="1" applyAlignment="1">
      <alignment horizontal="left" vertical="center" wrapText="1"/>
    </xf>
    <xf numFmtId="0" fontId="5" fillId="56" borderId="64" xfId="0" applyFont="1" applyFill="1" applyBorder="1" applyAlignment="1">
      <alignment horizontal="left" vertical="center" wrapText="1"/>
    </xf>
    <xf numFmtId="0" fontId="19" fillId="41" borderId="102" xfId="0" applyFont="1" applyFill="1" applyBorder="1" applyAlignment="1">
      <alignment horizontal="center"/>
    </xf>
    <xf numFmtId="0" fontId="5" fillId="55" borderId="15" xfId="0" applyFont="1" applyFill="1" applyBorder="1" applyAlignment="1">
      <alignment horizontal="center" vertical="center"/>
    </xf>
    <xf numFmtId="0" fontId="5" fillId="56" borderId="15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7" fillId="36" borderId="109" xfId="0" applyFont="1" applyFill="1" applyBorder="1" applyAlignment="1">
      <alignment horizontal="center" vertical="center"/>
    </xf>
    <xf numFmtId="0" fontId="49" fillId="15" borderId="0" xfId="0" applyFont="1" applyFill="1"/>
    <xf numFmtId="173" fontId="5" fillId="15" borderId="75" xfId="0" applyNumberFormat="1" applyFont="1" applyFill="1" applyBorder="1" applyAlignment="1">
      <alignment horizontal="left" wrapText="1"/>
    </xf>
    <xf numFmtId="0" fontId="5" fillId="25" borderId="1" xfId="0" applyFont="1" applyFill="1" applyBorder="1" applyAlignment="1">
      <alignment horizontal="center" vertical="center" wrapText="1"/>
    </xf>
    <xf numFmtId="0" fontId="19" fillId="25" borderId="1" xfId="0" applyFont="1" applyFill="1" applyBorder="1" applyAlignment="1">
      <alignment horizontal="center" vertical="center" wrapText="1"/>
    </xf>
    <xf numFmtId="0" fontId="19" fillId="25" borderId="1" xfId="0" applyFont="1" applyFill="1" applyBorder="1" applyAlignment="1">
      <alignment horizontal="center" wrapText="1"/>
    </xf>
    <xf numFmtId="0" fontId="5" fillId="25" borderId="1" xfId="0" applyFont="1" applyFill="1" applyBorder="1"/>
    <xf numFmtId="0" fontId="5" fillId="57" borderId="1" xfId="0" applyFont="1" applyFill="1" applyBorder="1"/>
    <xf numFmtId="0" fontId="5" fillId="57" borderId="75" xfId="0" applyFont="1" applyFill="1" applyBorder="1"/>
    <xf numFmtId="0" fontId="5" fillId="0" borderId="42" xfId="0" applyFont="1" applyBorder="1" applyAlignment="1">
      <alignment horizontal="center" vertical="center"/>
    </xf>
    <xf numFmtId="0" fontId="0" fillId="30" borderId="0" xfId="0" applyFill="1"/>
    <xf numFmtId="0" fontId="5" fillId="0" borderId="75" xfId="0" applyFont="1" applyBorder="1"/>
    <xf numFmtId="0" fontId="19" fillId="41" borderId="71" xfId="0" applyFont="1" applyFill="1" applyBorder="1"/>
    <xf numFmtId="169" fontId="19" fillId="58" borderId="2" xfId="0" applyNumberFormat="1" applyFont="1" applyFill="1" applyBorder="1" applyAlignment="1">
      <alignment horizontal="center"/>
    </xf>
    <xf numFmtId="0" fontId="19" fillId="9" borderId="10" xfId="0" applyFont="1" applyFill="1" applyBorder="1" applyAlignment="1">
      <alignment horizontal="center" vertical="center"/>
    </xf>
    <xf numFmtId="0" fontId="19" fillId="9" borderId="63" xfId="0" applyFont="1" applyFill="1" applyBorder="1" applyAlignment="1">
      <alignment horizontal="center" vertical="center"/>
    </xf>
    <xf numFmtId="0" fontId="19" fillId="9" borderId="2" xfId="0" applyFont="1" applyFill="1" applyBorder="1" applyAlignment="1">
      <alignment horizontal="center" vertical="center"/>
    </xf>
    <xf numFmtId="0" fontId="19" fillId="53" borderId="63" xfId="0" applyFont="1" applyFill="1" applyBorder="1" applyAlignment="1">
      <alignment horizontal="center" vertical="center"/>
    </xf>
    <xf numFmtId="173" fontId="5" fillId="0" borderId="112" xfId="0" applyNumberFormat="1" applyFont="1" applyBorder="1" applyAlignment="1">
      <alignment horizontal="left" wrapText="1"/>
    </xf>
    <xf numFmtId="1" fontId="5" fillId="9" borderId="15" xfId="0" applyNumberFormat="1" applyFont="1" applyFill="1" applyBorder="1" applyAlignment="1">
      <alignment horizontal="center"/>
    </xf>
    <xf numFmtId="1" fontId="5" fillId="9" borderId="109" xfId="0" applyNumberFormat="1" applyFont="1" applyFill="1" applyBorder="1" applyAlignment="1">
      <alignment horizontal="center"/>
    </xf>
    <xf numFmtId="1" fontId="19" fillId="9" borderId="109" xfId="0" applyNumberFormat="1" applyFont="1" applyFill="1" applyBorder="1" applyAlignment="1">
      <alignment horizontal="center"/>
    </xf>
    <xf numFmtId="9" fontId="49" fillId="2" borderId="75" xfId="21" applyFont="1" applyFill="1" applyBorder="1" applyAlignment="1">
      <alignment horizontal="center"/>
    </xf>
    <xf numFmtId="0" fontId="5" fillId="0" borderId="69" xfId="0" applyFont="1" applyBorder="1" applyAlignment="1">
      <alignment horizontal="center"/>
    </xf>
    <xf numFmtId="173" fontId="5" fillId="0" borderId="69" xfId="0" applyNumberFormat="1" applyFont="1" applyBorder="1" applyAlignment="1">
      <alignment horizontal="center" vertical="center"/>
    </xf>
    <xf numFmtId="0" fontId="46" fillId="2" borderId="75" xfId="0" applyFont="1" applyFill="1" applyBorder="1"/>
    <xf numFmtId="10" fontId="46" fillId="2" borderId="75" xfId="0" applyNumberFormat="1" applyFont="1" applyFill="1" applyBorder="1"/>
    <xf numFmtId="0" fontId="6" fillId="2" borderId="109" xfId="0" applyFont="1" applyFill="1" applyBorder="1" applyAlignment="1">
      <alignment horizontal="center" vertical="center"/>
    </xf>
    <xf numFmtId="0" fontId="34" fillId="2" borderId="125" xfId="2" applyFont="1" applyFill="1" applyBorder="1" applyAlignment="1">
      <alignment horizontal="center" vertical="center"/>
    </xf>
    <xf numFmtId="0" fontId="34" fillId="2" borderId="126" xfId="2" applyFont="1" applyFill="1" applyBorder="1" applyAlignment="1">
      <alignment horizontal="center" vertical="center"/>
    </xf>
    <xf numFmtId="0" fontId="34" fillId="2" borderId="127" xfId="2" applyFont="1" applyFill="1" applyBorder="1" applyAlignment="1">
      <alignment horizontal="center" vertical="center"/>
    </xf>
    <xf numFmtId="0" fontId="5" fillId="22" borderId="47" xfId="0" applyFont="1" applyFill="1" applyBorder="1" applyAlignment="1">
      <alignment horizontal="left" vertical="center" wrapText="1"/>
    </xf>
    <xf numFmtId="0" fontId="5" fillId="22" borderId="82" xfId="0" applyFont="1" applyFill="1" applyBorder="1" applyAlignment="1">
      <alignment horizontal="left" vertical="center" wrapText="1"/>
    </xf>
    <xf numFmtId="0" fontId="12" fillId="17" borderId="6" xfId="0" applyFont="1" applyFill="1" applyBorder="1" applyAlignment="1">
      <alignment horizontal="left"/>
    </xf>
    <xf numFmtId="0" fontId="13" fillId="18" borderId="7" xfId="0" applyFont="1" applyFill="1" applyBorder="1"/>
    <xf numFmtId="0" fontId="13" fillId="18" borderId="8" xfId="0" applyFont="1" applyFill="1" applyBorder="1"/>
    <xf numFmtId="0" fontId="14" fillId="2" borderId="9" xfId="0" applyFont="1" applyFill="1" applyBorder="1" applyAlignment="1">
      <alignment horizontal="left" vertical="top" wrapText="1"/>
    </xf>
    <xf numFmtId="0" fontId="13" fillId="0" borderId="10" xfId="0" applyFont="1" applyBorder="1"/>
    <xf numFmtId="0" fontId="13" fillId="0" borderId="11" xfId="0" applyFont="1" applyBorder="1"/>
    <xf numFmtId="0" fontId="14" fillId="2" borderId="12" xfId="0" applyFont="1" applyFill="1" applyBorder="1" applyAlignment="1">
      <alignment horizontal="left" vertical="top" wrapText="1"/>
    </xf>
    <xf numFmtId="0" fontId="13" fillId="0" borderId="13" xfId="0" applyFont="1" applyBorder="1"/>
    <xf numFmtId="0" fontId="13" fillId="0" borderId="14" xfId="0" applyFont="1" applyBorder="1"/>
    <xf numFmtId="0" fontId="12" fillId="17" borderId="54" xfId="0" applyFont="1" applyFill="1" applyBorder="1" applyAlignment="1">
      <alignment horizontal="left"/>
    </xf>
    <xf numFmtId="0" fontId="12" fillId="17" borderId="7" xfId="0" applyFont="1" applyFill="1" applyBorder="1" applyAlignment="1">
      <alignment horizontal="left"/>
    </xf>
    <xf numFmtId="0" fontId="12" fillId="17" borderId="53" xfId="0" applyFont="1" applyFill="1" applyBorder="1" applyAlignment="1">
      <alignment horizontal="left"/>
    </xf>
    <xf numFmtId="0" fontId="14" fillId="2" borderId="47" xfId="0" applyFont="1" applyFill="1" applyBorder="1" applyAlignment="1">
      <alignment horizontal="left" vertical="top" wrapText="1"/>
    </xf>
    <xf numFmtId="0" fontId="14" fillId="2" borderId="65" xfId="0" applyFont="1" applyFill="1" applyBorder="1" applyAlignment="1">
      <alignment horizontal="left" vertical="top" wrapText="1"/>
    </xf>
    <xf numFmtId="0" fontId="14" fillId="2" borderId="49" xfId="0" applyFont="1" applyFill="1" applyBorder="1" applyAlignment="1">
      <alignment horizontal="left" vertical="top" wrapText="1"/>
    </xf>
    <xf numFmtId="0" fontId="36" fillId="17" borderId="54" xfId="0" applyFont="1" applyFill="1" applyBorder="1" applyAlignment="1">
      <alignment horizontal="left"/>
    </xf>
    <xf numFmtId="0" fontId="36" fillId="17" borderId="7" xfId="0" applyFont="1" applyFill="1" applyBorder="1" applyAlignment="1">
      <alignment horizontal="left"/>
    </xf>
    <xf numFmtId="0" fontId="36" fillId="17" borderId="53" xfId="0" applyFont="1" applyFill="1" applyBorder="1" applyAlignment="1">
      <alignment horizontal="left"/>
    </xf>
    <xf numFmtId="0" fontId="12" fillId="17" borderId="66" xfId="0" applyFont="1" applyFill="1" applyBorder="1" applyAlignment="1">
      <alignment horizontal="center"/>
    </xf>
    <xf numFmtId="0" fontId="12" fillId="17" borderId="65" xfId="0" applyFont="1" applyFill="1" applyBorder="1" applyAlignment="1">
      <alignment horizontal="center"/>
    </xf>
    <xf numFmtId="0" fontId="12" fillId="17" borderId="82" xfId="0" applyFont="1" applyFill="1" applyBorder="1" applyAlignment="1">
      <alignment horizontal="center"/>
    </xf>
    <xf numFmtId="0" fontId="16" fillId="17" borderId="21" xfId="0" applyFont="1" applyFill="1" applyBorder="1" applyAlignment="1">
      <alignment horizontal="center" vertical="top" wrapText="1"/>
    </xf>
    <xf numFmtId="0" fontId="16" fillId="17" borderId="22" xfId="0" applyFont="1" applyFill="1" applyBorder="1" applyAlignment="1">
      <alignment horizontal="center" vertical="top" wrapText="1"/>
    </xf>
    <xf numFmtId="0" fontId="5" fillId="34" borderId="85" xfId="0" applyFont="1" applyFill="1" applyBorder="1" applyAlignment="1">
      <alignment horizontal="left" vertical="center" wrapText="1"/>
    </xf>
    <xf numFmtId="0" fontId="5" fillId="34" borderId="53" xfId="0" applyFont="1" applyFill="1" applyBorder="1" applyAlignment="1">
      <alignment horizontal="left" vertical="center" wrapText="1"/>
    </xf>
    <xf numFmtId="0" fontId="5" fillId="20" borderId="85" xfId="0" applyFont="1" applyFill="1" applyBorder="1" applyAlignment="1">
      <alignment horizontal="left" vertical="center" wrapText="1"/>
    </xf>
    <xf numFmtId="0" fontId="5" fillId="20" borderId="53" xfId="0" applyFont="1" applyFill="1" applyBorder="1" applyAlignment="1">
      <alignment horizontal="left" vertical="center" wrapText="1"/>
    </xf>
    <xf numFmtId="0" fontId="39" fillId="15" borderId="116" xfId="0" applyFont="1" applyFill="1" applyBorder="1" applyAlignment="1">
      <alignment horizontal="left" vertical="top" wrapText="1"/>
    </xf>
    <xf numFmtId="0" fontId="39" fillId="15" borderId="117" xfId="0" applyFont="1" applyFill="1" applyBorder="1" applyAlignment="1">
      <alignment horizontal="left" vertical="top" wrapText="1"/>
    </xf>
    <xf numFmtId="0" fontId="39" fillId="15" borderId="118" xfId="0" applyFont="1" applyFill="1" applyBorder="1" applyAlignment="1">
      <alignment horizontal="left" vertical="top" wrapText="1"/>
    </xf>
    <xf numFmtId="0" fontId="39" fillId="15" borderId="119" xfId="0" applyFont="1" applyFill="1" applyBorder="1" applyAlignment="1">
      <alignment horizontal="left" vertical="top" wrapText="1"/>
    </xf>
    <xf numFmtId="0" fontId="39" fillId="15" borderId="75" xfId="0" applyFont="1" applyFill="1" applyBorder="1" applyAlignment="1">
      <alignment horizontal="left" vertical="top" wrapText="1"/>
    </xf>
    <xf numFmtId="0" fontId="39" fillId="15" borderId="120" xfId="0" applyFont="1" applyFill="1" applyBorder="1" applyAlignment="1">
      <alignment horizontal="left" vertical="top" wrapText="1"/>
    </xf>
    <xf numFmtId="0" fontId="39" fillId="15" borderId="121" xfId="0" applyFont="1" applyFill="1" applyBorder="1" applyAlignment="1">
      <alignment horizontal="left" vertical="top" wrapText="1"/>
    </xf>
    <xf numFmtId="0" fontId="39" fillId="15" borderId="122" xfId="0" applyFont="1" applyFill="1" applyBorder="1" applyAlignment="1">
      <alignment horizontal="left" vertical="top" wrapText="1"/>
    </xf>
    <xf numFmtId="0" fontId="39" fillId="15" borderId="123" xfId="0" applyFont="1" applyFill="1" applyBorder="1" applyAlignment="1">
      <alignment horizontal="left" vertical="top" wrapText="1"/>
    </xf>
    <xf numFmtId="0" fontId="8" fillId="29" borderId="2" xfId="0" applyFont="1" applyFill="1" applyBorder="1" applyAlignment="1">
      <alignment horizontal="center" vertical="center"/>
    </xf>
    <xf numFmtId="0" fontId="13" fillId="30" borderId="2" xfId="0" applyFont="1" applyFill="1" applyBorder="1"/>
    <xf numFmtId="0" fontId="8" fillId="29" borderId="2" xfId="0" applyFont="1" applyFill="1" applyBorder="1" applyAlignment="1">
      <alignment horizontal="left"/>
    </xf>
    <xf numFmtId="0" fontId="12" fillId="29" borderId="2" xfId="0" applyFont="1" applyFill="1" applyBorder="1" applyAlignment="1">
      <alignment horizontal="center" vertical="center"/>
    </xf>
    <xf numFmtId="0" fontId="12" fillId="29" borderId="2" xfId="0" applyFont="1" applyFill="1" applyBorder="1" applyAlignment="1">
      <alignment horizontal="left"/>
    </xf>
    <xf numFmtId="49" fontId="16" fillId="2" borderId="54" xfId="0" applyNumberFormat="1" applyFont="1" applyFill="1" applyBorder="1" applyAlignment="1">
      <alignment horizontal="left" vertical="top" wrapText="1"/>
    </xf>
    <xf numFmtId="49" fontId="16" fillId="2" borderId="7" xfId="0" applyNumberFormat="1" applyFont="1" applyFill="1" applyBorder="1" applyAlignment="1">
      <alignment horizontal="left" vertical="top" wrapText="1"/>
    </xf>
    <xf numFmtId="49" fontId="16" fillId="2" borderId="53" xfId="0" applyNumberFormat="1" applyFont="1" applyFill="1" applyBorder="1" applyAlignment="1">
      <alignment horizontal="left" vertical="top" wrapText="1"/>
    </xf>
    <xf numFmtId="0" fontId="12" fillId="29" borderId="54" xfId="0" applyFont="1" applyFill="1" applyBorder="1" applyAlignment="1">
      <alignment horizontal="left"/>
    </xf>
    <xf numFmtId="0" fontId="12" fillId="29" borderId="7" xfId="0" applyFont="1" applyFill="1" applyBorder="1" applyAlignment="1">
      <alignment horizontal="left"/>
    </xf>
    <xf numFmtId="0" fontId="12" fillId="29" borderId="53" xfId="0" applyFont="1" applyFill="1" applyBorder="1" applyAlignment="1">
      <alignment horizontal="left"/>
    </xf>
    <xf numFmtId="0" fontId="5" fillId="7" borderId="58" xfId="0" applyFont="1" applyFill="1" applyBorder="1" applyAlignment="1">
      <alignment horizontal="center" vertical="center"/>
    </xf>
    <xf numFmtId="0" fontId="13" fillId="0" borderId="57" xfId="0" applyFont="1" applyBorder="1"/>
    <xf numFmtId="0" fontId="13" fillId="0" borderId="44" xfId="0" applyFont="1" applyBorder="1"/>
    <xf numFmtId="0" fontId="5" fillId="14" borderId="74" xfId="0" applyFont="1" applyFill="1" applyBorder="1" applyAlignment="1">
      <alignment horizontal="center" vertical="center"/>
    </xf>
    <xf numFmtId="0" fontId="5" fillId="14" borderId="105" xfId="0" applyFont="1" applyFill="1" applyBorder="1" applyAlignment="1">
      <alignment horizontal="center" vertical="center"/>
    </xf>
    <xf numFmtId="0" fontId="12" fillId="29" borderId="54" xfId="0" applyFont="1" applyFill="1" applyBorder="1" applyAlignment="1">
      <alignment horizontal="center" vertical="center"/>
    </xf>
    <xf numFmtId="0" fontId="12" fillId="29" borderId="53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13" fillId="0" borderId="25" xfId="0" applyFont="1" applyBorder="1"/>
    <xf numFmtId="0" fontId="12" fillId="29" borderId="61" xfId="0" applyFont="1" applyFill="1" applyBorder="1" applyAlignment="1">
      <alignment horizontal="center" vertical="center"/>
    </xf>
    <xf numFmtId="0" fontId="13" fillId="30" borderId="62" xfId="0" applyFont="1" applyFill="1" applyBorder="1"/>
    <xf numFmtId="0" fontId="13" fillId="30" borderId="33" xfId="0" applyFont="1" applyFill="1" applyBorder="1"/>
    <xf numFmtId="0" fontId="13" fillId="30" borderId="34" xfId="0" applyFont="1" applyFill="1" applyBorder="1"/>
    <xf numFmtId="0" fontId="13" fillId="30" borderId="59" xfId="0" applyFont="1" applyFill="1" applyBorder="1"/>
    <xf numFmtId="0" fontId="13" fillId="30" borderId="60" xfId="0" applyFont="1" applyFill="1" applyBorder="1"/>
    <xf numFmtId="0" fontId="5" fillId="7" borderId="43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5" fillId="7" borderId="74" xfId="0" applyFont="1" applyFill="1" applyBorder="1" applyAlignment="1">
      <alignment horizontal="center" vertical="center"/>
    </xf>
    <xf numFmtId="0" fontId="5" fillId="7" borderId="105" xfId="0" applyFont="1" applyFill="1" applyBorder="1" applyAlignment="1">
      <alignment horizontal="center" vertical="center"/>
    </xf>
    <xf numFmtId="0" fontId="5" fillId="7" borderId="38" xfId="0" applyFont="1" applyFill="1" applyBorder="1" applyAlignment="1">
      <alignment horizontal="center" vertical="center"/>
    </xf>
    <xf numFmtId="0" fontId="19" fillId="29" borderId="2" xfId="0" applyFont="1" applyFill="1" applyBorder="1" applyAlignment="1">
      <alignment horizontal="center" vertical="center"/>
    </xf>
    <xf numFmtId="0" fontId="13" fillId="30" borderId="2" xfId="0" applyFont="1" applyFill="1" applyBorder="1" applyAlignment="1">
      <alignment horizontal="center" vertical="center"/>
    </xf>
    <xf numFmtId="171" fontId="19" fillId="29" borderId="2" xfId="0" applyNumberFormat="1" applyFont="1" applyFill="1" applyBorder="1" applyAlignment="1">
      <alignment horizontal="center" vertical="center"/>
    </xf>
    <xf numFmtId="0" fontId="12" fillId="29" borderId="31" xfId="0" applyFont="1" applyFill="1" applyBorder="1" applyAlignment="1">
      <alignment horizontal="center" vertical="center"/>
    </xf>
    <xf numFmtId="0" fontId="13" fillId="30" borderId="32" xfId="0" applyFont="1" applyFill="1" applyBorder="1"/>
    <xf numFmtId="0" fontId="5" fillId="7" borderId="84" xfId="0" applyFont="1" applyFill="1" applyBorder="1" applyAlignment="1">
      <alignment horizontal="center" vertical="center"/>
    </xf>
    <xf numFmtId="9" fontId="19" fillId="31" borderId="2" xfId="0" applyNumberFormat="1" applyFont="1" applyFill="1" applyBorder="1" applyAlignment="1">
      <alignment horizontal="center" vertical="center"/>
    </xf>
    <xf numFmtId="0" fontId="8" fillId="29" borderId="31" xfId="0" applyFont="1" applyFill="1" applyBorder="1" applyAlignment="1">
      <alignment horizontal="center" vertical="center"/>
    </xf>
    <xf numFmtId="0" fontId="13" fillId="30" borderId="36" xfId="0" applyFont="1" applyFill="1" applyBorder="1"/>
    <xf numFmtId="0" fontId="13" fillId="30" borderId="37" xfId="0" applyFont="1" applyFill="1" applyBorder="1"/>
    <xf numFmtId="0" fontId="8" fillId="31" borderId="6" xfId="0" applyFont="1" applyFill="1" applyBorder="1" applyAlignment="1">
      <alignment horizontal="center" vertical="center"/>
    </xf>
    <xf numFmtId="0" fontId="13" fillId="30" borderId="8" xfId="0" applyFont="1" applyFill="1" applyBorder="1"/>
    <xf numFmtId="0" fontId="8" fillId="29" borderId="6" xfId="0" applyFont="1" applyFill="1" applyBorder="1" applyAlignment="1">
      <alignment vertical="center"/>
    </xf>
    <xf numFmtId="0" fontId="13" fillId="30" borderId="7" xfId="0" applyFont="1" applyFill="1" applyBorder="1" applyAlignment="1">
      <alignment vertical="center"/>
    </xf>
    <xf numFmtId="0" fontId="13" fillId="30" borderId="8" xfId="0" applyFont="1" applyFill="1" applyBorder="1" applyAlignment="1">
      <alignment vertical="center"/>
    </xf>
    <xf numFmtId="0" fontId="19" fillId="29" borderId="6" xfId="0" applyFont="1" applyFill="1" applyBorder="1" applyAlignment="1">
      <alignment horizontal="center" vertical="center"/>
    </xf>
    <xf numFmtId="0" fontId="15" fillId="32" borderId="2" xfId="0" applyFont="1" applyFill="1" applyBorder="1" applyAlignment="1">
      <alignment horizontal="left"/>
    </xf>
    <xf numFmtId="0" fontId="13" fillId="33" borderId="2" xfId="0" applyFont="1" applyFill="1" applyBorder="1"/>
    <xf numFmtId="171" fontId="26" fillId="13" borderId="2" xfId="0" applyNumberFormat="1" applyFont="1" applyFill="1" applyBorder="1" applyAlignment="1">
      <alignment horizontal="left"/>
    </xf>
    <xf numFmtId="0" fontId="13" fillId="12" borderId="2" xfId="0" applyFont="1" applyFill="1" applyBorder="1"/>
    <xf numFmtId="0" fontId="5" fillId="7" borderId="67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13" fillId="0" borderId="2" xfId="0" applyFont="1" applyBorder="1"/>
    <xf numFmtId="0" fontId="5" fillId="7" borderId="54" xfId="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8" fillId="31" borderId="2" xfId="0" applyFont="1" applyFill="1" applyBorder="1" applyAlignment="1">
      <alignment horizontal="center" vertical="center"/>
    </xf>
    <xf numFmtId="49" fontId="16" fillId="2" borderId="2" xfId="0" applyNumberFormat="1" applyFont="1" applyFill="1" applyBorder="1" applyAlignment="1">
      <alignment horizontal="left" vertical="top" wrapText="1"/>
    </xf>
    <xf numFmtId="171" fontId="19" fillId="29" borderId="2" xfId="0" applyNumberFormat="1" applyFont="1" applyFill="1" applyBorder="1" applyAlignment="1">
      <alignment horizontal="left" vertical="center"/>
    </xf>
    <xf numFmtId="0" fontId="13" fillId="30" borderId="2" xfId="0" applyFont="1" applyFill="1" applyBorder="1" applyAlignment="1">
      <alignment horizontal="left" vertical="center"/>
    </xf>
    <xf numFmtId="0" fontId="15" fillId="32" borderId="54" xfId="0" applyFont="1" applyFill="1" applyBorder="1" applyAlignment="1">
      <alignment horizontal="left" vertical="center"/>
    </xf>
    <xf numFmtId="0" fontId="15" fillId="32" borderId="53" xfId="0" applyFont="1" applyFill="1" applyBorder="1" applyAlignment="1">
      <alignment horizontal="left" vertical="center"/>
    </xf>
    <xf numFmtId="171" fontId="26" fillId="13" borderId="2" xfId="0" applyNumberFormat="1" applyFont="1" applyFill="1" applyBorder="1" applyAlignment="1">
      <alignment horizontal="left" vertical="center"/>
    </xf>
    <xf numFmtId="0" fontId="13" fillId="12" borderId="2" xfId="0" applyFont="1" applyFill="1" applyBorder="1" applyAlignment="1">
      <alignment horizontal="left" vertical="center"/>
    </xf>
    <xf numFmtId="0" fontId="12" fillId="29" borderId="6" xfId="0" applyFont="1" applyFill="1" applyBorder="1" applyAlignment="1">
      <alignment horizontal="left"/>
    </xf>
    <xf numFmtId="0" fontId="13" fillId="30" borderId="7" xfId="0" applyFont="1" applyFill="1" applyBorder="1"/>
    <xf numFmtId="0" fontId="16" fillId="2" borderId="6" xfId="0" applyFont="1" applyFill="1" applyBorder="1" applyAlignment="1">
      <alignment horizontal="left" vertical="top" wrapText="1"/>
    </xf>
    <xf numFmtId="0" fontId="13" fillId="0" borderId="7" xfId="0" applyFont="1" applyBorder="1"/>
    <xf numFmtId="0" fontId="13" fillId="0" borderId="8" xfId="0" applyFont="1" applyBorder="1"/>
    <xf numFmtId="0" fontId="15" fillId="29" borderId="2" xfId="0" applyFont="1" applyFill="1" applyBorder="1" applyAlignment="1">
      <alignment horizontal="left"/>
    </xf>
    <xf numFmtId="0" fontId="8" fillId="29" borderId="6" xfId="0" applyFont="1" applyFill="1" applyBorder="1" applyAlignment="1">
      <alignment horizontal="left" vertical="center"/>
    </xf>
    <xf numFmtId="0" fontId="9" fillId="23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vertical="center"/>
    </xf>
    <xf numFmtId="0" fontId="13" fillId="18" borderId="28" xfId="0" applyFont="1" applyFill="1" applyBorder="1" applyAlignment="1">
      <alignment vertical="center"/>
    </xf>
    <xf numFmtId="0" fontId="12" fillId="29" borderId="2" xfId="0" applyFont="1" applyFill="1" applyBorder="1" applyAlignment="1">
      <alignment horizontal="left" vertical="center"/>
    </xf>
    <xf numFmtId="171" fontId="15" fillId="34" borderId="54" xfId="0" applyNumberFormat="1" applyFont="1" applyFill="1" applyBorder="1" applyAlignment="1">
      <alignment horizontal="left" vertical="center"/>
    </xf>
    <xf numFmtId="171" fontId="15" fillId="34" borderId="7" xfId="0" applyNumberFormat="1" applyFont="1" applyFill="1" applyBorder="1" applyAlignment="1">
      <alignment horizontal="left" vertical="center"/>
    </xf>
    <xf numFmtId="171" fontId="15" fillId="34" borderId="53" xfId="0" applyNumberFormat="1" applyFont="1" applyFill="1" applyBorder="1" applyAlignment="1">
      <alignment horizontal="left" vertical="center"/>
    </xf>
    <xf numFmtId="171" fontId="15" fillId="26" borderId="54" xfId="0" applyNumberFormat="1" applyFont="1" applyFill="1" applyBorder="1" applyAlignment="1">
      <alignment horizontal="left" vertical="center"/>
    </xf>
    <xf numFmtId="171" fontId="15" fillId="26" borderId="7" xfId="0" applyNumberFormat="1" applyFont="1" applyFill="1" applyBorder="1" applyAlignment="1">
      <alignment horizontal="left" vertical="center"/>
    </xf>
    <xf numFmtId="171" fontId="15" fillId="26" borderId="53" xfId="0" applyNumberFormat="1" applyFont="1" applyFill="1" applyBorder="1" applyAlignment="1">
      <alignment horizontal="left" vertical="center"/>
    </xf>
    <xf numFmtId="171" fontId="15" fillId="27" borderId="54" xfId="0" applyNumberFormat="1" applyFont="1" applyFill="1" applyBorder="1" applyAlignment="1">
      <alignment horizontal="left" vertical="center"/>
    </xf>
    <xf numFmtId="171" fontId="15" fillId="27" borderId="7" xfId="0" applyNumberFormat="1" applyFont="1" applyFill="1" applyBorder="1" applyAlignment="1">
      <alignment horizontal="left" vertical="center"/>
    </xf>
    <xf numFmtId="171" fontId="15" fillId="27" borderId="53" xfId="0" applyNumberFormat="1" applyFont="1" applyFill="1" applyBorder="1" applyAlignment="1">
      <alignment horizontal="left" vertical="center"/>
    </xf>
    <xf numFmtId="0" fontId="12" fillId="29" borderId="91" xfId="0" applyFont="1" applyFill="1" applyBorder="1" applyAlignment="1">
      <alignment horizontal="center" vertical="center"/>
    </xf>
    <xf numFmtId="0" fontId="12" fillId="29" borderId="106" xfId="0" applyFont="1" applyFill="1" applyBorder="1" applyAlignment="1">
      <alignment horizontal="center" vertical="center"/>
    </xf>
    <xf numFmtId="0" fontId="12" fillId="29" borderId="107" xfId="0" applyFont="1" applyFill="1" applyBorder="1" applyAlignment="1">
      <alignment horizontal="center" vertical="center"/>
    </xf>
    <xf numFmtId="0" fontId="12" fillId="29" borderId="108" xfId="0" applyFont="1" applyFill="1" applyBorder="1" applyAlignment="1">
      <alignment horizontal="center" vertical="center"/>
    </xf>
    <xf numFmtId="171" fontId="15" fillId="34" borderId="54" xfId="0" applyNumberFormat="1" applyFont="1" applyFill="1" applyBorder="1" applyAlignment="1">
      <alignment horizontal="left"/>
    </xf>
    <xf numFmtId="171" fontId="15" fillId="34" borderId="7" xfId="0" applyNumberFormat="1" applyFont="1" applyFill="1" applyBorder="1" applyAlignment="1">
      <alignment horizontal="left"/>
    </xf>
    <xf numFmtId="171" fontId="15" fillId="34" borderId="53" xfId="0" applyNumberFormat="1" applyFont="1" applyFill="1" applyBorder="1" applyAlignment="1">
      <alignment horizontal="left"/>
    </xf>
    <xf numFmtId="171" fontId="15" fillId="26" borderId="54" xfId="0" applyNumberFormat="1" applyFont="1" applyFill="1" applyBorder="1" applyAlignment="1">
      <alignment horizontal="left"/>
    </xf>
    <xf numFmtId="171" fontId="15" fillId="26" borderId="7" xfId="0" applyNumberFormat="1" applyFont="1" applyFill="1" applyBorder="1" applyAlignment="1">
      <alignment horizontal="left"/>
    </xf>
    <xf numFmtId="171" fontId="15" fillId="26" borderId="53" xfId="0" applyNumberFormat="1" applyFont="1" applyFill="1" applyBorder="1" applyAlignment="1">
      <alignment horizontal="left"/>
    </xf>
    <xf numFmtId="171" fontId="15" fillId="27" borderId="54" xfId="0" applyNumberFormat="1" applyFont="1" applyFill="1" applyBorder="1" applyAlignment="1">
      <alignment horizontal="left"/>
    </xf>
    <xf numFmtId="171" fontId="15" fillId="27" borderId="7" xfId="0" applyNumberFormat="1" applyFont="1" applyFill="1" applyBorder="1" applyAlignment="1">
      <alignment horizontal="left"/>
    </xf>
    <xf numFmtId="171" fontId="15" fillId="27" borderId="53" xfId="0" applyNumberFormat="1" applyFont="1" applyFill="1" applyBorder="1" applyAlignment="1">
      <alignment horizontal="left"/>
    </xf>
    <xf numFmtId="0" fontId="19" fillId="17" borderId="74" xfId="0" applyFont="1" applyFill="1" applyBorder="1" applyAlignment="1">
      <alignment horizontal="center" vertical="center"/>
    </xf>
    <xf numFmtId="0" fontId="19" fillId="17" borderId="105" xfId="0" applyFont="1" applyFill="1" applyBorder="1" applyAlignment="1">
      <alignment horizontal="center" vertical="center"/>
    </xf>
    <xf numFmtId="0" fontId="0" fillId="15" borderId="75" xfId="0" applyFill="1" applyBorder="1" applyAlignment="1">
      <alignment horizontal="center"/>
    </xf>
    <xf numFmtId="0" fontId="28" fillId="17" borderId="6" xfId="0" applyFont="1" applyFill="1" applyBorder="1" applyAlignment="1">
      <alignment horizontal="center"/>
    </xf>
    <xf numFmtId="0" fontId="6" fillId="17" borderId="76" xfId="0" applyFont="1" applyFill="1" applyBorder="1" applyAlignment="1">
      <alignment horizontal="center" vertical="center"/>
    </xf>
    <xf numFmtId="0" fontId="13" fillId="18" borderId="77" xfId="0" applyFont="1" applyFill="1" applyBorder="1"/>
    <xf numFmtId="0" fontId="13" fillId="18" borderId="78" xfId="0" applyFont="1" applyFill="1" applyBorder="1"/>
    <xf numFmtId="0" fontId="13" fillId="18" borderId="79" xfId="0" applyFont="1" applyFill="1" applyBorder="1"/>
    <xf numFmtId="0" fontId="19" fillId="17" borderId="58" xfId="0" applyFont="1" applyFill="1" applyBorder="1" applyAlignment="1">
      <alignment horizontal="center" vertical="center"/>
    </xf>
    <xf numFmtId="0" fontId="13" fillId="18" borderId="57" xfId="0" applyFont="1" applyFill="1" applyBorder="1"/>
    <xf numFmtId="0" fontId="19" fillId="17" borderId="78" xfId="0" applyFont="1" applyFill="1" applyBorder="1" applyAlignment="1">
      <alignment horizontal="center" vertical="center"/>
    </xf>
    <xf numFmtId="0" fontId="19" fillId="17" borderId="96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 vertical="center" wrapText="1"/>
    </xf>
    <xf numFmtId="0" fontId="5" fillId="2" borderId="69" xfId="0" applyFont="1" applyFill="1" applyBorder="1" applyAlignment="1">
      <alignment horizontal="center" vertical="center" wrapText="1"/>
    </xf>
    <xf numFmtId="0" fontId="13" fillId="0" borderId="71" xfId="0" applyFont="1" applyBorder="1"/>
    <xf numFmtId="0" fontId="12" fillId="41" borderId="6" xfId="0" applyFont="1" applyFill="1" applyBorder="1" applyAlignment="1">
      <alignment horizontal="center" wrapText="1"/>
    </xf>
    <xf numFmtId="0" fontId="13" fillId="30" borderId="7" xfId="0" applyFont="1" applyFill="1" applyBorder="1" applyAlignment="1">
      <alignment horizontal="center"/>
    </xf>
    <xf numFmtId="0" fontId="13" fillId="30" borderId="8" xfId="0" applyFont="1" applyFill="1" applyBorder="1" applyAlignment="1">
      <alignment horizontal="center"/>
    </xf>
    <xf numFmtId="0" fontId="12" fillId="41" borderId="2" xfId="0" applyFont="1" applyFill="1" applyBorder="1" applyAlignment="1">
      <alignment horizontal="left"/>
    </xf>
    <xf numFmtId="0" fontId="16" fillId="41" borderId="2" xfId="0" applyFont="1" applyFill="1" applyBorder="1" applyAlignment="1">
      <alignment horizontal="center" vertical="center"/>
    </xf>
    <xf numFmtId="0" fontId="12" fillId="41" borderId="6" xfId="0" applyFont="1" applyFill="1" applyBorder="1" applyAlignment="1">
      <alignment horizontal="left"/>
    </xf>
    <xf numFmtId="0" fontId="16" fillId="41" borderId="71" xfId="0" applyFont="1" applyFill="1" applyBorder="1" applyAlignment="1">
      <alignment horizontal="center" vertical="center"/>
    </xf>
    <xf numFmtId="0" fontId="13" fillId="30" borderId="71" xfId="0" applyFont="1" applyFill="1" applyBorder="1"/>
    <xf numFmtId="0" fontId="24" fillId="0" borderId="109" xfId="0" applyFont="1" applyBorder="1" applyAlignment="1">
      <alignment horizontal="center" vertical="center"/>
    </xf>
    <xf numFmtId="0" fontId="24" fillId="0" borderId="109" xfId="1" applyBorder="1" applyAlignment="1">
      <alignment horizontal="center" vertical="center"/>
    </xf>
    <xf numFmtId="0" fontId="12" fillId="41" borderId="54" xfId="0" applyFont="1" applyFill="1" applyBorder="1" applyAlignment="1">
      <alignment horizontal="left"/>
    </xf>
    <xf numFmtId="0" fontId="12" fillId="41" borderId="7" xfId="0" applyFont="1" applyFill="1" applyBorder="1" applyAlignment="1">
      <alignment horizontal="left"/>
    </xf>
    <xf numFmtId="0" fontId="12" fillId="41" borderId="53" xfId="0" applyFont="1" applyFill="1" applyBorder="1" applyAlignment="1">
      <alignment horizontal="left"/>
    </xf>
    <xf numFmtId="0" fontId="12" fillId="41" borderId="54" xfId="0" applyFont="1" applyFill="1" applyBorder="1"/>
    <xf numFmtId="0" fontId="12" fillId="41" borderId="7" xfId="0" applyFont="1" applyFill="1" applyBorder="1"/>
    <xf numFmtId="0" fontId="12" fillId="41" borderId="53" xfId="0" applyFont="1" applyFill="1" applyBorder="1"/>
    <xf numFmtId="0" fontId="24" fillId="30" borderId="109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 vertical="center" wrapText="1"/>
    </xf>
    <xf numFmtId="0" fontId="15" fillId="41" borderId="69" xfId="0" applyFont="1" applyFill="1" applyBorder="1" applyAlignment="1">
      <alignment horizontal="center" vertical="center"/>
    </xf>
    <xf numFmtId="0" fontId="15" fillId="41" borderId="71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0" fontId="5" fillId="0" borderId="90" xfId="0" applyFont="1" applyBorder="1" applyAlignment="1">
      <alignment horizontal="center" vertical="center"/>
    </xf>
    <xf numFmtId="0" fontId="5" fillId="0" borderId="71" xfId="0" applyFont="1" applyBorder="1" applyAlignment="1">
      <alignment horizontal="center" vertical="center"/>
    </xf>
    <xf numFmtId="0" fontId="15" fillId="41" borderId="12" xfId="0" applyFont="1" applyFill="1" applyBorder="1" applyAlignment="1">
      <alignment horizontal="center" vertical="center"/>
    </xf>
    <xf numFmtId="0" fontId="13" fillId="30" borderId="14" xfId="0" applyFont="1" applyFill="1" applyBorder="1"/>
    <xf numFmtId="0" fontId="15" fillId="41" borderId="99" xfId="0" applyFont="1" applyFill="1" applyBorder="1" applyAlignment="1">
      <alignment horizontal="center" vertical="center"/>
    </xf>
    <xf numFmtId="0" fontId="13" fillId="30" borderId="93" xfId="0" applyFont="1" applyFill="1" applyBorder="1"/>
    <xf numFmtId="0" fontId="15" fillId="41" borderId="98" xfId="0" applyFont="1" applyFill="1" applyBorder="1" applyAlignment="1">
      <alignment horizontal="center" vertical="center"/>
    </xf>
    <xf numFmtId="0" fontId="13" fillId="30" borderId="92" xfId="0" applyFont="1" applyFill="1" applyBorder="1"/>
    <xf numFmtId="0" fontId="9" fillId="41" borderId="75" xfId="0" applyFont="1" applyFill="1" applyBorder="1" applyAlignment="1">
      <alignment horizontal="center" vertical="center"/>
    </xf>
    <xf numFmtId="0" fontId="18" fillId="0" borderId="128" xfId="2" applyBorder="1" applyAlignment="1">
      <alignment horizontal="center"/>
    </xf>
    <xf numFmtId="0" fontId="18" fillId="0" borderId="75" xfId="2" applyBorder="1" applyAlignment="1">
      <alignment horizontal="center"/>
    </xf>
    <xf numFmtId="0" fontId="19" fillId="7" borderId="100" xfId="0" applyFont="1" applyFill="1" applyBorder="1" applyAlignment="1">
      <alignment horizontal="center"/>
    </xf>
    <xf numFmtId="0" fontId="19" fillId="7" borderId="101" xfId="0" applyFont="1" applyFill="1" applyBorder="1" applyAlignment="1">
      <alignment horizontal="center"/>
    </xf>
    <xf numFmtId="0" fontId="19" fillId="7" borderId="37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right"/>
    </xf>
    <xf numFmtId="0" fontId="12" fillId="41" borderId="16" xfId="0" applyFont="1" applyFill="1" applyBorder="1" applyAlignment="1">
      <alignment horizontal="left"/>
    </xf>
    <xf numFmtId="0" fontId="13" fillId="30" borderId="17" xfId="0" applyFont="1" applyFill="1" applyBorder="1"/>
    <xf numFmtId="0" fontId="13" fillId="30" borderId="18" xfId="0" applyFont="1" applyFill="1" applyBorder="1"/>
    <xf numFmtId="0" fontId="19" fillId="41" borderId="2" xfId="0" applyFont="1" applyFill="1" applyBorder="1" applyAlignment="1">
      <alignment horizontal="center" vertical="center"/>
    </xf>
    <xf numFmtId="0" fontId="19" fillId="41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5" fillId="30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19" fillId="41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12" fillId="41" borderId="6" xfId="0" applyFont="1" applyFill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2" borderId="69" xfId="0" applyFont="1" applyFill="1" applyBorder="1" applyAlignment="1">
      <alignment horizontal="left" vertical="center" wrapText="1"/>
    </xf>
    <xf numFmtId="0" fontId="13" fillId="15" borderId="83" xfId="0" applyFont="1" applyFill="1" applyBorder="1"/>
    <xf numFmtId="0" fontId="13" fillId="15" borderId="90" xfId="0" applyFont="1" applyFill="1" applyBorder="1"/>
    <xf numFmtId="0" fontId="5" fillId="2" borderId="89" xfId="0" applyFont="1" applyFill="1" applyBorder="1" applyAlignment="1">
      <alignment horizontal="left" vertical="center" wrapText="1"/>
    </xf>
    <xf numFmtId="0" fontId="19" fillId="41" borderId="54" xfId="0" applyFont="1" applyFill="1" applyBorder="1" applyAlignment="1">
      <alignment horizontal="left"/>
    </xf>
    <xf numFmtId="0" fontId="19" fillId="41" borderId="53" xfId="0" applyFont="1" applyFill="1" applyBorder="1" applyAlignment="1">
      <alignment horizontal="left"/>
    </xf>
    <xf numFmtId="0" fontId="13" fillId="15" borderId="71" xfId="0" applyFont="1" applyFill="1" applyBorder="1" applyAlignment="1">
      <alignment horizontal="left"/>
    </xf>
    <xf numFmtId="0" fontId="5" fillId="0" borderId="66" xfId="0" applyFont="1" applyBorder="1" applyAlignment="1">
      <alignment horizontal="left" vertical="center"/>
    </xf>
    <xf numFmtId="0" fontId="5" fillId="0" borderId="82" xfId="0" applyFont="1" applyBorder="1" applyAlignment="1">
      <alignment horizontal="left" vertical="center"/>
    </xf>
    <xf numFmtId="0" fontId="5" fillId="0" borderId="41" xfId="0" applyFont="1" applyBorder="1" applyAlignment="1">
      <alignment horizontal="center" vertical="center"/>
    </xf>
    <xf numFmtId="0" fontId="5" fillId="0" borderId="98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93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2" xfId="0" applyFont="1" applyBorder="1" applyAlignment="1">
      <alignment horizontal="center"/>
    </xf>
    <xf numFmtId="0" fontId="5" fillId="5" borderId="54" xfId="0" applyFont="1" applyFill="1" applyBorder="1" applyAlignment="1">
      <alignment horizontal="left"/>
    </xf>
    <xf numFmtId="0" fontId="5" fillId="5" borderId="53" xfId="0" applyFont="1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5" fillId="0" borderId="82" xfId="0" applyFont="1" applyBorder="1" applyAlignment="1">
      <alignment horizontal="left"/>
    </xf>
    <xf numFmtId="0" fontId="5" fillId="0" borderId="124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0" borderId="54" xfId="0" applyFont="1" applyBorder="1" applyAlignment="1">
      <alignment horizontal="left"/>
    </xf>
    <xf numFmtId="0" fontId="5" fillId="0" borderId="53" xfId="0" applyFont="1" applyBorder="1" applyAlignment="1">
      <alignment horizontal="left"/>
    </xf>
    <xf numFmtId="0" fontId="2" fillId="15" borderId="110" xfId="10" applyFont="1" applyFill="1" applyBorder="1" applyAlignment="1">
      <alignment horizontal="center" vertical="top" wrapText="1"/>
    </xf>
    <xf numFmtId="0" fontId="3" fillId="15" borderId="112" xfId="10" applyFill="1" applyBorder="1" applyAlignment="1">
      <alignment horizontal="center" vertical="top" wrapText="1"/>
    </xf>
    <xf numFmtId="0" fontId="3" fillId="15" borderId="111" xfId="10" applyFill="1" applyBorder="1" applyAlignment="1">
      <alignment horizontal="center" vertical="top" wrapText="1"/>
    </xf>
    <xf numFmtId="0" fontId="3" fillId="15" borderId="112" xfId="10" applyFill="1" applyBorder="1" applyAlignment="1">
      <alignment horizontal="left" vertical="top" wrapText="1"/>
    </xf>
    <xf numFmtId="0" fontId="3" fillId="15" borderId="111" xfId="10" applyFill="1" applyBorder="1" applyAlignment="1">
      <alignment horizontal="left" vertical="top" wrapText="1"/>
    </xf>
    <xf numFmtId="0" fontId="13" fillId="0" borderId="83" xfId="0" applyFont="1" applyBorder="1"/>
    <xf numFmtId="0" fontId="13" fillId="0" borderId="90" xfId="0" applyFont="1" applyBorder="1"/>
    <xf numFmtId="0" fontId="13" fillId="0" borderId="71" xfId="0" applyFont="1" applyBorder="1" applyAlignment="1">
      <alignment horizontal="left"/>
    </xf>
    <xf numFmtId="0" fontId="1" fillId="15" borderId="110" xfId="10" applyFont="1" applyFill="1" applyBorder="1" applyAlignment="1">
      <alignment horizontal="left" vertical="top" wrapText="1"/>
    </xf>
  </cellXfs>
  <cellStyles count="22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  <cellStyle name="Porcentaje" xfId="2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44460000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88920000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133380000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310000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310000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5940000</c:v>
                </c:pt>
                <c:pt idx="1">
                  <c:v>11800000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15120000</c:v>
                </c:pt>
                <c:pt idx="1">
                  <c:v>34400000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31230000</c:v>
                </c:pt>
                <c:pt idx="1">
                  <c:v>56000000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egresos'!$C$6:$E$6</c:f>
              <c:numCache>
                <c:formatCode>"$"\ #,##0.00</c:formatCode>
                <c:ptCount val="3"/>
                <c:pt idx="0">
                  <c:v>5450400</c:v>
                </c:pt>
                <c:pt idx="1">
                  <c:v>15530400</c:v>
                </c:pt>
                <c:pt idx="2">
                  <c:v>26604000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egresos'!$C$7:$E$7</c:f>
              <c:numCache>
                <c:formatCode>"$"\ #,##0.00</c:formatCode>
                <c:ptCount val="3"/>
                <c:pt idx="0">
                  <c:v>13304673.637200003</c:v>
                </c:pt>
                <c:pt idx="1">
                  <c:v>18686670.935599998</c:v>
                </c:pt>
                <c:pt idx="2">
                  <c:v>21612421.035999998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egresos'!$C$8:$E$8</c:f>
              <c:numCache>
                <c:formatCode>"$"\ #,##0.00</c:formatCode>
                <c:ptCount val="3"/>
                <c:pt idx="0">
                  <c:v>8630000</c:v>
                </c:pt>
                <c:pt idx="1">
                  <c:v>14410000</c:v>
                </c:pt>
                <c:pt idx="2">
                  <c:v>17780000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egresos'!$C$9:$E$9</c:f>
              <c:numCache>
                <c:formatCode>"$"\ #,##0.00</c:formatCode>
                <c:ptCount val="3"/>
                <c:pt idx="0">
                  <c:v>27385073.637200005</c:v>
                </c:pt>
                <c:pt idx="1">
                  <c:v>48627070.935599998</c:v>
                </c:pt>
                <c:pt idx="2">
                  <c:v>65996421.035999998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egresos'!$C$10:$E$10</c:f>
              <c:numCache>
                <c:formatCode>"$"\ #,##0.00</c:formatCode>
                <c:ptCount val="3"/>
                <c:pt idx="0">
                  <c:v>27200000</c:v>
                </c:pt>
                <c:pt idx="1">
                  <c:v>77460000</c:v>
                </c:pt>
                <c:pt idx="2">
                  <c:v>133650000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304800</xdr:colOff>
      <xdr:row>18</xdr:row>
      <xdr:rowOff>152400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33</xdr:row>
      <xdr:rowOff>132789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84605</xdr:colOff>
      <xdr:row>33</xdr:row>
      <xdr:rowOff>121584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523875</xdr:colOff>
      <xdr:row>0</xdr:row>
      <xdr:rowOff>190500</xdr:rowOff>
    </xdr:from>
    <xdr:to>
      <xdr:col>2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J37" sqref="J3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5.1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25">
      <c r="A21" s="1"/>
      <c r="B21" s="1"/>
      <c r="C21" s="348" t="s">
        <v>1</v>
      </c>
      <c r="D21" s="375" t="s">
        <v>167</v>
      </c>
      <c r="E21" s="375"/>
      <c r="F21" s="375"/>
      <c r="G21" s="375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25">
      <c r="A22" s="1"/>
      <c r="B22" s="1"/>
      <c r="C22" s="348" t="s">
        <v>2</v>
      </c>
      <c r="D22" s="375" t="s">
        <v>169</v>
      </c>
      <c r="E22" s="375"/>
      <c r="F22" s="375"/>
      <c r="G22" s="37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25">
      <c r="A23" s="1"/>
      <c r="B23" s="1"/>
      <c r="C23" s="348" t="s">
        <v>3</v>
      </c>
      <c r="D23" s="375" t="s">
        <v>4</v>
      </c>
      <c r="E23" s="375"/>
      <c r="F23" s="375"/>
      <c r="G23" s="375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25">
      <c r="A24" s="1"/>
      <c r="B24" s="1"/>
      <c r="C24" s="348" t="s">
        <v>5</v>
      </c>
      <c r="D24" s="375" t="s">
        <v>168</v>
      </c>
      <c r="E24" s="375"/>
      <c r="F24" s="375"/>
      <c r="G24" s="375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25">
      <c r="A25" s="1"/>
      <c r="B25" s="1"/>
      <c r="C25" s="348" t="s">
        <v>6</v>
      </c>
      <c r="D25" s="375" t="s">
        <v>7</v>
      </c>
      <c r="E25" s="375"/>
      <c r="F25" s="375"/>
      <c r="G25" s="37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2" customHeight="1" x14ac:dyDescent="0.25">
      <c r="A26" s="1"/>
      <c r="B26" s="1"/>
      <c r="C26" s="348" t="s">
        <v>8</v>
      </c>
      <c r="D26" s="376" t="s">
        <v>170</v>
      </c>
      <c r="E26" s="377"/>
      <c r="F26" s="377"/>
      <c r="G26" s="378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D21:G21"/>
    <mergeCell ref="D26:G26"/>
    <mergeCell ref="D24:G24"/>
    <mergeCell ref="D25:G25"/>
    <mergeCell ref="D23:G23"/>
    <mergeCell ref="D22:G22"/>
  </mergeCells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R1" sqref="R1:T43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49"/>
      <c r="S1" s="349"/>
      <c r="T1" s="349"/>
      <c r="U1" s="4"/>
      <c r="V1" s="4"/>
      <c r="W1" s="4"/>
      <c r="X1" s="4"/>
      <c r="Y1" s="4"/>
      <c r="Z1" s="4"/>
    </row>
    <row r="2" spans="1:26" x14ac:dyDescent="0.25">
      <c r="A2" s="326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49"/>
      <c r="S2" s="349"/>
      <c r="T2" s="349"/>
      <c r="U2" s="4"/>
      <c r="V2" s="4"/>
      <c r="W2" s="4"/>
      <c r="X2" s="4"/>
      <c r="Y2" s="4"/>
      <c r="Z2" s="4"/>
    </row>
    <row r="3" spans="1:26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49"/>
      <c r="S3" s="349"/>
      <c r="T3" s="349"/>
      <c r="U3" s="4"/>
      <c r="V3" s="4"/>
      <c r="W3" s="4"/>
      <c r="X3" s="4"/>
      <c r="Y3" s="4"/>
      <c r="Z3" s="4"/>
    </row>
    <row r="4" spans="1:26" ht="21" x14ac:dyDescent="0.35">
      <c r="A4" s="326"/>
      <c r="B4" s="326"/>
      <c r="C4" s="326"/>
      <c r="D4" s="188" t="s">
        <v>9</v>
      </c>
      <c r="E4" s="326"/>
      <c r="F4" s="326"/>
      <c r="G4" s="326"/>
      <c r="H4" s="326"/>
      <c r="I4" s="326"/>
      <c r="J4" s="326"/>
      <c r="K4" s="326"/>
      <c r="L4" s="326"/>
      <c r="M4" s="326"/>
      <c r="N4" s="326"/>
      <c r="O4" s="326"/>
      <c r="P4" s="326"/>
      <c r="Q4" s="326"/>
      <c r="R4" s="349"/>
      <c r="S4" s="349"/>
      <c r="T4" s="349"/>
      <c r="U4" s="4"/>
      <c r="V4" s="4"/>
      <c r="W4" s="4"/>
      <c r="X4" s="4"/>
      <c r="Y4" s="4"/>
      <c r="Z4" s="4"/>
    </row>
    <row r="5" spans="1:26" x14ac:dyDescent="0.25">
      <c r="A5" s="326"/>
      <c r="B5" s="326"/>
      <c r="C5" s="326"/>
      <c r="D5" s="326"/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49"/>
      <c r="S5" s="349"/>
      <c r="T5" s="349"/>
      <c r="U5" s="4"/>
      <c r="V5" s="4"/>
      <c r="W5" s="4"/>
      <c r="X5" s="4"/>
      <c r="Y5" s="4"/>
      <c r="Z5" s="4"/>
    </row>
    <row r="6" spans="1:26" ht="18" x14ac:dyDescent="0.25">
      <c r="A6" s="326"/>
      <c r="B6" s="326"/>
      <c r="C6" s="326"/>
      <c r="D6" s="280" t="s">
        <v>10</v>
      </c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349"/>
      <c r="S6" s="349"/>
      <c r="T6" s="349"/>
      <c r="U6" s="4"/>
      <c r="V6" s="4"/>
      <c r="W6" s="4"/>
      <c r="X6" s="4"/>
      <c r="Y6" s="4"/>
      <c r="Z6" s="4"/>
    </row>
    <row r="7" spans="1:26" ht="18" x14ac:dyDescent="0.25">
      <c r="A7" s="326"/>
      <c r="B7" s="326"/>
      <c r="C7" s="326"/>
      <c r="D7" s="292" t="s">
        <v>11</v>
      </c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49"/>
      <c r="S7" s="349"/>
      <c r="T7" s="349"/>
      <c r="U7" s="4"/>
      <c r="V7" s="4"/>
      <c r="W7" s="4"/>
      <c r="X7" s="4"/>
      <c r="Y7" s="4"/>
      <c r="Z7" s="4"/>
    </row>
    <row r="8" spans="1:26" ht="18" x14ac:dyDescent="0.25">
      <c r="A8" s="326"/>
      <c r="B8" s="326"/>
      <c r="C8" s="326"/>
      <c r="D8" s="292" t="s">
        <v>12</v>
      </c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49"/>
      <c r="S8" s="349"/>
      <c r="T8" s="349"/>
      <c r="U8" s="4"/>
      <c r="V8" s="4"/>
      <c r="W8" s="4"/>
      <c r="X8" s="4"/>
      <c r="Y8" s="4"/>
      <c r="Z8" s="4"/>
    </row>
    <row r="9" spans="1:26" ht="18" x14ac:dyDescent="0.25">
      <c r="A9" s="326"/>
      <c r="B9" s="326"/>
      <c r="C9" s="326"/>
      <c r="D9" s="292" t="s">
        <v>13</v>
      </c>
      <c r="E9" s="326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49"/>
      <c r="S9" s="349"/>
      <c r="T9" s="349"/>
      <c r="U9" s="4"/>
      <c r="V9" s="4"/>
      <c r="W9" s="4"/>
      <c r="X9" s="4"/>
      <c r="Y9" s="4"/>
      <c r="Z9" s="4"/>
    </row>
    <row r="10" spans="1:26" ht="18" x14ac:dyDescent="0.25">
      <c r="A10" s="326"/>
      <c r="B10" s="326"/>
      <c r="C10" s="326"/>
      <c r="D10" s="301" t="s">
        <v>248</v>
      </c>
      <c r="E10" s="326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49"/>
      <c r="S10" s="349"/>
      <c r="T10" s="349"/>
      <c r="U10" s="4"/>
      <c r="V10" s="4"/>
      <c r="W10" s="4"/>
      <c r="X10" s="4"/>
      <c r="Y10" s="4"/>
      <c r="Z10" s="4"/>
    </row>
    <row r="11" spans="1:26" ht="18" x14ac:dyDescent="0.25">
      <c r="A11" s="326"/>
      <c r="B11" s="326"/>
      <c r="C11" s="326"/>
      <c r="D11" s="292" t="s">
        <v>14</v>
      </c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49"/>
      <c r="S11" s="349"/>
      <c r="T11" s="349"/>
      <c r="U11" s="4"/>
      <c r="V11" s="4"/>
      <c r="W11" s="4"/>
      <c r="X11" s="4"/>
      <c r="Y11" s="4"/>
      <c r="Z11" s="4"/>
    </row>
    <row r="12" spans="1:26" ht="18" x14ac:dyDescent="0.25">
      <c r="A12" s="326"/>
      <c r="B12" s="326"/>
      <c r="C12" s="326"/>
      <c r="D12" s="292" t="s">
        <v>15</v>
      </c>
      <c r="E12" s="326"/>
      <c r="F12" s="326"/>
      <c r="G12" s="326"/>
      <c r="H12" s="326"/>
      <c r="I12" s="326"/>
      <c r="J12" s="326"/>
      <c r="K12" s="326"/>
      <c r="L12" s="326"/>
      <c r="M12" s="326"/>
      <c r="N12" s="326"/>
      <c r="O12" s="326"/>
      <c r="P12" s="326"/>
      <c r="Q12" s="326"/>
      <c r="R12" s="349"/>
      <c r="S12" s="349"/>
      <c r="T12" s="349"/>
      <c r="U12" s="4"/>
      <c r="V12" s="4"/>
      <c r="W12" s="4"/>
      <c r="X12" s="4"/>
      <c r="Y12" s="4"/>
      <c r="Z12" s="4"/>
    </row>
    <row r="13" spans="1:26" ht="18" x14ac:dyDescent="0.25">
      <c r="A13" s="326"/>
      <c r="B13" s="326"/>
      <c r="C13" s="326"/>
      <c r="D13" s="292" t="s">
        <v>16</v>
      </c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49"/>
      <c r="S13" s="349"/>
      <c r="T13" s="349"/>
      <c r="U13" s="4"/>
      <c r="V13" s="4"/>
      <c r="W13" s="4"/>
      <c r="X13" s="4"/>
      <c r="Y13" s="4"/>
      <c r="Z13" s="4"/>
    </row>
    <row r="14" spans="1:26" ht="18" x14ac:dyDescent="0.25">
      <c r="A14" s="326"/>
      <c r="B14" s="326"/>
      <c r="C14" s="326"/>
      <c r="D14" s="292" t="s">
        <v>17</v>
      </c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  <c r="P14" s="326"/>
      <c r="Q14" s="326"/>
      <c r="R14" s="349"/>
      <c r="S14" s="349"/>
      <c r="T14" s="349"/>
      <c r="U14" s="4"/>
      <c r="V14" s="4"/>
      <c r="W14" s="4"/>
      <c r="X14" s="4"/>
      <c r="Y14" s="4"/>
      <c r="Z14" s="4"/>
    </row>
    <row r="15" spans="1:26" ht="18" x14ac:dyDescent="0.25">
      <c r="A15" s="326"/>
      <c r="B15" s="326"/>
      <c r="C15" s="326"/>
      <c r="D15" s="292" t="s">
        <v>18</v>
      </c>
      <c r="E15" s="326"/>
      <c r="F15" s="326"/>
      <c r="G15" s="326"/>
      <c r="H15" s="326"/>
      <c r="I15" s="326"/>
      <c r="J15" s="326"/>
      <c r="K15" s="326"/>
      <c r="L15" s="326"/>
      <c r="M15" s="326"/>
      <c r="N15" s="326"/>
      <c r="O15" s="326"/>
      <c r="P15" s="326"/>
      <c r="Q15" s="326"/>
      <c r="R15" s="349"/>
      <c r="S15" s="349"/>
      <c r="T15" s="349"/>
      <c r="U15" s="4"/>
      <c r="V15" s="4"/>
      <c r="W15" s="4"/>
      <c r="X15" s="4"/>
      <c r="Y15" s="4"/>
      <c r="Z15" s="4"/>
    </row>
    <row r="16" spans="1:26" ht="18" x14ac:dyDescent="0.25">
      <c r="A16" s="326"/>
      <c r="B16" s="326"/>
      <c r="C16" s="326"/>
      <c r="D16" s="292" t="s">
        <v>19</v>
      </c>
      <c r="E16" s="326"/>
      <c r="F16" s="326"/>
      <c r="G16" s="326"/>
      <c r="H16" s="326"/>
      <c r="I16" s="326"/>
      <c r="J16" s="326"/>
      <c r="K16" s="326"/>
      <c r="L16" s="326"/>
      <c r="M16" s="326"/>
      <c r="N16" s="326"/>
      <c r="O16" s="326"/>
      <c r="P16" s="326"/>
      <c r="Q16" s="326"/>
      <c r="R16" s="349"/>
      <c r="S16" s="349"/>
      <c r="T16" s="349"/>
      <c r="U16" s="4"/>
      <c r="V16" s="4"/>
      <c r="W16" s="4"/>
      <c r="X16" s="4"/>
      <c r="Y16" s="4"/>
      <c r="Z16" s="4"/>
    </row>
    <row r="17" spans="1:26" ht="18" x14ac:dyDescent="0.25">
      <c r="A17" s="326"/>
      <c r="B17" s="326"/>
      <c r="C17" s="326"/>
      <c r="D17" s="292" t="s">
        <v>20</v>
      </c>
      <c r="E17" s="326"/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6"/>
      <c r="Q17" s="326"/>
      <c r="R17" s="349"/>
      <c r="S17" s="349"/>
      <c r="T17" s="349"/>
      <c r="U17" s="4"/>
      <c r="V17" s="4"/>
      <c r="W17" s="4"/>
      <c r="X17" s="4"/>
      <c r="Y17" s="4"/>
      <c r="Z17" s="4"/>
    </row>
    <row r="18" spans="1:26" ht="18" x14ac:dyDescent="0.25">
      <c r="A18" s="326"/>
      <c r="B18" s="326"/>
      <c r="C18" s="326"/>
      <c r="D18" s="292" t="s">
        <v>21</v>
      </c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49"/>
      <c r="S18" s="349"/>
      <c r="T18" s="349"/>
      <c r="U18" s="4"/>
      <c r="V18" s="4"/>
      <c r="W18" s="4"/>
      <c r="X18" s="4"/>
      <c r="Y18" s="4"/>
      <c r="Z18" s="4"/>
    </row>
    <row r="19" spans="1:26" ht="18" x14ac:dyDescent="0.25">
      <c r="A19" s="326"/>
      <c r="B19" s="326"/>
      <c r="C19" s="326"/>
      <c r="D19" s="292" t="s">
        <v>22</v>
      </c>
      <c r="E19" s="326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6"/>
      <c r="Q19" s="326"/>
      <c r="R19" s="349"/>
      <c r="S19" s="349"/>
      <c r="T19" s="349"/>
      <c r="U19" s="4"/>
      <c r="V19" s="4"/>
      <c r="W19" s="4"/>
      <c r="X19" s="4"/>
      <c r="Y19" s="4"/>
      <c r="Z19" s="4"/>
    </row>
    <row r="20" spans="1:26" ht="18" x14ac:dyDescent="0.25">
      <c r="A20" s="326"/>
      <c r="B20" s="326"/>
      <c r="C20" s="326"/>
      <c r="D20" s="293" t="s">
        <v>23</v>
      </c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49"/>
      <c r="S20" s="349"/>
      <c r="T20" s="349"/>
      <c r="U20" s="4"/>
      <c r="V20" s="4"/>
      <c r="W20" s="4"/>
      <c r="X20" s="4"/>
      <c r="Y20" s="4"/>
      <c r="Z20" s="4"/>
    </row>
    <row r="21" spans="1:26" ht="15.75" customHeight="1" x14ac:dyDescent="0.25">
      <c r="A21" s="326"/>
      <c r="B21" s="326"/>
      <c r="C21" s="326"/>
      <c r="D21" s="326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49"/>
      <c r="S21" s="349"/>
      <c r="T21" s="349"/>
      <c r="U21" s="4"/>
      <c r="V21" s="4"/>
      <c r="W21" s="4"/>
      <c r="X21" s="4"/>
      <c r="Y21" s="4"/>
      <c r="Z21" s="4"/>
    </row>
    <row r="22" spans="1:26" ht="15.75" customHeight="1" x14ac:dyDescent="0.25">
      <c r="A22" s="326"/>
      <c r="B22" s="326"/>
      <c r="C22" s="326"/>
      <c r="D22" s="326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49"/>
      <c r="S22" s="349"/>
      <c r="T22" s="349"/>
      <c r="U22" s="4"/>
      <c r="V22" s="4"/>
      <c r="W22" s="4"/>
      <c r="X22" s="4"/>
      <c r="Y22" s="4"/>
      <c r="Z22" s="4"/>
    </row>
    <row r="23" spans="1:26" ht="15.75" customHeight="1" x14ac:dyDescent="0.25">
      <c r="A23" s="326"/>
      <c r="B23" s="326"/>
      <c r="C23" s="326"/>
      <c r="D23" s="326"/>
      <c r="E23" s="326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49"/>
      <c r="S23" s="349"/>
      <c r="T23" s="349"/>
      <c r="U23" s="4"/>
      <c r="V23" s="4"/>
      <c r="W23" s="4"/>
      <c r="X23" s="4"/>
      <c r="Y23" s="4"/>
      <c r="Z23" s="4"/>
    </row>
    <row r="24" spans="1:26" ht="15.75" customHeight="1" x14ac:dyDescent="0.25">
      <c r="A24" s="326"/>
      <c r="B24" s="326"/>
      <c r="C24" s="326"/>
      <c r="D24" s="326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326"/>
      <c r="R24" s="349"/>
      <c r="S24" s="349"/>
      <c r="T24" s="349"/>
      <c r="U24" s="4"/>
      <c r="V24" s="4"/>
      <c r="W24" s="4"/>
      <c r="X24" s="4"/>
      <c r="Y24" s="4"/>
      <c r="Z24" s="4"/>
    </row>
    <row r="25" spans="1:26" ht="15.75" customHeight="1" x14ac:dyDescent="0.25">
      <c r="A25" s="326"/>
      <c r="B25" s="326"/>
      <c r="C25" s="326"/>
      <c r="D25" s="326"/>
      <c r="E25" s="326"/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49"/>
      <c r="S25" s="349"/>
      <c r="T25" s="349"/>
      <c r="U25" s="4"/>
      <c r="V25" s="4"/>
      <c r="W25" s="4"/>
      <c r="X25" s="4"/>
      <c r="Y25" s="4"/>
      <c r="Z25" s="4"/>
    </row>
    <row r="26" spans="1:26" ht="15.75" customHeight="1" x14ac:dyDescent="0.25">
      <c r="A26" s="326"/>
      <c r="B26" s="326"/>
      <c r="C26" s="326"/>
      <c r="D26" s="326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6"/>
      <c r="P26" s="326"/>
      <c r="Q26" s="326"/>
      <c r="R26" s="349"/>
      <c r="S26" s="349"/>
      <c r="T26" s="349"/>
      <c r="U26" s="4"/>
      <c r="V26" s="4"/>
      <c r="W26" s="4"/>
      <c r="X26" s="4"/>
      <c r="Y26" s="4"/>
      <c r="Z26" s="4"/>
    </row>
    <row r="27" spans="1:26" ht="15.75" customHeight="1" x14ac:dyDescent="0.25">
      <c r="A27" s="326"/>
      <c r="B27" s="326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49"/>
      <c r="S27" s="349"/>
      <c r="T27" s="349"/>
      <c r="U27" s="4"/>
      <c r="V27" s="4"/>
      <c r="W27" s="4"/>
      <c r="X27" s="4"/>
      <c r="Y27" s="4"/>
      <c r="Z27" s="4"/>
    </row>
    <row r="28" spans="1:26" ht="15.75" customHeight="1" x14ac:dyDescent="0.25">
      <c r="A28" s="326"/>
      <c r="B28" s="326"/>
      <c r="C28" s="326"/>
      <c r="D28" s="326"/>
      <c r="E28" s="326"/>
      <c r="F28" s="326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326"/>
      <c r="R28" s="349"/>
      <c r="S28" s="349"/>
      <c r="T28" s="349"/>
      <c r="U28" s="4"/>
      <c r="V28" s="4"/>
      <c r="W28" s="4"/>
      <c r="X28" s="4"/>
      <c r="Y28" s="4"/>
      <c r="Z28" s="4"/>
    </row>
    <row r="29" spans="1:26" ht="15.75" customHeight="1" x14ac:dyDescent="0.25">
      <c r="A29" s="326"/>
      <c r="B29" s="326"/>
      <c r="C29" s="326"/>
      <c r="D29" s="326"/>
      <c r="E29" s="326"/>
      <c r="F29" s="326"/>
      <c r="G29" s="326"/>
      <c r="H29" s="326"/>
      <c r="I29" s="326"/>
      <c r="J29" s="326"/>
      <c r="K29" s="326"/>
      <c r="L29" s="326"/>
      <c r="M29" s="326"/>
      <c r="N29" s="326"/>
      <c r="O29" s="326"/>
      <c r="P29" s="326"/>
      <c r="Q29" s="326"/>
      <c r="R29" s="349"/>
      <c r="S29" s="349"/>
      <c r="T29" s="349"/>
      <c r="U29" s="4"/>
      <c r="V29" s="4"/>
      <c r="W29" s="4"/>
      <c r="X29" s="4"/>
      <c r="Y29" s="4"/>
      <c r="Z29" s="4"/>
    </row>
    <row r="30" spans="1:26" ht="15.75" customHeight="1" x14ac:dyDescent="0.25">
      <c r="A30" s="326"/>
      <c r="B30" s="326"/>
      <c r="C30" s="326"/>
      <c r="D30" s="326"/>
      <c r="E30" s="326"/>
      <c r="F30" s="326"/>
      <c r="G30" s="326"/>
      <c r="H30" s="326"/>
      <c r="I30" s="326"/>
      <c r="J30" s="326"/>
      <c r="K30" s="326"/>
      <c r="L30" s="326"/>
      <c r="M30" s="326"/>
      <c r="N30" s="326"/>
      <c r="O30" s="326"/>
      <c r="P30" s="326"/>
      <c r="Q30" s="326"/>
      <c r="R30" s="349"/>
      <c r="S30" s="349"/>
      <c r="T30" s="349"/>
      <c r="U30" s="4"/>
      <c r="V30" s="4"/>
      <c r="W30" s="4"/>
      <c r="X30" s="4"/>
      <c r="Y30" s="4"/>
      <c r="Z30" s="4"/>
    </row>
    <row r="31" spans="1:26" ht="15.75" customHeight="1" x14ac:dyDescent="0.25">
      <c r="A31" s="326"/>
      <c r="B31" s="326"/>
      <c r="C31" s="326"/>
      <c r="D31" s="326"/>
      <c r="E31" s="326"/>
      <c r="F31" s="326"/>
      <c r="G31" s="326"/>
      <c r="H31" s="326"/>
      <c r="I31" s="326"/>
      <c r="J31" s="326"/>
      <c r="K31" s="326"/>
      <c r="L31" s="326"/>
      <c r="M31" s="326"/>
      <c r="N31" s="326"/>
      <c r="O31" s="326"/>
      <c r="P31" s="326"/>
      <c r="Q31" s="326"/>
      <c r="R31" s="349"/>
      <c r="S31" s="349"/>
      <c r="T31" s="349"/>
      <c r="U31" s="4"/>
      <c r="V31" s="4"/>
      <c r="W31" s="4"/>
      <c r="X31" s="4"/>
      <c r="Y31" s="4"/>
      <c r="Z31" s="4"/>
    </row>
    <row r="32" spans="1:26" ht="15.75" customHeight="1" x14ac:dyDescent="0.25">
      <c r="A32" s="326"/>
      <c r="B32" s="326"/>
      <c r="C32" s="326"/>
      <c r="D32" s="326"/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26"/>
      <c r="P32" s="326"/>
      <c r="Q32" s="326"/>
      <c r="R32" s="349"/>
      <c r="S32" s="349"/>
      <c r="T32" s="349"/>
      <c r="U32" s="4"/>
      <c r="V32" s="4"/>
      <c r="W32" s="4"/>
      <c r="X32" s="4"/>
      <c r="Y32" s="4"/>
      <c r="Z32" s="4"/>
    </row>
    <row r="33" spans="1:26" ht="15.75" customHeight="1" x14ac:dyDescent="0.25">
      <c r="A33" s="326"/>
      <c r="B33" s="326"/>
      <c r="C33" s="326"/>
      <c r="D33" s="326"/>
      <c r="E33" s="326"/>
      <c r="F33" s="326"/>
      <c r="G33" s="326"/>
      <c r="H33" s="326"/>
      <c r="I33" s="326"/>
      <c r="J33" s="326"/>
      <c r="K33" s="326"/>
      <c r="L33" s="326"/>
      <c r="M33" s="326"/>
      <c r="N33" s="326"/>
      <c r="O33" s="326"/>
      <c r="P33" s="326"/>
      <c r="Q33" s="326"/>
      <c r="R33" s="349"/>
      <c r="S33" s="349"/>
      <c r="T33" s="349"/>
      <c r="U33" s="4"/>
      <c r="V33" s="4"/>
      <c r="W33" s="4"/>
      <c r="X33" s="4"/>
      <c r="Y33" s="4"/>
      <c r="Z33" s="4"/>
    </row>
    <row r="34" spans="1:26" ht="15.75" customHeight="1" x14ac:dyDescent="0.25">
      <c r="A34" s="326"/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/>
      <c r="P34" s="326"/>
      <c r="Q34" s="326"/>
      <c r="R34" s="349"/>
      <c r="S34" s="349"/>
      <c r="T34" s="349"/>
      <c r="U34" s="4"/>
      <c r="V34" s="4"/>
      <c r="W34" s="4"/>
      <c r="X34" s="4"/>
      <c r="Y34" s="4"/>
      <c r="Z34" s="4"/>
    </row>
    <row r="35" spans="1:26" ht="15.75" customHeight="1" x14ac:dyDescent="0.25">
      <c r="A35" s="326"/>
      <c r="B35" s="326"/>
      <c r="C35" s="326"/>
      <c r="D35" s="326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26"/>
      <c r="Q35" s="326"/>
      <c r="R35" s="349"/>
      <c r="S35" s="349"/>
      <c r="T35" s="349"/>
      <c r="U35" s="4"/>
      <c r="V35" s="4"/>
      <c r="W35" s="4"/>
      <c r="X35" s="4"/>
      <c r="Y35" s="4"/>
      <c r="Z35" s="4"/>
    </row>
    <row r="36" spans="1:26" ht="15.75" customHeight="1" x14ac:dyDescent="0.25">
      <c r="A36" s="326"/>
      <c r="B36" s="326"/>
      <c r="C36" s="326"/>
      <c r="D36" s="326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326"/>
      <c r="R36" s="349"/>
      <c r="S36" s="349"/>
      <c r="T36" s="349"/>
      <c r="U36" s="4"/>
      <c r="V36" s="4"/>
      <c r="W36" s="4"/>
      <c r="X36" s="4"/>
      <c r="Y36" s="4"/>
      <c r="Z36" s="4"/>
    </row>
    <row r="37" spans="1:26" ht="15.75" customHeight="1" x14ac:dyDescent="0.25">
      <c r="A37" s="326"/>
      <c r="B37" s="326"/>
      <c r="C37" s="326"/>
      <c r="D37" s="326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26"/>
      <c r="Q37" s="326"/>
      <c r="R37" s="349"/>
      <c r="S37" s="349"/>
      <c r="T37" s="349"/>
      <c r="U37" s="4"/>
      <c r="V37" s="4"/>
      <c r="W37" s="4"/>
      <c r="X37" s="4"/>
      <c r="Y37" s="4"/>
      <c r="Z37" s="4"/>
    </row>
    <row r="38" spans="1:26" ht="15.75" customHeight="1" x14ac:dyDescent="0.25">
      <c r="A38" s="326"/>
      <c r="B38" s="326"/>
      <c r="C38" s="326"/>
      <c r="D38" s="326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26"/>
      <c r="P38" s="326"/>
      <c r="Q38" s="326"/>
      <c r="R38" s="349"/>
      <c r="S38" s="349"/>
      <c r="T38" s="349"/>
      <c r="U38" s="4"/>
      <c r="V38" s="4"/>
      <c r="W38" s="4"/>
      <c r="X38" s="4"/>
      <c r="Y38" s="4"/>
      <c r="Z38" s="4"/>
    </row>
    <row r="39" spans="1:26" ht="15.75" customHeight="1" x14ac:dyDescent="0.25">
      <c r="A39" s="326"/>
      <c r="B39" s="326"/>
      <c r="C39" s="326"/>
      <c r="D39" s="326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26"/>
      <c r="Q39" s="326"/>
      <c r="R39" s="349"/>
      <c r="S39" s="349"/>
      <c r="T39" s="349"/>
      <c r="U39" s="4"/>
      <c r="V39" s="4"/>
      <c r="W39" s="4"/>
      <c r="X39" s="4"/>
      <c r="Y39" s="4"/>
      <c r="Z39" s="4"/>
    </row>
    <row r="40" spans="1:26" ht="15.75" customHeight="1" x14ac:dyDescent="0.25">
      <c r="A40" s="326"/>
      <c r="B40" s="326"/>
      <c r="C40" s="326"/>
      <c r="D40" s="326"/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26"/>
      <c r="Q40" s="326"/>
      <c r="R40" s="349"/>
      <c r="S40" s="349"/>
      <c r="T40" s="349"/>
      <c r="U40" s="4"/>
      <c r="V40" s="4"/>
      <c r="W40" s="4"/>
      <c r="X40" s="4"/>
      <c r="Y40" s="4"/>
      <c r="Z40" s="4"/>
    </row>
    <row r="41" spans="1:26" ht="15.75" customHeight="1" x14ac:dyDescent="0.25">
      <c r="A41" s="326"/>
      <c r="B41" s="326"/>
      <c r="C41" s="326"/>
      <c r="D41" s="326"/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  <c r="P41" s="326"/>
      <c r="Q41" s="326"/>
      <c r="R41" s="349"/>
      <c r="S41" s="349"/>
      <c r="T41" s="349"/>
      <c r="U41" s="4"/>
      <c r="V41" s="4"/>
      <c r="W41" s="4"/>
      <c r="X41" s="4"/>
      <c r="Y41" s="4"/>
      <c r="Z41" s="4"/>
    </row>
    <row r="42" spans="1:26" ht="15.75" customHeight="1" x14ac:dyDescent="0.25">
      <c r="A42" s="326"/>
      <c r="B42" s="326"/>
      <c r="C42" s="326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49"/>
      <c r="S42" s="349"/>
      <c r="T42" s="349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349"/>
      <c r="S43" s="349"/>
      <c r="T43" s="349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4" activePane="bottomLeft" state="frozen"/>
      <selection pane="bottomLeft" activeCell="B7" sqref="B7:I7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49"/>
      <c r="B1" s="149"/>
      <c r="C1" s="149"/>
      <c r="D1" s="149"/>
      <c r="E1" s="185" t="s">
        <v>10</v>
      </c>
      <c r="F1" s="186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5"/>
      <c r="T1" s="5"/>
      <c r="U1" s="5"/>
      <c r="V1" s="5"/>
      <c r="W1" s="5"/>
      <c r="X1" s="5"/>
      <c r="Y1" s="5"/>
      <c r="Z1" s="5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81" t="s">
        <v>24</v>
      </c>
      <c r="C3" s="382"/>
      <c r="D3" s="382"/>
      <c r="E3" s="382"/>
      <c r="F3" s="382"/>
      <c r="G3" s="382"/>
      <c r="H3" s="382"/>
      <c r="I3" s="38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84" t="s">
        <v>260</v>
      </c>
      <c r="C4" s="385"/>
      <c r="D4" s="385"/>
      <c r="E4" s="385"/>
      <c r="F4" s="385"/>
      <c r="G4" s="385"/>
      <c r="H4" s="385"/>
      <c r="I4" s="386"/>
      <c r="J4" s="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81" t="s">
        <v>25</v>
      </c>
      <c r="C7" s="382"/>
      <c r="D7" s="382"/>
      <c r="E7" s="382"/>
      <c r="F7" s="382"/>
      <c r="G7" s="382"/>
      <c r="H7" s="382"/>
      <c r="I7" s="38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87" t="s">
        <v>324</v>
      </c>
      <c r="C8" s="388"/>
      <c r="D8" s="388"/>
      <c r="E8" s="388"/>
      <c r="F8" s="388"/>
      <c r="G8" s="388"/>
      <c r="H8" s="388"/>
      <c r="I8" s="38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93"/>
      <c r="B9" s="7"/>
      <c r="C9" s="7"/>
      <c r="D9" s="7"/>
      <c r="E9" s="7"/>
      <c r="F9" s="7"/>
      <c r="G9" s="7"/>
      <c r="H9" s="7"/>
      <c r="I9" s="7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93"/>
      <c r="B10" s="7"/>
      <c r="C10" s="7"/>
      <c r="D10" s="7"/>
      <c r="E10" s="7"/>
      <c r="F10" s="7"/>
      <c r="G10" s="7"/>
      <c r="H10" s="7"/>
      <c r="I10" s="7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23"/>
      <c r="B11" s="119" t="s">
        <v>173</v>
      </c>
      <c r="C11" s="119" t="s">
        <v>171</v>
      </c>
      <c r="D11" s="119" t="s">
        <v>172</v>
      </c>
      <c r="E11" s="119" t="s">
        <v>30</v>
      </c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23"/>
      <c r="B12" s="120">
        <v>650</v>
      </c>
      <c r="C12" s="121">
        <v>95000</v>
      </c>
      <c r="D12" s="121">
        <f>C12*12</f>
        <v>1140000</v>
      </c>
      <c r="E12" s="122">
        <f>B12*D12</f>
        <v>741000000</v>
      </c>
      <c r="F12" s="114"/>
      <c r="G12" s="114"/>
      <c r="H12" s="114"/>
      <c r="I12" s="114"/>
      <c r="J12" s="114"/>
      <c r="K12" s="93"/>
      <c r="L12" s="93"/>
      <c r="M12" s="93"/>
      <c r="N12" s="93"/>
      <c r="O12" s="115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</row>
    <row r="13" spans="1:27" ht="21" customHeight="1" x14ac:dyDescent="0.25">
      <c r="A13" s="93"/>
      <c r="B13" s="116"/>
      <c r="C13" s="117"/>
      <c r="D13" s="118"/>
      <c r="E13" s="114"/>
      <c r="F13" s="114"/>
      <c r="G13" s="114"/>
      <c r="H13" s="114"/>
      <c r="I13" s="114"/>
      <c r="J13" s="93"/>
      <c r="K13" s="93"/>
      <c r="L13" s="93"/>
      <c r="M13" s="93"/>
      <c r="N13" s="115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7" ht="12" customHeight="1" x14ac:dyDescent="0.25">
      <c r="A14" s="1"/>
      <c r="B14" s="7"/>
      <c r="C14" s="7"/>
      <c r="D14" s="7"/>
      <c r="E14" s="7"/>
      <c r="F14" s="7"/>
      <c r="G14" s="7"/>
      <c r="H14" s="7"/>
      <c r="I14" s="7"/>
      <c r="J14" s="1"/>
      <c r="K14" s="1"/>
      <c r="L14" s="1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90" t="s">
        <v>26</v>
      </c>
      <c r="C16" s="391"/>
      <c r="D16" s="391"/>
      <c r="E16" s="391"/>
      <c r="F16" s="391"/>
      <c r="G16" s="391"/>
      <c r="H16" s="391"/>
      <c r="I16" s="39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93" t="s">
        <v>270</v>
      </c>
      <c r="C17" s="394"/>
      <c r="D17" s="394"/>
      <c r="E17" s="394"/>
      <c r="F17" s="394"/>
      <c r="G17" s="394"/>
      <c r="H17" s="394"/>
      <c r="I17" s="395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9"/>
      <c r="F19" s="9"/>
      <c r="G19" s="9"/>
      <c r="H19" s="9"/>
      <c r="I19" s="9"/>
      <c r="J19" s="9"/>
      <c r="K19" s="9"/>
      <c r="L19" s="9"/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9"/>
      <c r="F20" s="9"/>
      <c r="G20" s="9"/>
      <c r="H20" s="9"/>
      <c r="I20" s="9"/>
      <c r="J20" s="9"/>
      <c r="K20" s="9"/>
      <c r="L20" s="9"/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96" t="s">
        <v>27</v>
      </c>
      <c r="C23" s="397"/>
      <c r="D23" s="398"/>
      <c r="E23" s="9"/>
      <c r="F23" s="9"/>
      <c r="G23" s="9"/>
      <c r="H23" s="9"/>
      <c r="I23" s="9"/>
      <c r="J23" s="9"/>
      <c r="K23" s="9"/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12" t="s">
        <v>28</v>
      </c>
      <c r="C24" s="112" t="s">
        <v>29</v>
      </c>
      <c r="D24" s="113" t="s">
        <v>30</v>
      </c>
      <c r="E24" s="9"/>
      <c r="F24" s="9"/>
      <c r="G24" s="9"/>
      <c r="H24" s="9"/>
      <c r="I24" s="9"/>
      <c r="J24" s="9"/>
      <c r="K24" s="9"/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0">
        <v>2022</v>
      </c>
      <c r="C25" s="11">
        <v>0.06</v>
      </c>
      <c r="D25" s="12">
        <f>C25*$E$12</f>
        <v>44460000</v>
      </c>
      <c r="E25" s="9"/>
      <c r="F25" s="9"/>
      <c r="G25" s="9"/>
      <c r="H25" s="9"/>
      <c r="I25" s="9"/>
      <c r="J25" s="9"/>
      <c r="K25" s="9"/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0">
        <v>2023</v>
      </c>
      <c r="C26" s="11">
        <v>0.12</v>
      </c>
      <c r="D26" s="12">
        <f t="shared" ref="D26:D27" si="0">C26*$E$12</f>
        <v>88920000</v>
      </c>
      <c r="E26" s="9"/>
      <c r="F26" s="9"/>
      <c r="G26" s="9"/>
      <c r="H26" s="9"/>
      <c r="I26" s="9"/>
      <c r="J26" s="9"/>
      <c r="K26" s="9"/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0">
        <v>2024</v>
      </c>
      <c r="C27" s="11">
        <v>0.18</v>
      </c>
      <c r="D27" s="12">
        <f t="shared" si="0"/>
        <v>133380000</v>
      </c>
      <c r="E27" s="9"/>
      <c r="F27" s="9"/>
      <c r="G27" s="9"/>
      <c r="H27" s="9"/>
      <c r="I27" s="9"/>
      <c r="J27" s="9"/>
      <c r="K27" s="9"/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9"/>
      <c r="C28" s="13"/>
      <c r="D28" s="14"/>
      <c r="E28" s="9"/>
      <c r="F28" s="9"/>
      <c r="G28" s="9"/>
      <c r="H28" s="9"/>
      <c r="I28" s="9"/>
      <c r="J28" s="9"/>
      <c r="K28" s="9"/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9"/>
      <c r="C29" s="13"/>
      <c r="D29" s="14"/>
      <c r="E29" s="9"/>
      <c r="F29" s="9"/>
      <c r="G29" s="9"/>
      <c r="H29" s="9"/>
      <c r="I29" s="9"/>
      <c r="J29" s="9"/>
      <c r="K29" s="9"/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5"/>
      <c r="C30" s="13"/>
      <c r="D30" s="14"/>
      <c r="E30" s="9"/>
      <c r="F30" s="9"/>
      <c r="G30" s="9"/>
      <c r="H30" s="9"/>
      <c r="I30" s="9"/>
      <c r="J30" s="9"/>
      <c r="K30" s="9"/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9"/>
      <c r="C31" s="13"/>
      <c r="D31" s="14"/>
      <c r="E31" s="9"/>
      <c r="F31" s="9"/>
      <c r="G31" s="9"/>
      <c r="H31" s="9"/>
      <c r="I31" s="9"/>
      <c r="J31" s="9"/>
      <c r="K31" s="9"/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9"/>
      <c r="C32" s="13"/>
      <c r="D32" s="14"/>
      <c r="E32" s="9"/>
      <c r="F32" s="9"/>
      <c r="G32" s="9"/>
      <c r="H32" s="9"/>
      <c r="I32" s="9"/>
      <c r="J32" s="9"/>
      <c r="K32" s="9"/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9"/>
      <c r="C33" s="9"/>
      <c r="D33" s="9"/>
      <c r="E33" s="9"/>
      <c r="F33" s="1"/>
      <c r="G33" s="9"/>
      <c r="H33" s="9"/>
      <c r="I33" s="9"/>
      <c r="J33" s="9"/>
      <c r="K33" s="9"/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99" t="s">
        <v>31</v>
      </c>
      <c r="C35" s="400"/>
      <c r="D35" s="400"/>
      <c r="E35" s="40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24" t="s">
        <v>32</v>
      </c>
      <c r="C36" s="125" t="s">
        <v>33</v>
      </c>
      <c r="D36" s="402" t="s">
        <v>34</v>
      </c>
      <c r="E36" s="403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38" t="s">
        <v>174</v>
      </c>
      <c r="C37" s="184">
        <v>90000</v>
      </c>
      <c r="D37" s="404" t="s">
        <v>222</v>
      </c>
      <c r="E37" s="40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26" t="s">
        <v>175</v>
      </c>
      <c r="C38" s="127">
        <v>100000</v>
      </c>
      <c r="D38" s="406" t="s">
        <v>221</v>
      </c>
      <c r="E38" s="40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28" t="s">
        <v>35</v>
      </c>
      <c r="C39" s="129">
        <v>110000</v>
      </c>
      <c r="D39" s="379" t="s">
        <v>223</v>
      </c>
      <c r="E39" s="380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9" activePane="bottomRight" state="frozen"/>
      <selection pane="topRight" activeCell="C1" sqref="C1"/>
      <selection pane="bottomLeft" activeCell="A2" sqref="A2"/>
      <selection pane="bottomRight" activeCell="K37" sqref="K37:L37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6.25" customWidth="1"/>
    <col min="13" max="13" width="7.75" bestFit="1" customWidth="1"/>
    <col min="14" max="14" width="16.12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30"/>
      <c r="B1" s="131"/>
      <c r="C1" s="488" t="s">
        <v>11</v>
      </c>
      <c r="D1" s="489"/>
      <c r="E1" s="489"/>
      <c r="F1" s="490"/>
      <c r="G1" s="130"/>
      <c r="H1" s="130"/>
      <c r="I1" s="132"/>
      <c r="J1" s="132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14" t="s">
        <v>36</v>
      </c>
      <c r="C5" s="315"/>
      <c r="D5" s="315"/>
      <c r="E5" s="315"/>
      <c r="F5" s="315"/>
      <c r="G5" s="316"/>
      <c r="H5" s="17"/>
      <c r="I5" s="17"/>
      <c r="J5" s="17"/>
      <c r="K5" s="1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18"/>
      <c r="B6" s="408" t="s">
        <v>199</v>
      </c>
      <c r="C6" s="409"/>
      <c r="D6" s="409"/>
      <c r="E6" s="409"/>
      <c r="F6" s="409"/>
      <c r="G6" s="410"/>
      <c r="H6" s="19"/>
      <c r="I6" s="19"/>
      <c r="J6" s="19"/>
      <c r="K6" s="1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18"/>
      <c r="B7" s="411"/>
      <c r="C7" s="412"/>
      <c r="D7" s="412"/>
      <c r="E7" s="412"/>
      <c r="F7" s="412"/>
      <c r="G7" s="413"/>
      <c r="H7" s="19"/>
      <c r="I7" s="19"/>
      <c r="J7" s="19"/>
      <c r="K7" s="19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18"/>
      <c r="B8" s="411"/>
      <c r="C8" s="412"/>
      <c r="D8" s="412"/>
      <c r="E8" s="412"/>
      <c r="F8" s="412"/>
      <c r="G8" s="413"/>
      <c r="H8" s="19"/>
      <c r="I8" s="19"/>
      <c r="J8" s="19"/>
      <c r="K8" s="1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411"/>
      <c r="C9" s="412"/>
      <c r="D9" s="412"/>
      <c r="E9" s="412"/>
      <c r="F9" s="412"/>
      <c r="G9" s="413"/>
      <c r="H9" s="19"/>
      <c r="I9" s="19"/>
      <c r="J9" s="19"/>
      <c r="K9" s="19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411"/>
      <c r="C10" s="412"/>
      <c r="D10" s="412"/>
      <c r="E10" s="412"/>
      <c r="F10" s="412"/>
      <c r="G10" s="413"/>
      <c r="H10" s="19"/>
      <c r="I10" s="19"/>
      <c r="J10" s="19"/>
      <c r="K10" s="1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411"/>
      <c r="C11" s="412"/>
      <c r="D11" s="412"/>
      <c r="E11" s="412"/>
      <c r="F11" s="412"/>
      <c r="G11" s="413"/>
      <c r="H11" s="19"/>
      <c r="I11" s="19"/>
      <c r="J11" s="19"/>
      <c r="K11" s="1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414"/>
      <c r="C12" s="415"/>
      <c r="D12" s="415"/>
      <c r="E12" s="415"/>
      <c r="F12" s="415"/>
      <c r="G12" s="416"/>
      <c r="H12" s="19"/>
      <c r="I12" s="19"/>
      <c r="J12" s="19"/>
      <c r="K12" s="1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91" t="s">
        <v>67</v>
      </c>
      <c r="B15" s="476"/>
      <c r="C15" s="476"/>
      <c r="D15" s="476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6"/>
      <c r="Q15" s="476"/>
      <c r="R15" s="476"/>
      <c r="S15" s="476"/>
      <c r="T15" s="476"/>
      <c r="U15" s="476"/>
      <c r="V15" s="476"/>
      <c r="W15" s="476"/>
      <c r="X15" s="476"/>
      <c r="Y15" s="476"/>
      <c r="Z15" s="476"/>
      <c r="AA15" s="476"/>
      <c r="AB15" s="476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75" t="s">
        <v>176</v>
      </c>
      <c r="B16" s="475" t="s">
        <v>33</v>
      </c>
      <c r="C16" s="450" t="s">
        <v>38</v>
      </c>
      <c r="D16" s="449"/>
      <c r="E16" s="448" t="s">
        <v>39</v>
      </c>
      <c r="F16" s="449"/>
      <c r="G16" s="448" t="s">
        <v>40</v>
      </c>
      <c r="H16" s="449"/>
      <c r="I16" s="448" t="s">
        <v>41</v>
      </c>
      <c r="J16" s="449"/>
      <c r="K16" s="448" t="s">
        <v>42</v>
      </c>
      <c r="L16" s="449"/>
      <c r="M16" s="448" t="s">
        <v>43</v>
      </c>
      <c r="N16" s="449"/>
      <c r="O16" s="448" t="s">
        <v>44</v>
      </c>
      <c r="P16" s="449"/>
      <c r="Q16" s="448" t="s">
        <v>45</v>
      </c>
      <c r="R16" s="449"/>
      <c r="S16" s="448" t="s">
        <v>46</v>
      </c>
      <c r="T16" s="449"/>
      <c r="U16" s="448" t="s">
        <v>47</v>
      </c>
      <c r="V16" s="449"/>
      <c r="W16" s="448" t="s">
        <v>48</v>
      </c>
      <c r="X16" s="449"/>
      <c r="Y16" s="448" t="s">
        <v>49</v>
      </c>
      <c r="Z16" s="449"/>
      <c r="AA16" s="448" t="s">
        <v>50</v>
      </c>
      <c r="AB16" s="449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76"/>
      <c r="B17" s="476"/>
      <c r="C17" s="450" t="s">
        <v>52</v>
      </c>
      <c r="D17" s="450" t="s">
        <v>51</v>
      </c>
      <c r="E17" s="454">
        <v>0.05</v>
      </c>
      <c r="F17" s="449"/>
      <c r="G17" s="454">
        <v>0.05</v>
      </c>
      <c r="H17" s="454"/>
      <c r="I17" s="454">
        <v>0.05</v>
      </c>
      <c r="J17" s="449"/>
      <c r="K17" s="454">
        <v>7.0000000000000007E-2</v>
      </c>
      <c r="L17" s="454"/>
      <c r="M17" s="454">
        <v>0.1</v>
      </c>
      <c r="N17" s="449"/>
      <c r="O17" s="454">
        <v>0.15</v>
      </c>
      <c r="P17" s="454"/>
      <c r="Q17" s="454">
        <v>7.0000000000000007E-2</v>
      </c>
      <c r="R17" s="449"/>
      <c r="S17" s="454">
        <v>7.0000000000000007E-2</v>
      </c>
      <c r="T17" s="454"/>
      <c r="U17" s="454">
        <v>7.0000000000000007E-2</v>
      </c>
      <c r="V17" s="449"/>
      <c r="W17" s="454">
        <v>7.0000000000000007E-2</v>
      </c>
      <c r="X17" s="454"/>
      <c r="Y17" s="454">
        <v>0.1</v>
      </c>
      <c r="Z17" s="449"/>
      <c r="AA17" s="454">
        <v>0.15</v>
      </c>
      <c r="AB17" s="454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76"/>
      <c r="B18" s="476"/>
      <c r="C18" s="449"/>
      <c r="D18" s="449"/>
      <c r="E18" s="154" t="s">
        <v>52</v>
      </c>
      <c r="F18" s="154" t="s">
        <v>51</v>
      </c>
      <c r="G18" s="154" t="s">
        <v>52</v>
      </c>
      <c r="H18" s="154" t="s">
        <v>51</v>
      </c>
      <c r="I18" s="154" t="s">
        <v>52</v>
      </c>
      <c r="J18" s="154" t="s">
        <v>51</v>
      </c>
      <c r="K18" s="154" t="s">
        <v>52</v>
      </c>
      <c r="L18" s="154" t="s">
        <v>51</v>
      </c>
      <c r="M18" s="154" t="s">
        <v>52</v>
      </c>
      <c r="N18" s="154" t="s">
        <v>51</v>
      </c>
      <c r="O18" s="154" t="s">
        <v>52</v>
      </c>
      <c r="P18" s="154" t="s">
        <v>51</v>
      </c>
      <c r="Q18" s="154" t="s">
        <v>52</v>
      </c>
      <c r="R18" s="154" t="s">
        <v>51</v>
      </c>
      <c r="S18" s="154" t="s">
        <v>52</v>
      </c>
      <c r="T18" s="154" t="s">
        <v>51</v>
      </c>
      <c r="U18" s="154" t="s">
        <v>52</v>
      </c>
      <c r="V18" s="154" t="s">
        <v>51</v>
      </c>
      <c r="W18" s="154" t="s">
        <v>52</v>
      </c>
      <c r="X18" s="154" t="s">
        <v>51</v>
      </c>
      <c r="Y18" s="154" t="s">
        <v>52</v>
      </c>
      <c r="Z18" s="154" t="s">
        <v>51</v>
      </c>
      <c r="AA18" s="154" t="s">
        <v>52</v>
      </c>
      <c r="AB18" s="15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18" t="str">
        <f>Hipótesis!B37</f>
        <v>Inicial</v>
      </c>
      <c r="B19" s="219">
        <f>Hipótesis!C37</f>
        <v>90000</v>
      </c>
      <c r="C19" s="190">
        <f>E19+G19+I19+K19+M19+O19+Q19+S19+U19+W19+Y19+AA19</f>
        <v>11</v>
      </c>
      <c r="D19" s="189">
        <f>B19*C19</f>
        <v>990000</v>
      </c>
      <c r="E19" s="191">
        <v>0</v>
      </c>
      <c r="F19" s="189">
        <f>B19*E19</f>
        <v>0</v>
      </c>
      <c r="G19" s="191">
        <v>1</v>
      </c>
      <c r="H19" s="189">
        <f>B19*G19</f>
        <v>90000</v>
      </c>
      <c r="I19" s="191">
        <v>1</v>
      </c>
      <c r="J19" s="189">
        <f>B19*I19</f>
        <v>90000</v>
      </c>
      <c r="K19" s="191">
        <v>1</v>
      </c>
      <c r="L19" s="189">
        <f>K19*B19</f>
        <v>90000</v>
      </c>
      <c r="M19" s="191">
        <v>1</v>
      </c>
      <c r="N19" s="189">
        <f>M19*B19</f>
        <v>90000</v>
      </c>
      <c r="O19" s="191">
        <v>1</v>
      </c>
      <c r="P19" s="189">
        <f>O19*B19</f>
        <v>90000</v>
      </c>
      <c r="Q19" s="191">
        <v>1</v>
      </c>
      <c r="R19" s="189">
        <f t="shared" ref="R19:R21" si="0">N19*Q19</f>
        <v>90000</v>
      </c>
      <c r="S19" s="191">
        <v>1</v>
      </c>
      <c r="T19" s="189">
        <f>S19*B19</f>
        <v>90000</v>
      </c>
      <c r="U19" s="191">
        <v>1</v>
      </c>
      <c r="V19" s="189">
        <f t="shared" ref="V19:V21" si="1">R19*U19</f>
        <v>90000</v>
      </c>
      <c r="W19" s="191">
        <v>1</v>
      </c>
      <c r="X19" s="189">
        <f t="shared" ref="X19:X21" si="2">R19*W19</f>
        <v>90000</v>
      </c>
      <c r="Y19" s="191">
        <v>1</v>
      </c>
      <c r="Z19" s="189">
        <f t="shared" ref="Z19" si="3">V19*Y19</f>
        <v>90000</v>
      </c>
      <c r="AA19" s="191">
        <v>1</v>
      </c>
      <c r="AB19" s="18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20" t="str">
        <f>Hipótesis!B38</f>
        <v>Normal</v>
      </c>
      <c r="B20" s="221">
        <f>Hipótesis!C38</f>
        <v>100000</v>
      </c>
      <c r="C20" s="193">
        <f>E20+G20+I20+K20+M20+O20+Q20+S20+U20+W20+Y20+AA20</f>
        <v>19</v>
      </c>
      <c r="D20" s="192">
        <f t="shared" ref="D20:D21" si="4">B20*C20</f>
        <v>1900000</v>
      </c>
      <c r="E20" s="193">
        <v>2</v>
      </c>
      <c r="F20" s="194">
        <f t="shared" ref="F20:F21" si="5">B20*E20</f>
        <v>200000</v>
      </c>
      <c r="G20" s="193">
        <v>1</v>
      </c>
      <c r="H20" s="194">
        <f t="shared" ref="H20:H21" si="6">B20*G20</f>
        <v>100000</v>
      </c>
      <c r="I20" s="193">
        <v>1</v>
      </c>
      <c r="J20" s="194">
        <f>I20*$B$20</f>
        <v>100000</v>
      </c>
      <c r="K20" s="193">
        <v>1</v>
      </c>
      <c r="L20" s="194">
        <f>K20*$B$20</f>
        <v>100000</v>
      </c>
      <c r="M20" s="193">
        <v>2</v>
      </c>
      <c r="N20" s="194">
        <f t="shared" ref="N20:N21" si="7">J20*M20</f>
        <v>200000</v>
      </c>
      <c r="O20" s="193">
        <v>3</v>
      </c>
      <c r="P20" s="194">
        <f t="shared" ref="P20:P21" si="8">J20*O20</f>
        <v>300000</v>
      </c>
      <c r="Q20" s="193">
        <v>1</v>
      </c>
      <c r="R20" s="194">
        <f>Q20*B20</f>
        <v>100000</v>
      </c>
      <c r="S20" s="193">
        <v>1</v>
      </c>
      <c r="T20" s="194">
        <f>B20*S20</f>
        <v>100000</v>
      </c>
      <c r="U20" s="193">
        <v>1</v>
      </c>
      <c r="V20" s="194">
        <f t="shared" si="1"/>
        <v>100000</v>
      </c>
      <c r="W20" s="193">
        <v>1</v>
      </c>
      <c r="X20" s="194">
        <f t="shared" si="2"/>
        <v>100000</v>
      </c>
      <c r="Y20" s="193">
        <v>2</v>
      </c>
      <c r="Z20" s="194">
        <f>$B$20*Y20</f>
        <v>200000</v>
      </c>
      <c r="AA20" s="193">
        <v>3</v>
      </c>
      <c r="AB20" s="19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22" t="str">
        <f>Hipótesis!B39</f>
        <v>Premium</v>
      </c>
      <c r="B21" s="223">
        <f>Hipótesis!C39</f>
        <v>110000</v>
      </c>
      <c r="C21" s="196">
        <f>E21+G21+I21+K21+M21+O21+Q21+S21+U21+W21+Y21+AA21</f>
        <v>14</v>
      </c>
      <c r="D21" s="195">
        <f t="shared" si="4"/>
        <v>1540000</v>
      </c>
      <c r="E21" s="197">
        <v>1</v>
      </c>
      <c r="F21" s="198">
        <f t="shared" si="5"/>
        <v>110000</v>
      </c>
      <c r="G21" s="197">
        <v>1</v>
      </c>
      <c r="H21" s="198">
        <f t="shared" si="6"/>
        <v>110000</v>
      </c>
      <c r="I21" s="197">
        <v>1</v>
      </c>
      <c r="J21" s="198">
        <f t="shared" ref="J21" si="9">F21*I21</f>
        <v>110000</v>
      </c>
      <c r="K21" s="197">
        <v>1</v>
      </c>
      <c r="L21" s="198">
        <f t="shared" ref="L21" si="10">F21*K21</f>
        <v>110000</v>
      </c>
      <c r="M21" s="197">
        <v>1</v>
      </c>
      <c r="N21" s="198">
        <f t="shared" si="7"/>
        <v>110000</v>
      </c>
      <c r="O21" s="197">
        <v>2</v>
      </c>
      <c r="P21" s="198">
        <f t="shared" si="8"/>
        <v>220000</v>
      </c>
      <c r="Q21" s="197">
        <v>1</v>
      </c>
      <c r="R21" s="198">
        <f t="shared" si="0"/>
        <v>110000</v>
      </c>
      <c r="S21" s="197">
        <v>1</v>
      </c>
      <c r="T21" s="198">
        <f t="shared" ref="T21" si="11">N21*S21</f>
        <v>110000</v>
      </c>
      <c r="U21" s="197">
        <v>1</v>
      </c>
      <c r="V21" s="198">
        <f t="shared" si="1"/>
        <v>110000</v>
      </c>
      <c r="W21" s="197">
        <v>1</v>
      </c>
      <c r="X21" s="198">
        <f t="shared" si="2"/>
        <v>110000</v>
      </c>
      <c r="Y21" s="197">
        <v>1</v>
      </c>
      <c r="Z21" s="198">
        <f>B21*Y21</f>
        <v>110000</v>
      </c>
      <c r="AA21" s="197">
        <v>2</v>
      </c>
      <c r="AB21" s="19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77" t="s">
        <v>53</v>
      </c>
      <c r="B22" s="478"/>
      <c r="C22" s="200">
        <f t="shared" ref="C22:AB22" si="12">SUM(C19:C21)</f>
        <v>44</v>
      </c>
      <c r="D22" s="199">
        <f t="shared" si="12"/>
        <v>4430000</v>
      </c>
      <c r="E22" s="200">
        <f t="shared" si="12"/>
        <v>3</v>
      </c>
      <c r="F22" s="199">
        <f t="shared" si="12"/>
        <v>310000</v>
      </c>
      <c r="G22" s="200">
        <f t="shared" si="12"/>
        <v>3</v>
      </c>
      <c r="H22" s="199">
        <f t="shared" si="12"/>
        <v>300000</v>
      </c>
      <c r="I22" s="200">
        <f t="shared" si="12"/>
        <v>3</v>
      </c>
      <c r="J22" s="199">
        <f t="shared" si="12"/>
        <v>300000</v>
      </c>
      <c r="K22" s="200">
        <f t="shared" si="12"/>
        <v>3</v>
      </c>
      <c r="L22" s="199">
        <f t="shared" si="12"/>
        <v>300000</v>
      </c>
      <c r="M22" s="200">
        <f t="shared" si="12"/>
        <v>4</v>
      </c>
      <c r="N22" s="199">
        <f t="shared" si="12"/>
        <v>400000</v>
      </c>
      <c r="O22" s="200">
        <f t="shared" si="12"/>
        <v>6</v>
      </c>
      <c r="P22" s="199">
        <f t="shared" si="12"/>
        <v>610000</v>
      </c>
      <c r="Q22" s="200">
        <f t="shared" si="12"/>
        <v>3</v>
      </c>
      <c r="R22" s="199">
        <f t="shared" si="12"/>
        <v>300000</v>
      </c>
      <c r="S22" s="200">
        <f t="shared" si="12"/>
        <v>3</v>
      </c>
      <c r="T22" s="199">
        <f t="shared" si="12"/>
        <v>300000</v>
      </c>
      <c r="U22" s="200">
        <f t="shared" si="12"/>
        <v>3</v>
      </c>
      <c r="V22" s="199">
        <f t="shared" si="12"/>
        <v>300000</v>
      </c>
      <c r="W22" s="200">
        <f t="shared" si="12"/>
        <v>3</v>
      </c>
      <c r="X22" s="199">
        <f t="shared" si="12"/>
        <v>300000</v>
      </c>
      <c r="Y22" s="200">
        <f t="shared" si="12"/>
        <v>4</v>
      </c>
      <c r="Z22" s="199">
        <f t="shared" si="12"/>
        <v>400000</v>
      </c>
      <c r="AA22" s="200">
        <f t="shared" si="12"/>
        <v>6</v>
      </c>
      <c r="AB22" s="199">
        <f t="shared" si="12"/>
        <v>610000</v>
      </c>
      <c r="AC22" s="2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92" t="s">
        <v>184</v>
      </c>
      <c r="B23" s="493"/>
      <c r="C23" s="494"/>
      <c r="D23" s="201">
        <f t="shared" ref="D23:D25" si="13">SUM(F23+H23+J23+L23+N23+P23+R23+T23+V23+X23+Z23+AB23)</f>
        <v>5940000</v>
      </c>
      <c r="E23" s="202">
        <f>E19</f>
        <v>0</v>
      </c>
      <c r="F23" s="203">
        <f>B19*E23*E19</f>
        <v>0</v>
      </c>
      <c r="G23" s="202">
        <f>G19+E23</f>
        <v>1</v>
      </c>
      <c r="H23" s="203">
        <f>B19*G23*G19</f>
        <v>90000</v>
      </c>
      <c r="I23" s="202">
        <f>I19+G23</f>
        <v>2</v>
      </c>
      <c r="J23" s="203">
        <f>B19*I23*I19</f>
        <v>180000</v>
      </c>
      <c r="K23" s="202">
        <f>K19+I23</f>
        <v>3</v>
      </c>
      <c r="L23" s="203">
        <f>B19*K23*K19</f>
        <v>270000</v>
      </c>
      <c r="M23" s="202">
        <f>K23+M19</f>
        <v>4</v>
      </c>
      <c r="N23" s="204">
        <f>L23+B19*M19</f>
        <v>360000</v>
      </c>
      <c r="O23" s="202">
        <f>M23+O19</f>
        <v>5</v>
      </c>
      <c r="P23" s="204">
        <f>N23+B19*O19</f>
        <v>450000</v>
      </c>
      <c r="Q23" s="202">
        <f>O23+Q19</f>
        <v>6</v>
      </c>
      <c r="R23" s="204">
        <f>P23+B19*Q19</f>
        <v>540000</v>
      </c>
      <c r="S23" s="202">
        <f>Q23+1</f>
        <v>7</v>
      </c>
      <c r="T23" s="204">
        <f>R23+B19*S19</f>
        <v>630000</v>
      </c>
      <c r="U23" s="202">
        <f>S23+1</f>
        <v>8</v>
      </c>
      <c r="V23" s="204">
        <f>T23+B19*U19</f>
        <v>720000</v>
      </c>
      <c r="W23" s="202">
        <f>U23+1</f>
        <v>9</v>
      </c>
      <c r="X23" s="204">
        <f>V23+X19*W19</f>
        <v>810000</v>
      </c>
      <c r="Y23" s="202">
        <f>W23+1</f>
        <v>10</v>
      </c>
      <c r="Z23" s="204">
        <f>X23+B19*Y19</f>
        <v>900000</v>
      </c>
      <c r="AA23" s="202">
        <f>Y23+1</f>
        <v>11</v>
      </c>
      <c r="AB23" s="204">
        <f>Z23+B19*AA19</f>
        <v>990000</v>
      </c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</row>
    <row r="24" spans="1:43" ht="15.75" customHeight="1" thickBot="1" x14ac:dyDescent="0.3">
      <c r="A24" s="495" t="s">
        <v>185</v>
      </c>
      <c r="B24" s="496"/>
      <c r="C24" s="497"/>
      <c r="D24" s="205">
        <f t="shared" si="13"/>
        <v>11800000</v>
      </c>
      <c r="E24" s="206">
        <f>E20</f>
        <v>2</v>
      </c>
      <c r="F24" s="207">
        <f>B20*E24*E20</f>
        <v>400000</v>
      </c>
      <c r="G24" s="206">
        <f>G20+E24</f>
        <v>3</v>
      </c>
      <c r="H24" s="207">
        <f>B20*G24*G20</f>
        <v>300000</v>
      </c>
      <c r="I24" s="206">
        <f>I20+G24</f>
        <v>4</v>
      </c>
      <c r="J24" s="207">
        <f>B20*I24*I20</f>
        <v>400000</v>
      </c>
      <c r="K24" s="206">
        <f>K20+I24</f>
        <v>5</v>
      </c>
      <c r="L24" s="207">
        <f>B20*K24*K20</f>
        <v>500000</v>
      </c>
      <c r="M24" s="206">
        <f>K24+M20</f>
        <v>7</v>
      </c>
      <c r="N24" s="208">
        <f>L24+B20*M20</f>
        <v>700000</v>
      </c>
      <c r="O24" s="206">
        <f>M24+O20</f>
        <v>10</v>
      </c>
      <c r="P24" s="208">
        <f>N24+B20*O20</f>
        <v>1000000</v>
      </c>
      <c r="Q24" s="206">
        <f>O24+Q20</f>
        <v>11</v>
      </c>
      <c r="R24" s="208">
        <f>P24+B20*Q20</f>
        <v>1100000</v>
      </c>
      <c r="S24" s="206">
        <f>Q24+1</f>
        <v>12</v>
      </c>
      <c r="T24" s="208">
        <f>R24+B20*S20</f>
        <v>1200000</v>
      </c>
      <c r="U24" s="206">
        <f>S24+1</f>
        <v>13</v>
      </c>
      <c r="V24" s="208">
        <f>T24+B20*U20</f>
        <v>1300000</v>
      </c>
      <c r="W24" s="206">
        <f>U24+1</f>
        <v>14</v>
      </c>
      <c r="X24" s="208">
        <f>V24+X20*W20</f>
        <v>1400000</v>
      </c>
      <c r="Y24" s="206">
        <f>W24+Y20</f>
        <v>16</v>
      </c>
      <c r="Z24" s="208">
        <f>X24+B20*Y20</f>
        <v>1600000</v>
      </c>
      <c r="AA24" s="206">
        <f>Y24+AA20</f>
        <v>19</v>
      </c>
      <c r="AB24" s="208">
        <f>Z24+B20*AA20</f>
        <v>1900000</v>
      </c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</row>
    <row r="25" spans="1:43" ht="15.75" customHeight="1" thickBot="1" x14ac:dyDescent="0.3">
      <c r="A25" s="498" t="s">
        <v>186</v>
      </c>
      <c r="B25" s="499"/>
      <c r="C25" s="500"/>
      <c r="D25" s="209">
        <f t="shared" si="13"/>
        <v>9460000</v>
      </c>
      <c r="E25" s="210">
        <f>E21</f>
        <v>1</v>
      </c>
      <c r="F25" s="211">
        <f>B21*E25*E21</f>
        <v>110000</v>
      </c>
      <c r="G25" s="210">
        <f>G21+E25</f>
        <v>2</v>
      </c>
      <c r="H25" s="211">
        <f>B21*G25*G21</f>
        <v>220000</v>
      </c>
      <c r="I25" s="210">
        <f>I21+G25</f>
        <v>3</v>
      </c>
      <c r="J25" s="211">
        <f>B21*I25*I21</f>
        <v>330000</v>
      </c>
      <c r="K25" s="210">
        <f>K21+I25</f>
        <v>4</v>
      </c>
      <c r="L25" s="211">
        <f>B21*K25*K21</f>
        <v>440000</v>
      </c>
      <c r="M25" s="210">
        <f>K25+M21</f>
        <v>5</v>
      </c>
      <c r="N25" s="212">
        <f>L25+B21*M21</f>
        <v>550000</v>
      </c>
      <c r="O25" s="210">
        <f>M25+O21</f>
        <v>7</v>
      </c>
      <c r="P25" s="212">
        <f>N25+B21*O21</f>
        <v>770000</v>
      </c>
      <c r="Q25" s="210">
        <f>O25+Q21</f>
        <v>8</v>
      </c>
      <c r="R25" s="212">
        <f>P25+B21*Q21</f>
        <v>880000</v>
      </c>
      <c r="S25" s="210">
        <f>Q25+1</f>
        <v>9</v>
      </c>
      <c r="T25" s="212">
        <f>R25+B21*S21</f>
        <v>990000</v>
      </c>
      <c r="U25" s="210">
        <f>S25+1</f>
        <v>10</v>
      </c>
      <c r="V25" s="212">
        <f>T25+B21*U21</f>
        <v>1100000</v>
      </c>
      <c r="W25" s="210">
        <f>U25+W21</f>
        <v>11</v>
      </c>
      <c r="X25" s="212">
        <f>V25+X21*W21</f>
        <v>1210000</v>
      </c>
      <c r="Y25" s="210">
        <f>W25+Y21</f>
        <v>12</v>
      </c>
      <c r="Z25" s="212">
        <f>X25+B21*Y21</f>
        <v>1320000</v>
      </c>
      <c r="AA25" s="210">
        <f>Y25+AA21</f>
        <v>14</v>
      </c>
      <c r="AB25" s="212">
        <f>Z25+B21*AA21</f>
        <v>1540000</v>
      </c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</row>
    <row r="26" spans="1:43" ht="15.75" customHeight="1" thickBot="1" x14ac:dyDescent="0.3">
      <c r="A26" s="479" t="s">
        <v>156</v>
      </c>
      <c r="B26" s="480"/>
      <c r="C26" s="213">
        <f>C22</f>
        <v>44</v>
      </c>
      <c r="D26" s="214">
        <f>SUM(D23:D25)</f>
        <v>27200000</v>
      </c>
      <c r="E26" s="215">
        <f>E22</f>
        <v>3</v>
      </c>
      <c r="F26" s="216">
        <f>F22</f>
        <v>310000</v>
      </c>
      <c r="G26" s="215">
        <f>E22+G22</f>
        <v>6</v>
      </c>
      <c r="H26" s="216">
        <f>F26+H22</f>
        <v>610000</v>
      </c>
      <c r="I26" s="215">
        <f>E22+G22+I22</f>
        <v>9</v>
      </c>
      <c r="J26" s="216">
        <f>H26+J22</f>
        <v>910000</v>
      </c>
      <c r="K26" s="215">
        <f>SUM(I26,K22)</f>
        <v>12</v>
      </c>
      <c r="L26" s="217">
        <f>J26+L22</f>
        <v>1210000</v>
      </c>
      <c r="M26" s="215">
        <f>K26+M22</f>
        <v>16</v>
      </c>
      <c r="N26" s="213">
        <f t="shared" ref="N26:X26" si="14">SUM(L26,N22)</f>
        <v>1610000</v>
      </c>
      <c r="O26" s="215">
        <f t="shared" si="14"/>
        <v>22</v>
      </c>
      <c r="P26" s="213">
        <f t="shared" si="14"/>
        <v>2220000</v>
      </c>
      <c r="Q26" s="215">
        <f t="shared" si="14"/>
        <v>25</v>
      </c>
      <c r="R26" s="213">
        <f t="shared" si="14"/>
        <v>2520000</v>
      </c>
      <c r="S26" s="215">
        <f t="shared" si="14"/>
        <v>28</v>
      </c>
      <c r="T26" s="213">
        <f t="shared" si="14"/>
        <v>2820000</v>
      </c>
      <c r="U26" s="215">
        <f t="shared" si="14"/>
        <v>31</v>
      </c>
      <c r="V26" s="213">
        <f t="shared" si="14"/>
        <v>3120000</v>
      </c>
      <c r="W26" s="215">
        <f t="shared" si="14"/>
        <v>34</v>
      </c>
      <c r="X26" s="213">
        <f t="shared" si="14"/>
        <v>3420000</v>
      </c>
      <c r="Y26" s="215">
        <f>SUM(Y23:Y25)</f>
        <v>38</v>
      </c>
      <c r="Z26" s="213">
        <f>SUM(X26,Z22)</f>
        <v>3820000</v>
      </c>
      <c r="AA26" s="215">
        <f>SUM(AA23:AA25)</f>
        <v>44</v>
      </c>
      <c r="AB26" s="213">
        <f>SUM(Z26,AB22)</f>
        <v>4430000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4"/>
      <c r="E27" s="1"/>
      <c r="F27" s="1"/>
      <c r="G27" s="1"/>
      <c r="H27" s="1"/>
      <c r="I27" s="25"/>
      <c r="J27" s="25"/>
      <c r="K27" s="25"/>
      <c r="L27" s="25"/>
      <c r="M27" s="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1"/>
      <c r="AB27" s="25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81" t="s">
        <v>180</v>
      </c>
      <c r="B28" s="482"/>
      <c r="C28" s="482"/>
      <c r="D28" s="482"/>
      <c r="E28" s="482"/>
      <c r="F28" s="482"/>
      <c r="G28" s="482"/>
      <c r="H28" s="482"/>
      <c r="I28" s="482"/>
      <c r="J28" s="482"/>
      <c r="K28" s="482"/>
      <c r="L28" s="482"/>
      <c r="M28" s="482"/>
      <c r="N28" s="482"/>
      <c r="O28" s="482"/>
      <c r="P28" s="482"/>
      <c r="Q28" s="482"/>
      <c r="R28" s="482"/>
      <c r="S28" s="482"/>
      <c r="T28" s="482"/>
      <c r="U28" s="482"/>
      <c r="V28" s="482"/>
      <c r="W28" s="482"/>
      <c r="X28" s="482"/>
      <c r="Y28" s="482"/>
      <c r="Z28" s="482"/>
      <c r="AA28" s="482"/>
      <c r="AB28" s="459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ht="184.5" customHeight="1" thickBot="1" x14ac:dyDescent="0.3">
      <c r="A29" s="139" t="s">
        <v>54</v>
      </c>
      <c r="B29" s="483" t="s">
        <v>177</v>
      </c>
      <c r="C29" s="484"/>
      <c r="D29" s="484"/>
      <c r="E29" s="484"/>
      <c r="F29" s="484"/>
      <c r="G29" s="484"/>
      <c r="H29" s="484"/>
      <c r="I29" s="484"/>
      <c r="J29" s="484"/>
      <c r="K29" s="484"/>
      <c r="L29" s="484"/>
      <c r="M29" s="484"/>
      <c r="N29" s="484"/>
      <c r="O29" s="484"/>
      <c r="P29" s="484"/>
      <c r="Q29" s="484"/>
      <c r="R29" s="484"/>
      <c r="S29" s="484"/>
      <c r="T29" s="484"/>
      <c r="U29" s="484"/>
      <c r="V29" s="484"/>
      <c r="W29" s="484"/>
      <c r="X29" s="484"/>
      <c r="Y29" s="484"/>
      <c r="Z29" s="484"/>
      <c r="AA29" s="484"/>
      <c r="AB29" s="485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55" t="s">
        <v>55</v>
      </c>
      <c r="B30" s="452"/>
      <c r="C30" s="458" t="s">
        <v>56</v>
      </c>
      <c r="D30" s="459"/>
      <c r="E30" s="487" t="s">
        <v>218</v>
      </c>
      <c r="F30" s="461"/>
      <c r="G30" s="461"/>
      <c r="H30" s="461"/>
      <c r="I30" s="461"/>
      <c r="J30" s="461"/>
      <c r="K30" s="461"/>
      <c r="L30" s="461"/>
      <c r="M30" s="461"/>
      <c r="N30" s="461"/>
      <c r="O30" s="461"/>
      <c r="P30" s="461"/>
      <c r="Q30" s="461"/>
      <c r="R30" s="461"/>
      <c r="S30" s="461"/>
      <c r="T30" s="461"/>
      <c r="U30" s="461"/>
      <c r="V30" s="461"/>
      <c r="W30" s="461"/>
      <c r="X30" s="461"/>
      <c r="Y30" s="461"/>
      <c r="Z30" s="461"/>
      <c r="AA30" s="461"/>
      <c r="AB30" s="462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56"/>
      <c r="B31" s="457"/>
      <c r="C31" s="140" t="s">
        <v>52</v>
      </c>
      <c r="D31" s="141" t="s">
        <v>55</v>
      </c>
      <c r="E31" s="463" t="s">
        <v>39</v>
      </c>
      <c r="F31" s="459"/>
      <c r="G31" s="463" t="s">
        <v>40</v>
      </c>
      <c r="H31" s="459"/>
      <c r="I31" s="463" t="s">
        <v>41</v>
      </c>
      <c r="J31" s="459"/>
      <c r="K31" s="463" t="s">
        <v>42</v>
      </c>
      <c r="L31" s="459"/>
      <c r="M31" s="463" t="s">
        <v>43</v>
      </c>
      <c r="N31" s="459"/>
      <c r="O31" s="463" t="s">
        <v>44</v>
      </c>
      <c r="P31" s="459"/>
      <c r="Q31" s="463" t="s">
        <v>45</v>
      </c>
      <c r="R31" s="459"/>
      <c r="S31" s="463" t="s">
        <v>46</v>
      </c>
      <c r="T31" s="459"/>
      <c r="U31" s="463" t="s">
        <v>47</v>
      </c>
      <c r="V31" s="459"/>
      <c r="W31" s="463" t="s">
        <v>48</v>
      </c>
      <c r="X31" s="459"/>
      <c r="Y31" s="463" t="s">
        <v>49</v>
      </c>
      <c r="Z31" s="459"/>
      <c r="AA31" s="463" t="s">
        <v>50</v>
      </c>
      <c r="AB31" s="459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51" t="s">
        <v>57</v>
      </c>
      <c r="B32" s="452"/>
      <c r="C32" s="302">
        <f>'Anexo capacidad operativa'!A22</f>
        <v>2</v>
      </c>
      <c r="D32" s="26" t="str">
        <f>'Anexo capacidad operativa'!B22</f>
        <v>Desarrollador</v>
      </c>
      <c r="E32" s="447" t="s">
        <v>58</v>
      </c>
      <c r="F32" s="386"/>
      <c r="G32" s="435" t="s">
        <v>58</v>
      </c>
      <c r="H32" s="386"/>
      <c r="I32" s="435" t="s">
        <v>58</v>
      </c>
      <c r="J32" s="386"/>
      <c r="K32" s="435" t="s">
        <v>58</v>
      </c>
      <c r="L32" s="386"/>
      <c r="M32" s="431" t="s">
        <v>157</v>
      </c>
      <c r="N32" s="432"/>
      <c r="O32" s="428" t="s">
        <v>58</v>
      </c>
      <c r="P32" s="429"/>
      <c r="Q32" s="435" t="s">
        <v>58</v>
      </c>
      <c r="R32" s="386"/>
      <c r="S32" s="435" t="s">
        <v>58</v>
      </c>
      <c r="T32" s="386"/>
      <c r="U32" s="435" t="s">
        <v>58</v>
      </c>
      <c r="V32" s="386"/>
      <c r="W32" s="435" t="s">
        <v>58</v>
      </c>
      <c r="X32" s="386"/>
      <c r="Y32" s="435" t="s">
        <v>58</v>
      </c>
      <c r="Z32" s="386"/>
      <c r="AA32" s="435" t="s">
        <v>58</v>
      </c>
      <c r="AB32" s="436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39"/>
      <c r="B33" s="440"/>
      <c r="C33" s="27">
        <f>'Anexo capacidad operativa'!A23</f>
        <v>1</v>
      </c>
      <c r="D33" s="28" t="str">
        <f>'Anexo capacidad operativa'!B23</f>
        <v>Gerente de servicios</v>
      </c>
      <c r="E33" s="443" t="s">
        <v>58</v>
      </c>
      <c r="F33" s="429"/>
      <c r="G33" s="428" t="s">
        <v>58</v>
      </c>
      <c r="H33" s="429"/>
      <c r="I33" s="428" t="s">
        <v>58</v>
      </c>
      <c r="J33" s="429"/>
      <c r="K33" s="428" t="s">
        <v>58</v>
      </c>
      <c r="L33" s="429"/>
      <c r="M33" s="428" t="s">
        <v>58</v>
      </c>
      <c r="N33" s="429"/>
      <c r="O33" s="428" t="s">
        <v>58</v>
      </c>
      <c r="P33" s="429"/>
      <c r="Q33" s="428" t="s">
        <v>58</v>
      </c>
      <c r="R33" s="429"/>
      <c r="S33" s="428" t="s">
        <v>58</v>
      </c>
      <c r="T33" s="429"/>
      <c r="U33" s="428" t="s">
        <v>58</v>
      </c>
      <c r="V33" s="429"/>
      <c r="W33" s="428" t="s">
        <v>58</v>
      </c>
      <c r="X33" s="429"/>
      <c r="Y33" s="428" t="s">
        <v>58</v>
      </c>
      <c r="Z33" s="429"/>
      <c r="AA33" s="428" t="s">
        <v>58</v>
      </c>
      <c r="AB33" s="430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39"/>
      <c r="B34" s="440"/>
      <c r="C34" s="27">
        <f>'Anexo capacidad operativa'!A24</f>
        <v>1</v>
      </c>
      <c r="D34" s="28" t="str">
        <f>'Anexo capacidad operativa'!B24</f>
        <v>Empleado de tecnologia</v>
      </c>
      <c r="E34" s="443" t="s">
        <v>58</v>
      </c>
      <c r="F34" s="429"/>
      <c r="G34" s="428" t="s">
        <v>58</v>
      </c>
      <c r="H34" s="429"/>
      <c r="I34" s="428" t="s">
        <v>58</v>
      </c>
      <c r="J34" s="429"/>
      <c r="K34" s="428" t="s">
        <v>58</v>
      </c>
      <c r="L34" s="429"/>
      <c r="M34" s="428" t="s">
        <v>58</v>
      </c>
      <c r="N34" s="429"/>
      <c r="O34" s="428" t="s">
        <v>58</v>
      </c>
      <c r="P34" s="429"/>
      <c r="Q34" s="428" t="s">
        <v>58</v>
      </c>
      <c r="R34" s="429"/>
      <c r="S34" s="428" t="s">
        <v>58</v>
      </c>
      <c r="T34" s="429"/>
      <c r="U34" s="428" t="s">
        <v>58</v>
      </c>
      <c r="V34" s="429"/>
      <c r="W34" s="428" t="s">
        <v>58</v>
      </c>
      <c r="X34" s="429"/>
      <c r="Y34" s="428" t="s">
        <v>58</v>
      </c>
      <c r="Z34" s="429"/>
      <c r="AA34" s="428" t="s">
        <v>58</v>
      </c>
      <c r="AB34" s="430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39"/>
      <c r="B35" s="440"/>
      <c r="C35" s="27">
        <f>'Anexo capacidad operativa'!A25</f>
        <v>1</v>
      </c>
      <c r="D35" s="28" t="str">
        <f>'Anexo capacidad operativa'!B25</f>
        <v>Tester</v>
      </c>
      <c r="E35" s="443" t="s">
        <v>58</v>
      </c>
      <c r="F35" s="429"/>
      <c r="G35" s="428" t="s">
        <v>58</v>
      </c>
      <c r="H35" s="429"/>
      <c r="I35" s="428" t="s">
        <v>58</v>
      </c>
      <c r="J35" s="429"/>
      <c r="K35" s="428" t="s">
        <v>58</v>
      </c>
      <c r="L35" s="429"/>
      <c r="M35" s="428" t="s">
        <v>58</v>
      </c>
      <c r="N35" s="429"/>
      <c r="O35" s="428" t="s">
        <v>58</v>
      </c>
      <c r="P35" s="429"/>
      <c r="Q35" s="428" t="s">
        <v>58</v>
      </c>
      <c r="R35" s="429"/>
      <c r="S35" s="428" t="s">
        <v>58</v>
      </c>
      <c r="T35" s="429"/>
      <c r="U35" s="428" t="s">
        <v>58</v>
      </c>
      <c r="V35" s="429"/>
      <c r="W35" s="428" t="s">
        <v>58</v>
      </c>
      <c r="X35" s="429"/>
      <c r="Y35" s="428" t="s">
        <v>58</v>
      </c>
      <c r="Z35" s="429"/>
      <c r="AA35" s="428" t="s">
        <v>58</v>
      </c>
      <c r="AB35" s="430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39"/>
      <c r="B36" s="440"/>
      <c r="C36" s="94">
        <f>'Anexo capacidad operativa'!A26</f>
        <v>2</v>
      </c>
      <c r="D36" s="28" t="str">
        <f>'Anexo capacidad operativa'!B26</f>
        <v>Empleado administrativo de ventas</v>
      </c>
      <c r="E36" s="468" t="s">
        <v>58</v>
      </c>
      <c r="F36" s="446"/>
      <c r="G36" s="445" t="s">
        <v>58</v>
      </c>
      <c r="H36" s="446"/>
      <c r="I36" s="445" t="s">
        <v>58</v>
      </c>
      <c r="J36" s="446"/>
      <c r="K36" s="445" t="s">
        <v>58</v>
      </c>
      <c r="L36" s="446"/>
      <c r="M36" s="445" t="s">
        <v>58</v>
      </c>
      <c r="N36" s="446"/>
      <c r="O36" s="445" t="s">
        <v>58</v>
      </c>
      <c r="P36" s="446"/>
      <c r="Q36" s="431" t="s">
        <v>157</v>
      </c>
      <c r="R36" s="432"/>
      <c r="S36" s="445" t="s">
        <v>58</v>
      </c>
      <c r="T36" s="446"/>
      <c r="U36" s="445" t="s">
        <v>58</v>
      </c>
      <c r="V36" s="446"/>
      <c r="W36" s="445" t="s">
        <v>58</v>
      </c>
      <c r="X36" s="446"/>
      <c r="Y36" s="445" t="s">
        <v>58</v>
      </c>
      <c r="Z36" s="446"/>
      <c r="AA36" s="445" t="s">
        <v>58</v>
      </c>
      <c r="AB36" s="453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37" t="s">
        <v>59</v>
      </c>
      <c r="B37" s="438"/>
      <c r="C37" s="362">
        <v>2</v>
      </c>
      <c r="D37" s="29" t="s">
        <v>60</v>
      </c>
      <c r="E37" s="447" t="s">
        <v>58</v>
      </c>
      <c r="F37" s="386"/>
      <c r="G37" s="435" t="s">
        <v>58</v>
      </c>
      <c r="H37" s="386"/>
      <c r="I37" s="435" t="s">
        <v>58</v>
      </c>
      <c r="J37" s="386"/>
      <c r="K37" s="435" t="s">
        <v>58</v>
      </c>
      <c r="L37" s="386"/>
      <c r="M37" s="435" t="s">
        <v>58</v>
      </c>
      <c r="N37" s="386"/>
      <c r="O37" s="435" t="s">
        <v>58</v>
      </c>
      <c r="P37" s="386"/>
      <c r="Q37" s="431" t="s">
        <v>157</v>
      </c>
      <c r="R37" s="432"/>
      <c r="S37" s="435" t="s">
        <v>58</v>
      </c>
      <c r="T37" s="386"/>
      <c r="U37" s="435" t="s">
        <v>58</v>
      </c>
      <c r="V37" s="386"/>
      <c r="W37" s="435" t="s">
        <v>58</v>
      </c>
      <c r="X37" s="386"/>
      <c r="Y37" s="435" t="s">
        <v>58</v>
      </c>
      <c r="Z37" s="386"/>
      <c r="AA37" s="435" t="s">
        <v>58</v>
      </c>
      <c r="AB37" s="436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39"/>
      <c r="B38" s="440"/>
      <c r="C38" s="363">
        <v>2</v>
      </c>
      <c r="D38" s="30" t="s">
        <v>61</v>
      </c>
      <c r="E38" s="443" t="s">
        <v>58</v>
      </c>
      <c r="F38" s="429"/>
      <c r="G38" s="428" t="s">
        <v>58</v>
      </c>
      <c r="H38" s="429"/>
      <c r="I38" s="428" t="s">
        <v>58</v>
      </c>
      <c r="J38" s="429"/>
      <c r="K38" s="428" t="s">
        <v>58</v>
      </c>
      <c r="L38" s="429"/>
      <c r="M38" s="428" t="s">
        <v>58</v>
      </c>
      <c r="N38" s="429"/>
      <c r="O38" s="428" t="s">
        <v>58</v>
      </c>
      <c r="P38" s="429"/>
      <c r="Q38" s="431" t="s">
        <v>157</v>
      </c>
      <c r="R38" s="432"/>
      <c r="S38" s="428" t="s">
        <v>58</v>
      </c>
      <c r="T38" s="429"/>
      <c r="U38" s="428" t="s">
        <v>58</v>
      </c>
      <c r="V38" s="429"/>
      <c r="W38" s="428" t="s">
        <v>58</v>
      </c>
      <c r="X38" s="429"/>
      <c r="Y38" s="428" t="s">
        <v>58</v>
      </c>
      <c r="Z38" s="429"/>
      <c r="AA38" s="428" t="s">
        <v>58</v>
      </c>
      <c r="AB38" s="430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39"/>
      <c r="B39" s="440"/>
      <c r="C39" s="365">
        <v>1</v>
      </c>
      <c r="D39" s="30" t="s">
        <v>62</v>
      </c>
      <c r="E39" s="443" t="s">
        <v>58</v>
      </c>
      <c r="F39" s="429"/>
      <c r="G39" s="428" t="s">
        <v>58</v>
      </c>
      <c r="H39" s="429"/>
      <c r="I39" s="428" t="s">
        <v>58</v>
      </c>
      <c r="J39" s="429"/>
      <c r="K39" s="428" t="s">
        <v>58</v>
      </c>
      <c r="L39" s="429"/>
      <c r="M39" s="428" t="s">
        <v>58</v>
      </c>
      <c r="N39" s="429"/>
      <c r="O39" s="428" t="s">
        <v>58</v>
      </c>
      <c r="P39" s="429"/>
      <c r="Q39" s="428" t="s">
        <v>58</v>
      </c>
      <c r="R39" s="429"/>
      <c r="S39" s="428" t="s">
        <v>58</v>
      </c>
      <c r="T39" s="429"/>
      <c r="U39" s="428" t="s">
        <v>58</v>
      </c>
      <c r="V39" s="429"/>
      <c r="W39" s="428" t="s">
        <v>58</v>
      </c>
      <c r="X39" s="429"/>
      <c r="Y39" s="428" t="s">
        <v>58</v>
      </c>
      <c r="Z39" s="429"/>
      <c r="AA39" s="428" t="s">
        <v>58</v>
      </c>
      <c r="AB39" s="430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39"/>
      <c r="B40" s="440"/>
      <c r="C40" s="363">
        <v>2</v>
      </c>
      <c r="D40" s="30" t="s">
        <v>63</v>
      </c>
      <c r="E40" s="443" t="s">
        <v>58</v>
      </c>
      <c r="F40" s="429"/>
      <c r="G40" s="428" t="s">
        <v>58</v>
      </c>
      <c r="H40" s="429"/>
      <c r="I40" s="428" t="s">
        <v>58</v>
      </c>
      <c r="J40" s="429"/>
      <c r="K40" s="428" t="s">
        <v>58</v>
      </c>
      <c r="L40" s="429"/>
      <c r="M40" s="428" t="s">
        <v>58</v>
      </c>
      <c r="N40" s="429"/>
      <c r="O40" s="428" t="s">
        <v>58</v>
      </c>
      <c r="P40" s="429"/>
      <c r="Q40" s="431" t="s">
        <v>157</v>
      </c>
      <c r="R40" s="432"/>
      <c r="S40" s="428" t="s">
        <v>58</v>
      </c>
      <c r="T40" s="429"/>
      <c r="U40" s="428" t="s">
        <v>58</v>
      </c>
      <c r="V40" s="429"/>
      <c r="W40" s="428" t="s">
        <v>58</v>
      </c>
      <c r="X40" s="429"/>
      <c r="Y40" s="428" t="s">
        <v>58</v>
      </c>
      <c r="Z40" s="429"/>
      <c r="AA40" s="428" t="s">
        <v>58</v>
      </c>
      <c r="AB40" s="430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39"/>
      <c r="B41" s="440"/>
      <c r="C41" s="363">
        <v>1</v>
      </c>
      <c r="D41" s="30" t="s">
        <v>64</v>
      </c>
      <c r="E41" s="443" t="s">
        <v>58</v>
      </c>
      <c r="F41" s="429"/>
      <c r="G41" s="428" t="s">
        <v>58</v>
      </c>
      <c r="H41" s="429"/>
      <c r="I41" s="428" t="s">
        <v>58</v>
      </c>
      <c r="J41" s="429"/>
      <c r="K41" s="428" t="s">
        <v>58</v>
      </c>
      <c r="L41" s="429"/>
      <c r="M41" s="428" t="s">
        <v>58</v>
      </c>
      <c r="N41" s="429"/>
      <c r="O41" s="428" t="s">
        <v>58</v>
      </c>
      <c r="P41" s="429"/>
      <c r="Q41" s="428" t="s">
        <v>58</v>
      </c>
      <c r="R41" s="429"/>
      <c r="S41" s="428" t="s">
        <v>58</v>
      </c>
      <c r="T41" s="429"/>
      <c r="U41" s="428" t="s">
        <v>58</v>
      </c>
      <c r="V41" s="429"/>
      <c r="W41" s="428" t="s">
        <v>58</v>
      </c>
      <c r="X41" s="429"/>
      <c r="Y41" s="428" t="s">
        <v>58</v>
      </c>
      <c r="Z41" s="429"/>
      <c r="AA41" s="428" t="s">
        <v>58</v>
      </c>
      <c r="AB41" s="430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41"/>
      <c r="B42" s="442"/>
      <c r="C42" s="363">
        <v>2</v>
      </c>
      <c r="D42" s="30" t="s">
        <v>65</v>
      </c>
      <c r="E42" s="443" t="s">
        <v>58</v>
      </c>
      <c r="F42" s="429"/>
      <c r="G42" s="428" t="s">
        <v>58</v>
      </c>
      <c r="H42" s="429"/>
      <c r="I42" s="428" t="s">
        <v>58</v>
      </c>
      <c r="J42" s="429"/>
      <c r="K42" s="428" t="s">
        <v>58</v>
      </c>
      <c r="L42" s="429"/>
      <c r="M42" s="428" t="s">
        <v>58</v>
      </c>
      <c r="N42" s="429"/>
      <c r="O42" s="428" t="s">
        <v>58</v>
      </c>
      <c r="P42" s="429"/>
      <c r="Q42" s="431" t="s">
        <v>157</v>
      </c>
      <c r="R42" s="432"/>
      <c r="S42" s="428" t="s">
        <v>58</v>
      </c>
      <c r="T42" s="429"/>
      <c r="U42" s="428" t="s">
        <v>58</v>
      </c>
      <c r="V42" s="429"/>
      <c r="W42" s="428" t="s">
        <v>58</v>
      </c>
      <c r="X42" s="429"/>
      <c r="Y42" s="428" t="s">
        <v>58</v>
      </c>
      <c r="Z42" s="429"/>
      <c r="AA42" s="428" t="s">
        <v>58</v>
      </c>
      <c r="AB42" s="430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33" t="s">
        <v>66</v>
      </c>
      <c r="B43" s="434"/>
      <c r="C43" s="362">
        <f>SUM(C32:C36)</f>
        <v>7</v>
      </c>
      <c r="D43" s="133" t="s">
        <v>162</v>
      </c>
      <c r="E43" s="443" t="s">
        <v>58</v>
      </c>
      <c r="F43" s="429"/>
      <c r="G43" s="428" t="s">
        <v>58</v>
      </c>
      <c r="H43" s="429"/>
      <c r="I43" s="428" t="s">
        <v>58</v>
      </c>
      <c r="J43" s="429"/>
      <c r="K43" s="428" t="s">
        <v>58</v>
      </c>
      <c r="L43" s="429"/>
      <c r="M43" s="428" t="s">
        <v>58</v>
      </c>
      <c r="N43" s="429"/>
      <c r="O43" s="431" t="s">
        <v>157</v>
      </c>
      <c r="P43" s="432"/>
      <c r="Q43" s="428" t="s">
        <v>58</v>
      </c>
      <c r="R43" s="429"/>
      <c r="S43" s="428" t="s">
        <v>58</v>
      </c>
      <c r="T43" s="429"/>
      <c r="U43" s="428" t="s">
        <v>58</v>
      </c>
      <c r="V43" s="429"/>
      <c r="W43" s="428" t="s">
        <v>58</v>
      </c>
      <c r="X43" s="429"/>
      <c r="Y43" s="428" t="s">
        <v>58</v>
      </c>
      <c r="Z43" s="429"/>
      <c r="AA43" s="428" t="s">
        <v>58</v>
      </c>
      <c r="AB43" s="430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1"/>
      <c r="B44" s="31"/>
      <c r="C44" s="1"/>
      <c r="D44" s="24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33"/>
      <c r="B45" s="33"/>
      <c r="C45" s="34"/>
      <c r="D45" s="35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</row>
    <row r="46" spans="1:43" ht="27" thickBot="1" x14ac:dyDescent="0.45">
      <c r="A46" s="421" t="s">
        <v>68</v>
      </c>
      <c r="B46" s="421"/>
      <c r="C46" s="421"/>
      <c r="D46" s="421"/>
      <c r="E46" s="421"/>
      <c r="F46" s="421"/>
      <c r="G46" s="421"/>
      <c r="H46" s="421"/>
      <c r="I46" s="421"/>
      <c r="J46" s="421"/>
      <c r="K46" s="421"/>
      <c r="L46" s="421"/>
      <c r="M46" s="421"/>
      <c r="N46" s="421"/>
      <c r="O46" s="421"/>
      <c r="P46" s="421"/>
      <c r="Q46" s="421"/>
      <c r="R46" s="421"/>
      <c r="S46" s="421"/>
      <c r="T46" s="421"/>
      <c r="U46" s="421"/>
      <c r="V46" s="421"/>
      <c r="W46" s="421"/>
      <c r="X46" s="421"/>
      <c r="Y46" s="421"/>
      <c r="Z46" s="421"/>
      <c r="AA46" s="421"/>
      <c r="AB46" s="42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50" t="s">
        <v>176</v>
      </c>
      <c r="B47" s="450" t="s">
        <v>33</v>
      </c>
      <c r="C47" s="450" t="s">
        <v>38</v>
      </c>
      <c r="D47" s="418"/>
      <c r="E47" s="448" t="s">
        <v>39</v>
      </c>
      <c r="F47" s="418"/>
      <c r="G47" s="448" t="s">
        <v>40</v>
      </c>
      <c r="H47" s="418"/>
      <c r="I47" s="448" t="s">
        <v>41</v>
      </c>
      <c r="J47" s="418"/>
      <c r="K47" s="448" t="s">
        <v>42</v>
      </c>
      <c r="L47" s="418"/>
      <c r="M47" s="448" t="s">
        <v>43</v>
      </c>
      <c r="N47" s="418"/>
      <c r="O47" s="448" t="s">
        <v>44</v>
      </c>
      <c r="P47" s="418"/>
      <c r="Q47" s="448" t="s">
        <v>45</v>
      </c>
      <c r="R47" s="418"/>
      <c r="S47" s="448" t="s">
        <v>46</v>
      </c>
      <c r="T47" s="418"/>
      <c r="U47" s="448" t="s">
        <v>47</v>
      </c>
      <c r="V47" s="418"/>
      <c r="W47" s="448" t="s">
        <v>48</v>
      </c>
      <c r="X47" s="418"/>
      <c r="Y47" s="448" t="s">
        <v>49</v>
      </c>
      <c r="Z47" s="418"/>
      <c r="AA47" s="448" t="s">
        <v>50</v>
      </c>
      <c r="AB47" s="418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18"/>
      <c r="B48" s="418"/>
      <c r="C48" s="450" t="s">
        <v>52</v>
      </c>
      <c r="D48" s="450" t="s">
        <v>51</v>
      </c>
      <c r="E48" s="454">
        <v>0.05</v>
      </c>
      <c r="F48" s="449"/>
      <c r="G48" s="454">
        <v>0.05</v>
      </c>
      <c r="H48" s="454"/>
      <c r="I48" s="454">
        <v>0.05</v>
      </c>
      <c r="J48" s="449"/>
      <c r="K48" s="454">
        <v>7.0000000000000007E-2</v>
      </c>
      <c r="L48" s="454"/>
      <c r="M48" s="454">
        <v>0.1</v>
      </c>
      <c r="N48" s="449"/>
      <c r="O48" s="454">
        <v>0.15</v>
      </c>
      <c r="P48" s="454"/>
      <c r="Q48" s="454">
        <v>7.0000000000000007E-2</v>
      </c>
      <c r="R48" s="449"/>
      <c r="S48" s="454">
        <v>7.0000000000000007E-2</v>
      </c>
      <c r="T48" s="454"/>
      <c r="U48" s="454">
        <v>7.0000000000000007E-2</v>
      </c>
      <c r="V48" s="449"/>
      <c r="W48" s="454">
        <v>7.0000000000000007E-2</v>
      </c>
      <c r="X48" s="454"/>
      <c r="Y48" s="454">
        <v>0.1</v>
      </c>
      <c r="Z48" s="449"/>
      <c r="AA48" s="454">
        <v>0.15</v>
      </c>
      <c r="AB48" s="454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18"/>
      <c r="B49" s="418"/>
      <c r="C49" s="449"/>
      <c r="D49" s="449"/>
      <c r="E49" s="154" t="s">
        <v>52</v>
      </c>
      <c r="F49" s="154" t="s">
        <v>51</v>
      </c>
      <c r="G49" s="154" t="s">
        <v>52</v>
      </c>
      <c r="H49" s="154" t="s">
        <v>51</v>
      </c>
      <c r="I49" s="154" t="s">
        <v>52</v>
      </c>
      <c r="J49" s="154" t="s">
        <v>51</v>
      </c>
      <c r="K49" s="154" t="s">
        <v>52</v>
      </c>
      <c r="L49" s="154" t="s">
        <v>51</v>
      </c>
      <c r="M49" s="154" t="s">
        <v>52</v>
      </c>
      <c r="N49" s="154" t="s">
        <v>51</v>
      </c>
      <c r="O49" s="154" t="s">
        <v>52</v>
      </c>
      <c r="P49" s="154" t="s">
        <v>51</v>
      </c>
      <c r="Q49" s="154" t="s">
        <v>52</v>
      </c>
      <c r="R49" s="154" t="s">
        <v>51</v>
      </c>
      <c r="S49" s="154" t="s">
        <v>52</v>
      </c>
      <c r="T49" s="154" t="s">
        <v>51</v>
      </c>
      <c r="U49" s="154" t="s">
        <v>52</v>
      </c>
      <c r="V49" s="154" t="s">
        <v>51</v>
      </c>
      <c r="W49" s="154" t="s">
        <v>52</v>
      </c>
      <c r="X49" s="154" t="s">
        <v>51</v>
      </c>
      <c r="Y49" s="154" t="s">
        <v>52</v>
      </c>
      <c r="Z49" s="154" t="s">
        <v>51</v>
      </c>
      <c r="AA49" s="154" t="s">
        <v>52</v>
      </c>
      <c r="AB49" s="15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42" customFormat="1" ht="15.75" customHeight="1" thickBot="1" x14ac:dyDescent="0.3">
      <c r="A50" s="155" t="s">
        <v>174</v>
      </c>
      <c r="B50" s="156">
        <f>B19</f>
        <v>90000</v>
      </c>
      <c r="C50" s="190">
        <f>E50+G50+I50+K50+M50+O50+Q50+S50+U50+W50+Y50+AA50</f>
        <v>11</v>
      </c>
      <c r="D50" s="189">
        <f>B50*C50</f>
        <v>990000</v>
      </c>
      <c r="E50" s="191"/>
      <c r="F50" s="189">
        <f>B50*E50</f>
        <v>0</v>
      </c>
      <c r="G50" s="191">
        <v>1</v>
      </c>
      <c r="H50" s="189">
        <f>B50*G50</f>
        <v>90000</v>
      </c>
      <c r="I50" s="191">
        <v>1</v>
      </c>
      <c r="J50" s="189">
        <f t="shared" ref="J50" si="15">F50*I50</f>
        <v>0</v>
      </c>
      <c r="K50" s="191">
        <v>1</v>
      </c>
      <c r="L50" s="189">
        <f>K50*B50</f>
        <v>90000</v>
      </c>
      <c r="M50" s="191">
        <v>1</v>
      </c>
      <c r="N50" s="189">
        <f>M50*B50</f>
        <v>90000</v>
      </c>
      <c r="O50" s="191">
        <v>1</v>
      </c>
      <c r="P50" s="189">
        <f>O50*B50</f>
        <v>90000</v>
      </c>
      <c r="Q50" s="191">
        <v>1</v>
      </c>
      <c r="R50" s="189">
        <f t="shared" ref="R50" si="16">N50*Q50</f>
        <v>90000</v>
      </c>
      <c r="S50" s="191">
        <v>1</v>
      </c>
      <c r="T50" s="189">
        <f>S50*B50</f>
        <v>90000</v>
      </c>
      <c r="U50" s="191">
        <v>1</v>
      </c>
      <c r="V50" s="189">
        <f t="shared" ref="V50:V52" si="17">R50*U50</f>
        <v>90000</v>
      </c>
      <c r="W50" s="191">
        <v>1</v>
      </c>
      <c r="X50" s="189">
        <f t="shared" ref="X50:X52" si="18">R50*W50</f>
        <v>90000</v>
      </c>
      <c r="Y50" s="191">
        <v>1</v>
      </c>
      <c r="Z50" s="189">
        <f t="shared" ref="Z50:Z52" si="19">V50*Y50</f>
        <v>90000</v>
      </c>
      <c r="AA50" s="191">
        <v>1</v>
      </c>
      <c r="AB50" s="18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46"/>
      <c r="AS50" s="146"/>
      <c r="AT50" s="146"/>
      <c r="AU50" s="146"/>
      <c r="AV50" s="146"/>
      <c r="AW50" s="146"/>
      <c r="AX50" s="146"/>
      <c r="AY50" s="146"/>
      <c r="AZ50" s="146"/>
      <c r="BA50" s="146"/>
      <c r="BB50" s="146"/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/>
      <c r="CB50" s="146"/>
      <c r="CC50" s="146"/>
      <c r="CD50" s="146"/>
      <c r="CE50" s="146"/>
      <c r="CF50" s="146"/>
      <c r="CG50" s="146"/>
      <c r="CH50" s="146"/>
      <c r="CI50" s="146"/>
      <c r="CJ50" s="146"/>
      <c r="CK50" s="146"/>
      <c r="CL50" s="146"/>
      <c r="CM50" s="146"/>
      <c r="CN50" s="146"/>
      <c r="CO50" s="146"/>
      <c r="CP50" s="146"/>
      <c r="CQ50" s="146"/>
      <c r="CR50" s="146"/>
      <c r="CS50" s="146"/>
      <c r="CT50" s="146"/>
      <c r="CU50" s="146"/>
      <c r="CV50" s="146"/>
      <c r="CW50" s="146"/>
      <c r="CX50" s="146"/>
      <c r="CY50" s="146"/>
      <c r="CZ50" s="146"/>
      <c r="DA50" s="146"/>
      <c r="DB50" s="146"/>
      <c r="DC50" s="146"/>
      <c r="DD50" s="146"/>
      <c r="DE50" s="146"/>
      <c r="DF50" s="146"/>
      <c r="DG50" s="146"/>
      <c r="DH50" s="146"/>
      <c r="DI50" s="146"/>
      <c r="DJ50" s="146"/>
      <c r="DK50" s="146"/>
      <c r="DL50" s="146"/>
      <c r="DM50" s="146"/>
      <c r="DN50" s="146"/>
      <c r="DO50" s="146"/>
      <c r="DP50" s="146"/>
      <c r="DQ50" s="146"/>
      <c r="DR50" s="146"/>
      <c r="DS50" s="146"/>
      <c r="DT50" s="146"/>
      <c r="DU50" s="146"/>
      <c r="DV50" s="146"/>
      <c r="DW50" s="146"/>
      <c r="DX50" s="146"/>
      <c r="DY50" s="146"/>
      <c r="DZ50" s="146"/>
      <c r="EA50" s="146"/>
      <c r="EB50" s="146"/>
      <c r="EC50" s="146"/>
      <c r="ED50" s="146"/>
      <c r="EE50" s="146"/>
      <c r="EF50" s="146"/>
      <c r="EG50" s="146"/>
      <c r="EH50" s="146"/>
      <c r="EI50" s="146"/>
      <c r="EJ50" s="146"/>
      <c r="EK50" s="146"/>
      <c r="EL50" s="146"/>
      <c r="EM50" s="146"/>
      <c r="EN50" s="146"/>
      <c r="EO50" s="146"/>
      <c r="EP50" s="146"/>
      <c r="EQ50" s="146"/>
      <c r="ER50" s="146"/>
      <c r="ES50" s="146"/>
      <c r="ET50" s="146"/>
      <c r="EU50" s="146"/>
      <c r="EV50" s="146"/>
      <c r="EW50" s="146"/>
      <c r="EX50" s="146"/>
      <c r="EY50" s="146"/>
      <c r="EZ50" s="146"/>
      <c r="FA50" s="146"/>
      <c r="FB50" s="146"/>
      <c r="FC50" s="146"/>
      <c r="FD50" s="146"/>
      <c r="FE50" s="146"/>
      <c r="FF50" s="146"/>
      <c r="FG50" s="146"/>
      <c r="FH50" s="146"/>
      <c r="FI50" s="146"/>
      <c r="FJ50" s="146"/>
      <c r="FK50" s="146"/>
      <c r="FL50" s="146"/>
      <c r="FM50" s="146"/>
      <c r="FN50" s="146"/>
      <c r="FO50" s="146"/>
      <c r="FP50" s="146"/>
      <c r="FQ50" s="146"/>
      <c r="FR50" s="146"/>
      <c r="FS50" s="146"/>
      <c r="FT50" s="146"/>
      <c r="FU50" s="146"/>
      <c r="FV50" s="146"/>
      <c r="FW50" s="146"/>
      <c r="FX50" s="146"/>
      <c r="FY50" s="146"/>
      <c r="FZ50" s="146"/>
      <c r="GA50" s="146"/>
      <c r="GB50" s="146"/>
      <c r="GC50" s="146"/>
      <c r="GD50" s="146"/>
      <c r="GE50" s="146"/>
      <c r="GF50" s="146"/>
      <c r="GG50" s="146"/>
      <c r="GH50" s="146"/>
      <c r="GI50" s="146"/>
      <c r="GJ50" s="146"/>
      <c r="GK50" s="146"/>
      <c r="GL50" s="146"/>
      <c r="GM50" s="146"/>
      <c r="GN50" s="146"/>
      <c r="GO50" s="146"/>
      <c r="GP50" s="146"/>
      <c r="GQ50" s="146"/>
      <c r="GR50" s="146"/>
      <c r="GS50" s="146"/>
      <c r="GT50" s="146"/>
      <c r="GU50" s="146"/>
      <c r="GV50" s="146"/>
      <c r="GW50" s="146"/>
      <c r="GX50" s="146"/>
      <c r="GY50" s="146"/>
      <c r="GZ50" s="146"/>
      <c r="HA50" s="146"/>
      <c r="HB50" s="146"/>
      <c r="HC50" s="146"/>
      <c r="HD50" s="146"/>
      <c r="HE50" s="146"/>
      <c r="HF50" s="146"/>
      <c r="HG50" s="146"/>
      <c r="HH50" s="146"/>
      <c r="HI50" s="146"/>
      <c r="HJ50" s="146"/>
      <c r="HK50" s="146"/>
      <c r="HL50" s="146"/>
      <c r="HM50" s="146"/>
      <c r="HN50" s="146"/>
      <c r="HO50" s="146"/>
      <c r="HP50" s="146"/>
      <c r="HQ50" s="146"/>
      <c r="HR50" s="146"/>
      <c r="HS50" s="146"/>
      <c r="HT50" s="146"/>
      <c r="HU50" s="146"/>
      <c r="HV50" s="146"/>
      <c r="HW50" s="146"/>
      <c r="HX50" s="146"/>
      <c r="HY50" s="146"/>
      <c r="HZ50" s="146"/>
      <c r="IA50" s="146"/>
      <c r="IB50" s="146"/>
      <c r="IC50" s="146"/>
      <c r="ID50" s="146"/>
      <c r="IE50" s="146"/>
      <c r="IF50" s="146"/>
      <c r="IG50" s="146"/>
      <c r="IH50" s="146"/>
      <c r="II50" s="146"/>
      <c r="IJ50" s="146"/>
      <c r="IK50" s="146"/>
      <c r="IL50" s="146"/>
      <c r="IM50" s="146"/>
      <c r="IN50" s="146"/>
      <c r="IO50" s="146"/>
      <c r="IP50" s="146"/>
      <c r="IQ50" s="146"/>
      <c r="IR50" s="146"/>
      <c r="IS50" s="146"/>
      <c r="IT50" s="146"/>
      <c r="IU50" s="146"/>
      <c r="IV50" s="146"/>
      <c r="IW50" s="146"/>
      <c r="IX50" s="146"/>
      <c r="IY50" s="146"/>
      <c r="IZ50" s="146"/>
      <c r="JA50" s="146"/>
      <c r="JB50" s="146"/>
      <c r="JC50" s="146"/>
      <c r="JD50" s="146"/>
      <c r="JE50" s="146"/>
      <c r="JF50" s="146"/>
      <c r="JG50" s="146"/>
      <c r="JH50" s="146"/>
      <c r="JI50" s="146"/>
      <c r="JJ50" s="146"/>
      <c r="JK50" s="146"/>
      <c r="JL50" s="146"/>
      <c r="JM50" s="146"/>
      <c r="JN50" s="146"/>
      <c r="JO50" s="146"/>
      <c r="JP50" s="146"/>
      <c r="JQ50" s="146"/>
      <c r="JR50" s="146"/>
      <c r="JS50" s="146"/>
      <c r="JT50" s="146"/>
      <c r="JU50" s="146"/>
      <c r="JV50" s="146"/>
      <c r="JW50" s="146"/>
      <c r="JX50" s="146"/>
      <c r="JY50" s="146"/>
      <c r="JZ50" s="146"/>
      <c r="KA50" s="146"/>
      <c r="KB50" s="146"/>
      <c r="KC50" s="146"/>
      <c r="KD50" s="146"/>
      <c r="KE50" s="146"/>
      <c r="KF50" s="146"/>
      <c r="KG50" s="146"/>
    </row>
    <row r="51" spans="1:293" s="143" customFormat="1" ht="15.75" customHeight="1" thickBot="1" x14ac:dyDescent="0.3">
      <c r="A51" s="157" t="s">
        <v>175</v>
      </c>
      <c r="B51" s="158">
        <f>B20</f>
        <v>100000</v>
      </c>
      <c r="C51" s="193">
        <f>E51+G51+I51+K51+M51+O51+Q51+S51+U51+W51+Y51+AA51</f>
        <v>19</v>
      </c>
      <c r="D51" s="192">
        <f>B51*C51</f>
        <v>1900000</v>
      </c>
      <c r="E51" s="193">
        <v>2</v>
      </c>
      <c r="F51" s="194">
        <f>B51*E51</f>
        <v>200000</v>
      </c>
      <c r="G51" s="193">
        <v>1</v>
      </c>
      <c r="H51" s="194">
        <f>B51*G51</f>
        <v>100000</v>
      </c>
      <c r="I51" s="193">
        <v>1</v>
      </c>
      <c r="J51" s="194">
        <f>$B$51*I51</f>
        <v>100000</v>
      </c>
      <c r="K51" s="193">
        <v>1</v>
      </c>
      <c r="L51" s="194">
        <f>K51*$B$51</f>
        <v>100000</v>
      </c>
      <c r="M51" s="193">
        <v>2</v>
      </c>
      <c r="N51" s="194">
        <f>M51*$B$51</f>
        <v>200000</v>
      </c>
      <c r="O51" s="193">
        <v>3</v>
      </c>
      <c r="P51" s="194">
        <f>O51*$B$51</f>
        <v>300000</v>
      </c>
      <c r="Q51" s="193">
        <v>1</v>
      </c>
      <c r="R51" s="194">
        <f>Q51*B51</f>
        <v>100000</v>
      </c>
      <c r="S51" s="193">
        <v>1</v>
      </c>
      <c r="T51" s="194">
        <f>B51*S51</f>
        <v>100000</v>
      </c>
      <c r="U51" s="193">
        <v>1</v>
      </c>
      <c r="V51" s="194">
        <f t="shared" si="17"/>
        <v>100000</v>
      </c>
      <c r="W51" s="193">
        <v>1</v>
      </c>
      <c r="X51" s="194">
        <f t="shared" si="18"/>
        <v>100000</v>
      </c>
      <c r="Y51" s="193">
        <v>2</v>
      </c>
      <c r="Z51" s="194">
        <f t="shared" si="19"/>
        <v>200000</v>
      </c>
      <c r="AA51" s="193">
        <v>3</v>
      </c>
      <c r="AB51" s="19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  <c r="DK51" s="146"/>
      <c r="DL51" s="146"/>
      <c r="DM51" s="146"/>
      <c r="DN51" s="146"/>
      <c r="DO51" s="146"/>
      <c r="DP51" s="146"/>
      <c r="DQ51" s="146"/>
      <c r="DR51" s="146"/>
      <c r="DS51" s="146"/>
      <c r="DT51" s="146"/>
      <c r="DU51" s="146"/>
      <c r="DV51" s="146"/>
      <c r="DW51" s="146"/>
      <c r="DX51" s="146"/>
      <c r="DY51" s="146"/>
      <c r="DZ51" s="146"/>
      <c r="EA51" s="146"/>
      <c r="EB51" s="146"/>
      <c r="EC51" s="146"/>
      <c r="ED51" s="146"/>
      <c r="EE51" s="146"/>
      <c r="EF51" s="146"/>
      <c r="EG51" s="146"/>
      <c r="EH51" s="146"/>
      <c r="EI51" s="146"/>
      <c r="EJ51" s="146"/>
      <c r="EK51" s="146"/>
      <c r="EL51" s="146"/>
      <c r="EM51" s="146"/>
      <c r="EN51" s="146"/>
      <c r="EO51" s="146"/>
      <c r="EP51" s="146"/>
      <c r="EQ51" s="146"/>
      <c r="ER51" s="146"/>
      <c r="ES51" s="146"/>
      <c r="ET51" s="146"/>
      <c r="EU51" s="146"/>
      <c r="EV51" s="146"/>
      <c r="EW51" s="146"/>
      <c r="EX51" s="146"/>
      <c r="EY51" s="146"/>
      <c r="EZ51" s="146"/>
      <c r="FA51" s="146"/>
      <c r="FB51" s="146"/>
      <c r="FC51" s="146"/>
      <c r="FD51" s="146"/>
      <c r="FE51" s="146"/>
      <c r="FF51" s="146"/>
      <c r="FG51" s="146"/>
      <c r="FH51" s="146"/>
      <c r="FI51" s="146"/>
      <c r="FJ51" s="146"/>
      <c r="FK51" s="146"/>
      <c r="FL51" s="146"/>
      <c r="FM51" s="146"/>
      <c r="FN51" s="146"/>
      <c r="FO51" s="146"/>
      <c r="FP51" s="146"/>
      <c r="FQ51" s="146"/>
      <c r="FR51" s="146"/>
      <c r="FS51" s="146"/>
      <c r="FT51" s="146"/>
      <c r="FU51" s="146"/>
      <c r="FV51" s="146"/>
      <c r="FW51" s="146"/>
      <c r="FX51" s="146"/>
      <c r="FY51" s="146"/>
      <c r="FZ51" s="146"/>
      <c r="GA51" s="146"/>
      <c r="GB51" s="146"/>
      <c r="GC51" s="146"/>
      <c r="GD51" s="146"/>
      <c r="GE51" s="146"/>
      <c r="GF51" s="146"/>
      <c r="GG51" s="146"/>
      <c r="GH51" s="146"/>
      <c r="GI51" s="146"/>
      <c r="GJ51" s="146"/>
      <c r="GK51" s="146"/>
      <c r="GL51" s="146"/>
      <c r="GM51" s="146"/>
      <c r="GN51" s="146"/>
      <c r="GO51" s="146"/>
      <c r="GP51" s="146"/>
      <c r="GQ51" s="146"/>
      <c r="GR51" s="146"/>
      <c r="GS51" s="146"/>
      <c r="GT51" s="146"/>
      <c r="GU51" s="146"/>
      <c r="GV51" s="146"/>
      <c r="GW51" s="146"/>
      <c r="GX51" s="146"/>
      <c r="GY51" s="146"/>
      <c r="GZ51" s="146"/>
      <c r="HA51" s="146"/>
      <c r="HB51" s="146"/>
      <c r="HC51" s="146"/>
      <c r="HD51" s="146"/>
      <c r="HE51" s="146"/>
      <c r="HF51" s="146"/>
      <c r="HG51" s="146"/>
      <c r="HH51" s="146"/>
      <c r="HI51" s="146"/>
      <c r="HJ51" s="146"/>
      <c r="HK51" s="146"/>
      <c r="HL51" s="146"/>
      <c r="HM51" s="146"/>
      <c r="HN51" s="146"/>
      <c r="HO51" s="146"/>
      <c r="HP51" s="146"/>
      <c r="HQ51" s="146"/>
      <c r="HR51" s="146"/>
      <c r="HS51" s="146"/>
      <c r="HT51" s="146"/>
      <c r="HU51" s="146"/>
      <c r="HV51" s="146"/>
      <c r="HW51" s="146"/>
      <c r="HX51" s="146"/>
      <c r="HY51" s="146"/>
      <c r="HZ51" s="146"/>
      <c r="IA51" s="146"/>
      <c r="IB51" s="146"/>
      <c r="IC51" s="146"/>
      <c r="ID51" s="146"/>
      <c r="IE51" s="146"/>
      <c r="IF51" s="146"/>
      <c r="IG51" s="146"/>
      <c r="IH51" s="146"/>
      <c r="II51" s="146"/>
      <c r="IJ51" s="146"/>
      <c r="IK51" s="146"/>
      <c r="IL51" s="146"/>
      <c r="IM51" s="146"/>
      <c r="IN51" s="146"/>
      <c r="IO51" s="146"/>
      <c r="IP51" s="146"/>
      <c r="IQ51" s="146"/>
      <c r="IR51" s="146"/>
      <c r="IS51" s="146"/>
      <c r="IT51" s="146"/>
      <c r="IU51" s="146"/>
      <c r="IV51" s="146"/>
      <c r="IW51" s="146"/>
      <c r="IX51" s="146"/>
      <c r="IY51" s="146"/>
      <c r="IZ51" s="146"/>
      <c r="JA51" s="146"/>
      <c r="JB51" s="146"/>
      <c r="JC51" s="146"/>
      <c r="JD51" s="146"/>
      <c r="JE51" s="146"/>
      <c r="JF51" s="146"/>
      <c r="JG51" s="146"/>
      <c r="JH51" s="146"/>
      <c r="JI51" s="146"/>
      <c r="JJ51" s="146"/>
      <c r="JK51" s="146"/>
      <c r="JL51" s="146"/>
      <c r="JM51" s="146"/>
      <c r="JN51" s="146"/>
      <c r="JO51" s="146"/>
      <c r="JP51" s="146"/>
      <c r="JQ51" s="146"/>
      <c r="JR51" s="146"/>
      <c r="JS51" s="146"/>
      <c r="JT51" s="146"/>
      <c r="JU51" s="146"/>
      <c r="JV51" s="146"/>
      <c r="JW51" s="146"/>
      <c r="JX51" s="146"/>
      <c r="JY51" s="146"/>
      <c r="JZ51" s="146"/>
      <c r="KA51" s="146"/>
      <c r="KB51" s="146"/>
      <c r="KC51" s="146"/>
      <c r="KD51" s="146"/>
      <c r="KE51" s="146"/>
      <c r="KF51" s="146"/>
      <c r="KG51" s="146"/>
    </row>
    <row r="52" spans="1:293" s="144" customFormat="1" ht="15.75" customHeight="1" thickBot="1" x14ac:dyDescent="0.3">
      <c r="A52" s="159" t="s">
        <v>35</v>
      </c>
      <c r="B52" s="160">
        <f>B21</f>
        <v>110000</v>
      </c>
      <c r="C52" s="196">
        <f>E52+G52+I52+K52+M52+O52+Q52+S52+U52+W52+Y52+AA52</f>
        <v>14</v>
      </c>
      <c r="D52" s="195">
        <f>B52*C52</f>
        <v>1540000</v>
      </c>
      <c r="E52" s="197">
        <v>1</v>
      </c>
      <c r="F52" s="198">
        <f>B52*E52</f>
        <v>110000</v>
      </c>
      <c r="G52" s="197">
        <v>1</v>
      </c>
      <c r="H52" s="198">
        <f>B52*G52</f>
        <v>110000</v>
      </c>
      <c r="I52" s="197">
        <v>1</v>
      </c>
      <c r="J52" s="198">
        <f>$B$52*I52</f>
        <v>110000</v>
      </c>
      <c r="K52" s="197">
        <v>1</v>
      </c>
      <c r="L52" s="198">
        <f>$B$52*K52</f>
        <v>110000</v>
      </c>
      <c r="M52" s="197">
        <v>1</v>
      </c>
      <c r="N52" s="198">
        <f>$B$52*M52</f>
        <v>110000</v>
      </c>
      <c r="O52" s="197">
        <v>2</v>
      </c>
      <c r="P52" s="198">
        <f>$B$52*O52</f>
        <v>220000</v>
      </c>
      <c r="Q52" s="197">
        <v>1</v>
      </c>
      <c r="R52" s="198">
        <f t="shared" ref="R52" si="21">N52*Q52</f>
        <v>110000</v>
      </c>
      <c r="S52" s="197">
        <v>1</v>
      </c>
      <c r="T52" s="198">
        <f t="shared" ref="T52" si="22">N52*S52</f>
        <v>110000</v>
      </c>
      <c r="U52" s="197">
        <v>1</v>
      </c>
      <c r="V52" s="198">
        <f t="shared" si="17"/>
        <v>110000</v>
      </c>
      <c r="W52" s="197">
        <v>1</v>
      </c>
      <c r="X52" s="198">
        <f t="shared" si="18"/>
        <v>110000</v>
      </c>
      <c r="Y52" s="197">
        <v>1</v>
      </c>
      <c r="Z52" s="198">
        <f t="shared" si="19"/>
        <v>110000</v>
      </c>
      <c r="AA52" s="197">
        <v>2</v>
      </c>
      <c r="AB52" s="19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  <c r="GC52" s="146"/>
      <c r="GD52" s="146"/>
      <c r="GE52" s="146"/>
      <c r="GF52" s="146"/>
      <c r="GG52" s="146"/>
      <c r="GH52" s="146"/>
      <c r="GI52" s="146"/>
      <c r="GJ52" s="146"/>
      <c r="GK52" s="146"/>
      <c r="GL52" s="146"/>
      <c r="GM52" s="146"/>
      <c r="GN52" s="146"/>
      <c r="GO52" s="146"/>
      <c r="GP52" s="146"/>
      <c r="GQ52" s="146"/>
      <c r="GR52" s="146"/>
      <c r="GS52" s="146"/>
      <c r="GT52" s="146"/>
      <c r="GU52" s="146"/>
      <c r="GV52" s="146"/>
      <c r="GW52" s="146"/>
      <c r="GX52" s="146"/>
      <c r="GY52" s="146"/>
      <c r="GZ52" s="146"/>
      <c r="HA52" s="146"/>
      <c r="HB52" s="146"/>
      <c r="HC52" s="146"/>
      <c r="HD52" s="146"/>
      <c r="HE52" s="146"/>
      <c r="HF52" s="146"/>
      <c r="HG52" s="146"/>
      <c r="HH52" s="146"/>
      <c r="HI52" s="146"/>
      <c r="HJ52" s="146"/>
      <c r="HK52" s="146"/>
      <c r="HL52" s="146"/>
      <c r="HM52" s="146"/>
      <c r="HN52" s="146"/>
      <c r="HO52" s="146"/>
      <c r="HP52" s="146"/>
      <c r="HQ52" s="146"/>
      <c r="HR52" s="146"/>
      <c r="HS52" s="146"/>
      <c r="HT52" s="146"/>
      <c r="HU52" s="146"/>
      <c r="HV52" s="146"/>
      <c r="HW52" s="146"/>
      <c r="HX52" s="146"/>
      <c r="HY52" s="146"/>
      <c r="HZ52" s="146"/>
      <c r="IA52" s="146"/>
      <c r="IB52" s="146"/>
      <c r="IC52" s="146"/>
      <c r="ID52" s="146"/>
      <c r="IE52" s="146"/>
      <c r="IF52" s="146"/>
      <c r="IG52" s="146"/>
      <c r="IH52" s="146"/>
      <c r="II52" s="146"/>
      <c r="IJ52" s="146"/>
      <c r="IK52" s="146"/>
      <c r="IL52" s="146"/>
      <c r="IM52" s="146"/>
      <c r="IN52" s="146"/>
      <c r="IO52" s="146"/>
      <c r="IP52" s="146"/>
      <c r="IQ52" s="146"/>
      <c r="IR52" s="146"/>
      <c r="IS52" s="146"/>
      <c r="IT52" s="146"/>
      <c r="IU52" s="146"/>
      <c r="IV52" s="146"/>
      <c r="IW52" s="146"/>
      <c r="IX52" s="146"/>
      <c r="IY52" s="146"/>
      <c r="IZ52" s="146"/>
      <c r="JA52" s="146"/>
      <c r="JB52" s="146"/>
      <c r="JC52" s="146"/>
      <c r="JD52" s="146"/>
      <c r="JE52" s="146"/>
      <c r="JF52" s="146"/>
      <c r="JG52" s="146"/>
      <c r="JH52" s="146"/>
      <c r="JI52" s="146"/>
      <c r="JJ52" s="146"/>
      <c r="JK52" s="146"/>
      <c r="JL52" s="146"/>
      <c r="JM52" s="146"/>
      <c r="JN52" s="146"/>
      <c r="JO52" s="146"/>
      <c r="JP52" s="146"/>
      <c r="JQ52" s="146"/>
      <c r="JR52" s="146"/>
      <c r="JS52" s="146"/>
      <c r="JT52" s="146"/>
      <c r="JU52" s="146"/>
      <c r="JV52" s="146"/>
      <c r="JW52" s="146"/>
      <c r="JX52" s="146"/>
      <c r="JY52" s="146"/>
      <c r="JZ52" s="146"/>
      <c r="KA52" s="146"/>
      <c r="KB52" s="146"/>
      <c r="KC52" s="146"/>
      <c r="KD52" s="146"/>
      <c r="KE52" s="146"/>
      <c r="KF52" s="146"/>
      <c r="KG52" s="146"/>
    </row>
    <row r="53" spans="1:293" ht="15.75" customHeight="1" thickBot="1" x14ac:dyDescent="0.3">
      <c r="A53" s="464" t="s">
        <v>53</v>
      </c>
      <c r="B53" s="465"/>
      <c r="C53" s="224">
        <f t="shared" ref="C53:J53" si="23">SUM(C50:C52)</f>
        <v>44</v>
      </c>
      <c r="D53" s="225">
        <f t="shared" si="23"/>
        <v>4430000</v>
      </c>
      <c r="E53" s="224">
        <f t="shared" si="23"/>
        <v>3</v>
      </c>
      <c r="F53" s="225">
        <f t="shared" si="23"/>
        <v>310000</v>
      </c>
      <c r="G53" s="224">
        <f t="shared" si="23"/>
        <v>3</v>
      </c>
      <c r="H53" s="225">
        <f t="shared" si="23"/>
        <v>300000</v>
      </c>
      <c r="I53" s="224">
        <f t="shared" si="23"/>
        <v>3</v>
      </c>
      <c r="J53" s="225">
        <f t="shared" si="23"/>
        <v>210000</v>
      </c>
      <c r="K53" s="224">
        <f t="shared" ref="K53:Z53" si="24">SUM(K50:K52)</f>
        <v>3</v>
      </c>
      <c r="L53" s="225">
        <f t="shared" si="24"/>
        <v>300000</v>
      </c>
      <c r="M53" s="224">
        <f t="shared" si="24"/>
        <v>4</v>
      </c>
      <c r="N53" s="225">
        <f t="shared" si="24"/>
        <v>400000</v>
      </c>
      <c r="O53" s="224">
        <f t="shared" si="24"/>
        <v>6</v>
      </c>
      <c r="P53" s="225">
        <f t="shared" si="24"/>
        <v>610000</v>
      </c>
      <c r="Q53" s="224">
        <f t="shared" si="24"/>
        <v>3</v>
      </c>
      <c r="R53" s="225">
        <f t="shared" si="24"/>
        <v>300000</v>
      </c>
      <c r="S53" s="224">
        <f t="shared" si="24"/>
        <v>3</v>
      </c>
      <c r="T53" s="225">
        <f t="shared" si="24"/>
        <v>300000</v>
      </c>
      <c r="U53" s="224">
        <f t="shared" si="24"/>
        <v>3</v>
      </c>
      <c r="V53" s="225">
        <f t="shared" si="24"/>
        <v>300000</v>
      </c>
      <c r="W53" s="224">
        <f t="shared" si="24"/>
        <v>3</v>
      </c>
      <c r="X53" s="225">
        <f t="shared" si="24"/>
        <v>300000</v>
      </c>
      <c r="Y53" s="224">
        <f t="shared" si="24"/>
        <v>4</v>
      </c>
      <c r="Z53" s="225">
        <f t="shared" si="24"/>
        <v>400000</v>
      </c>
      <c r="AA53" s="224">
        <f>SUM(AA50:AA52)</f>
        <v>6</v>
      </c>
      <c r="AB53" s="22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  <c r="GC53" s="146"/>
      <c r="GD53" s="146"/>
      <c r="GE53" s="146"/>
      <c r="GF53" s="146"/>
      <c r="GG53" s="146"/>
      <c r="GH53" s="146"/>
      <c r="GI53" s="146"/>
      <c r="GJ53" s="146"/>
      <c r="GK53" s="146"/>
      <c r="GL53" s="146"/>
      <c r="GM53" s="146"/>
      <c r="GN53" s="146"/>
      <c r="GO53" s="146"/>
      <c r="GP53" s="146"/>
      <c r="GQ53" s="146"/>
      <c r="GR53" s="146"/>
      <c r="GS53" s="146"/>
      <c r="GT53" s="146"/>
      <c r="GU53" s="146"/>
      <c r="GV53" s="146"/>
      <c r="GW53" s="146"/>
      <c r="GX53" s="146"/>
      <c r="GY53" s="146"/>
      <c r="GZ53" s="146"/>
      <c r="HA53" s="146"/>
      <c r="HB53" s="146"/>
      <c r="HC53" s="146"/>
      <c r="HD53" s="146"/>
      <c r="HE53" s="146"/>
      <c r="HF53" s="146"/>
      <c r="HG53" s="146"/>
      <c r="HH53" s="146"/>
      <c r="HI53" s="146"/>
      <c r="HJ53" s="146"/>
      <c r="HK53" s="146"/>
      <c r="HL53" s="146"/>
      <c r="HM53" s="146"/>
      <c r="HN53" s="146"/>
      <c r="HO53" s="146"/>
      <c r="HP53" s="146"/>
      <c r="HQ53" s="146"/>
      <c r="HR53" s="146"/>
      <c r="HS53" s="146"/>
      <c r="HT53" s="146"/>
      <c r="HU53" s="146"/>
      <c r="HV53" s="146"/>
      <c r="HW53" s="146"/>
      <c r="HX53" s="146"/>
      <c r="HY53" s="146"/>
      <c r="HZ53" s="146"/>
      <c r="IA53" s="146"/>
      <c r="IB53" s="146"/>
      <c r="IC53" s="146"/>
      <c r="ID53" s="146"/>
      <c r="IE53" s="146"/>
      <c r="IF53" s="146"/>
      <c r="IG53" s="146"/>
      <c r="IH53" s="146"/>
      <c r="II53" s="146"/>
      <c r="IJ53" s="146"/>
      <c r="IK53" s="146"/>
      <c r="IL53" s="146"/>
      <c r="IM53" s="146"/>
      <c r="IN53" s="146"/>
      <c r="IO53" s="146"/>
      <c r="IP53" s="146"/>
      <c r="IQ53" s="146"/>
      <c r="IR53" s="146"/>
      <c r="IS53" s="146"/>
      <c r="IT53" s="146"/>
      <c r="IU53" s="146"/>
      <c r="IV53" s="146"/>
      <c r="IW53" s="146"/>
      <c r="IX53" s="146"/>
      <c r="IY53" s="146"/>
      <c r="IZ53" s="146"/>
      <c r="JA53" s="146"/>
      <c r="JB53" s="146"/>
      <c r="JC53" s="146"/>
      <c r="JD53" s="146"/>
      <c r="JE53" s="146"/>
      <c r="JF53" s="146"/>
      <c r="JG53" s="146"/>
      <c r="JH53" s="146"/>
      <c r="JI53" s="146"/>
      <c r="JJ53" s="146"/>
      <c r="JK53" s="146"/>
      <c r="JL53" s="146"/>
      <c r="JM53" s="146"/>
      <c r="JN53" s="146"/>
      <c r="JO53" s="146"/>
      <c r="JP53" s="146"/>
      <c r="JQ53" s="146"/>
      <c r="JR53" s="146"/>
      <c r="JS53" s="146"/>
      <c r="JT53" s="146"/>
      <c r="JU53" s="146"/>
      <c r="JV53" s="146"/>
      <c r="JW53" s="146"/>
      <c r="JX53" s="146"/>
      <c r="JY53" s="146"/>
      <c r="JZ53" s="146"/>
      <c r="KA53" s="146"/>
      <c r="KB53" s="146"/>
      <c r="KC53" s="146"/>
      <c r="KD53" s="146"/>
      <c r="KE53" s="146"/>
      <c r="KF53" s="146"/>
      <c r="KG53" s="146"/>
    </row>
    <row r="54" spans="1:293" ht="15.75" customHeight="1" thickBot="1" x14ac:dyDescent="0.3">
      <c r="A54" s="505" t="s">
        <v>184</v>
      </c>
      <c r="B54" s="506"/>
      <c r="C54" s="507"/>
      <c r="D54" s="201">
        <f>SUM(F54+H54+J54+L54+N54+P54+R54+T54+V54+X54+Z54+AB54)</f>
        <v>15120000</v>
      </c>
      <c r="E54" s="202">
        <f>E50+AA23</f>
        <v>11</v>
      </c>
      <c r="F54" s="203">
        <f>(E54+E50)*B50</f>
        <v>990000</v>
      </c>
      <c r="G54" s="202">
        <f>G50+E54</f>
        <v>12</v>
      </c>
      <c r="H54" s="203">
        <f>(E54+E50)*B50</f>
        <v>990000</v>
      </c>
      <c r="I54" s="202">
        <f>I50+G54</f>
        <v>13</v>
      </c>
      <c r="J54" s="203">
        <f>(E54+E50)*B50</f>
        <v>990000</v>
      </c>
      <c r="K54" s="202">
        <f>K50+I54</f>
        <v>14</v>
      </c>
      <c r="L54" s="203">
        <f>(E54+E50)*B50</f>
        <v>990000</v>
      </c>
      <c r="M54" s="202">
        <f>K54+M50</f>
        <v>15</v>
      </c>
      <c r="N54" s="204">
        <f>L54+B50*M50</f>
        <v>1080000</v>
      </c>
      <c r="O54" s="202">
        <f>M54+O50</f>
        <v>16</v>
      </c>
      <c r="P54" s="204">
        <f>N54+B50*O50</f>
        <v>1170000</v>
      </c>
      <c r="Q54" s="202">
        <f>O54+Q50</f>
        <v>17</v>
      </c>
      <c r="R54" s="204">
        <f>P54+B50*Q50</f>
        <v>1260000</v>
      </c>
      <c r="S54" s="202">
        <f>Q54+1</f>
        <v>18</v>
      </c>
      <c r="T54" s="204">
        <f>R54+B50*S50</f>
        <v>1350000</v>
      </c>
      <c r="U54" s="202">
        <f>S54+1</f>
        <v>19</v>
      </c>
      <c r="V54" s="204">
        <f>T54+B50*U50</f>
        <v>1440000</v>
      </c>
      <c r="W54" s="202">
        <f>U54+1</f>
        <v>20</v>
      </c>
      <c r="X54" s="204">
        <f>V54+X50*W50</f>
        <v>1530000</v>
      </c>
      <c r="Y54" s="202">
        <f>W54+1</f>
        <v>21</v>
      </c>
      <c r="Z54" s="204">
        <f>X54+B50*Y50</f>
        <v>1620000</v>
      </c>
      <c r="AA54" s="202">
        <f>Y54+1</f>
        <v>22</v>
      </c>
      <c r="AB54" s="204">
        <f>Z54+B50*AA50</f>
        <v>1710000</v>
      </c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146"/>
      <c r="AS54" s="146"/>
      <c r="AT54" s="146"/>
      <c r="AU54" s="146"/>
      <c r="AV54" s="146"/>
      <c r="AW54" s="146"/>
      <c r="AX54" s="146"/>
      <c r="AY54" s="146"/>
      <c r="AZ54" s="146"/>
      <c r="BA54" s="146"/>
      <c r="BB54" s="146"/>
      <c r="BC54" s="146"/>
      <c r="BD54" s="146"/>
      <c r="BE54" s="146"/>
      <c r="BF54" s="146"/>
      <c r="BG54" s="146"/>
      <c r="BH54" s="146"/>
      <c r="BI54" s="146"/>
      <c r="BJ54" s="146"/>
      <c r="BK54" s="146"/>
      <c r="BL54" s="146"/>
      <c r="BM54" s="146"/>
      <c r="BN54" s="146"/>
      <c r="BO54" s="146"/>
      <c r="BP54" s="146"/>
      <c r="BQ54" s="146"/>
      <c r="BR54" s="146"/>
      <c r="BS54" s="146"/>
      <c r="BT54" s="146"/>
      <c r="BU54" s="146"/>
      <c r="BV54" s="146"/>
      <c r="BW54" s="146"/>
      <c r="BX54" s="146"/>
      <c r="BY54" s="146"/>
      <c r="BZ54" s="146"/>
      <c r="CA54" s="146"/>
      <c r="CB54" s="146"/>
      <c r="CC54" s="146"/>
      <c r="CD54" s="146"/>
      <c r="CE54" s="146"/>
      <c r="CF54" s="146"/>
      <c r="CG54" s="146"/>
      <c r="CH54" s="146"/>
      <c r="CI54" s="146"/>
      <c r="CJ54" s="146"/>
      <c r="CK54" s="146"/>
      <c r="CL54" s="146"/>
      <c r="CM54" s="146"/>
      <c r="CN54" s="146"/>
      <c r="CO54" s="146"/>
      <c r="CP54" s="146"/>
      <c r="CQ54" s="146"/>
      <c r="CR54" s="146"/>
      <c r="CS54" s="146"/>
      <c r="CT54" s="146"/>
      <c r="CU54" s="146"/>
      <c r="CV54" s="146"/>
      <c r="CW54" s="146"/>
      <c r="CX54" s="146"/>
      <c r="CY54" s="146"/>
      <c r="CZ54" s="146"/>
      <c r="DA54" s="146"/>
      <c r="DB54" s="146"/>
      <c r="DC54" s="146"/>
      <c r="DD54" s="146"/>
      <c r="DE54" s="146"/>
      <c r="DF54" s="146"/>
      <c r="DG54" s="146"/>
      <c r="DH54" s="146"/>
      <c r="DI54" s="146"/>
      <c r="DJ54" s="146"/>
      <c r="DK54" s="146"/>
      <c r="DL54" s="146"/>
      <c r="DM54" s="146"/>
      <c r="DN54" s="146"/>
      <c r="DO54" s="146"/>
      <c r="DP54" s="146"/>
      <c r="DQ54" s="146"/>
      <c r="DR54" s="146"/>
      <c r="DS54" s="146"/>
      <c r="DT54" s="146"/>
      <c r="DU54" s="146"/>
      <c r="DV54" s="146"/>
      <c r="DW54" s="146"/>
      <c r="DX54" s="146"/>
      <c r="DY54" s="146"/>
      <c r="DZ54" s="146"/>
      <c r="EA54" s="146"/>
      <c r="EB54" s="146"/>
      <c r="EC54" s="146"/>
      <c r="ED54" s="146"/>
      <c r="EE54" s="146"/>
      <c r="EF54" s="146"/>
      <c r="EG54" s="146"/>
      <c r="EH54" s="146"/>
      <c r="EI54" s="146"/>
      <c r="EJ54" s="146"/>
      <c r="EK54" s="146"/>
      <c r="EL54" s="146"/>
      <c r="EM54" s="146"/>
      <c r="EN54" s="146"/>
      <c r="EO54" s="146"/>
      <c r="EP54" s="146"/>
      <c r="EQ54" s="146"/>
      <c r="ER54" s="146"/>
      <c r="ES54" s="146"/>
      <c r="ET54" s="146"/>
      <c r="EU54" s="146"/>
      <c r="EV54" s="146"/>
      <c r="EW54" s="146"/>
      <c r="EX54" s="146"/>
      <c r="EY54" s="146"/>
      <c r="EZ54" s="146"/>
      <c r="FA54" s="146"/>
      <c r="FB54" s="146"/>
      <c r="FC54" s="146"/>
      <c r="FD54" s="146"/>
      <c r="FE54" s="146"/>
      <c r="FF54" s="146"/>
      <c r="FG54" s="146"/>
      <c r="FH54" s="146"/>
      <c r="FI54" s="146"/>
      <c r="FJ54" s="146"/>
      <c r="FK54" s="146"/>
      <c r="FL54" s="146"/>
      <c r="FM54" s="146"/>
      <c r="FN54" s="146"/>
      <c r="FO54" s="146"/>
      <c r="FP54" s="146"/>
      <c r="FQ54" s="146"/>
      <c r="FR54" s="146"/>
      <c r="FS54" s="146"/>
      <c r="FT54" s="146"/>
      <c r="FU54" s="146"/>
      <c r="FV54" s="146"/>
      <c r="FW54" s="146"/>
      <c r="FX54" s="146"/>
      <c r="FY54" s="146"/>
      <c r="FZ54" s="146"/>
      <c r="GA54" s="146"/>
      <c r="GB54" s="146"/>
      <c r="GC54" s="146"/>
      <c r="GD54" s="146"/>
      <c r="GE54" s="146"/>
      <c r="GF54" s="146"/>
      <c r="GG54" s="146"/>
      <c r="GH54" s="146"/>
      <c r="GI54" s="146"/>
      <c r="GJ54" s="146"/>
      <c r="GK54" s="146"/>
      <c r="GL54" s="146"/>
      <c r="GM54" s="146"/>
      <c r="GN54" s="146"/>
      <c r="GO54" s="146"/>
      <c r="GP54" s="146"/>
      <c r="GQ54" s="146"/>
      <c r="GR54" s="146"/>
      <c r="GS54" s="146"/>
      <c r="GT54" s="146"/>
      <c r="GU54" s="146"/>
      <c r="GV54" s="146"/>
      <c r="GW54" s="146"/>
      <c r="GX54" s="146"/>
      <c r="GY54" s="146"/>
      <c r="GZ54" s="146"/>
      <c r="HA54" s="146"/>
      <c r="HB54" s="146"/>
      <c r="HC54" s="146"/>
      <c r="HD54" s="146"/>
      <c r="HE54" s="146"/>
      <c r="HF54" s="146"/>
      <c r="HG54" s="146"/>
      <c r="HH54" s="146"/>
      <c r="HI54" s="146"/>
      <c r="HJ54" s="146"/>
      <c r="HK54" s="146"/>
      <c r="HL54" s="146"/>
      <c r="HM54" s="146"/>
      <c r="HN54" s="146"/>
      <c r="HO54" s="146"/>
      <c r="HP54" s="146"/>
      <c r="HQ54" s="146"/>
      <c r="HR54" s="146"/>
      <c r="HS54" s="146"/>
      <c r="HT54" s="146"/>
      <c r="HU54" s="146"/>
      <c r="HV54" s="146"/>
      <c r="HW54" s="146"/>
      <c r="HX54" s="146"/>
      <c r="HY54" s="146"/>
      <c r="HZ54" s="146"/>
      <c r="IA54" s="146"/>
      <c r="IB54" s="146"/>
      <c r="IC54" s="146"/>
      <c r="ID54" s="146"/>
      <c r="IE54" s="146"/>
      <c r="IF54" s="146"/>
      <c r="IG54" s="146"/>
      <c r="IH54" s="146"/>
      <c r="II54" s="146"/>
      <c r="IJ54" s="146"/>
      <c r="IK54" s="146"/>
      <c r="IL54" s="146"/>
      <c r="IM54" s="146"/>
      <c r="IN54" s="146"/>
      <c r="IO54" s="146"/>
      <c r="IP54" s="146"/>
      <c r="IQ54" s="146"/>
      <c r="IR54" s="146"/>
      <c r="IS54" s="146"/>
      <c r="IT54" s="146"/>
      <c r="IU54" s="146"/>
      <c r="IV54" s="146"/>
      <c r="IW54" s="146"/>
      <c r="IX54" s="146"/>
      <c r="IY54" s="146"/>
      <c r="IZ54" s="146"/>
      <c r="JA54" s="146"/>
      <c r="JB54" s="146"/>
      <c r="JC54" s="146"/>
      <c r="JD54" s="146"/>
      <c r="JE54" s="146"/>
      <c r="JF54" s="146"/>
      <c r="JG54" s="146"/>
      <c r="JH54" s="146"/>
      <c r="JI54" s="146"/>
      <c r="JJ54" s="146"/>
      <c r="JK54" s="146"/>
      <c r="JL54" s="146"/>
      <c r="JM54" s="146"/>
      <c r="JN54" s="146"/>
      <c r="JO54" s="146"/>
      <c r="JP54" s="146"/>
      <c r="JQ54" s="146"/>
      <c r="JR54" s="146"/>
      <c r="JS54" s="146"/>
      <c r="JT54" s="146"/>
      <c r="JU54" s="146"/>
      <c r="JV54" s="146"/>
      <c r="JW54" s="146"/>
      <c r="JX54" s="146"/>
      <c r="JY54" s="146"/>
      <c r="JZ54" s="146"/>
      <c r="KA54" s="146"/>
      <c r="KB54" s="146"/>
      <c r="KC54" s="146"/>
      <c r="KD54" s="146"/>
      <c r="KE54" s="146"/>
      <c r="KF54" s="146"/>
      <c r="KG54" s="146"/>
    </row>
    <row r="55" spans="1:293" ht="15.75" customHeight="1" thickBot="1" x14ac:dyDescent="0.3">
      <c r="A55" s="508" t="s">
        <v>185</v>
      </c>
      <c r="B55" s="509"/>
      <c r="C55" s="510"/>
      <c r="D55" s="205">
        <f>SUM(F55+H55+J55+L55+N55+P55+R55+T55+V55+X55+Z55+AB55)</f>
        <v>34400000</v>
      </c>
      <c r="E55" s="206">
        <f>E51+AA24</f>
        <v>21</v>
      </c>
      <c r="F55" s="207">
        <f>$B$51*(E55)</f>
        <v>2100000</v>
      </c>
      <c r="G55" s="206">
        <f>G51+E55</f>
        <v>22</v>
      </c>
      <c r="H55" s="207">
        <f>$B$51*(G55)</f>
        <v>2200000</v>
      </c>
      <c r="I55" s="206">
        <f>I51+G55</f>
        <v>23</v>
      </c>
      <c r="J55" s="207">
        <f>$B$51*(I55)</f>
        <v>2300000</v>
      </c>
      <c r="K55" s="206">
        <f>K51+I55</f>
        <v>24</v>
      </c>
      <c r="L55" s="207">
        <f>$B$51*(K55)</f>
        <v>2400000</v>
      </c>
      <c r="M55" s="206">
        <f>K55+M51</f>
        <v>26</v>
      </c>
      <c r="N55" s="208">
        <f>L55+B51*M51</f>
        <v>2600000</v>
      </c>
      <c r="O55" s="206">
        <f>M55+O51</f>
        <v>29</v>
      </c>
      <c r="P55" s="208">
        <f>N55+B51*O51</f>
        <v>2900000</v>
      </c>
      <c r="Q55" s="206">
        <f>O55+Q51</f>
        <v>30</v>
      </c>
      <c r="R55" s="208">
        <f>P55+B51*Q51</f>
        <v>3000000</v>
      </c>
      <c r="S55" s="206">
        <f>Q55+1</f>
        <v>31</v>
      </c>
      <c r="T55" s="208">
        <f>R55+B51*S51</f>
        <v>3100000</v>
      </c>
      <c r="U55" s="206">
        <f>S55+1</f>
        <v>32</v>
      </c>
      <c r="V55" s="208">
        <f>T55+B51*U51</f>
        <v>3200000</v>
      </c>
      <c r="W55" s="206">
        <f>U55+1</f>
        <v>33</v>
      </c>
      <c r="X55" s="208">
        <f>V55+X51*W51</f>
        <v>3300000</v>
      </c>
      <c r="Y55" s="206">
        <f>W55+Y51</f>
        <v>35</v>
      </c>
      <c r="Z55" s="208">
        <f>X55+B51*Y51</f>
        <v>3500000</v>
      </c>
      <c r="AA55" s="206">
        <f>Y55+AA51</f>
        <v>38</v>
      </c>
      <c r="AB55" s="208">
        <f>Z55+B51*AA51</f>
        <v>3800000</v>
      </c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146"/>
      <c r="AS55" s="146"/>
      <c r="AT55" s="146"/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  <c r="CJ55" s="146"/>
      <c r="CK55" s="146"/>
      <c r="CL55" s="146"/>
      <c r="CM55" s="146"/>
      <c r="CN55" s="146"/>
      <c r="CO55" s="146"/>
      <c r="CP55" s="146"/>
      <c r="CQ55" s="146"/>
      <c r="CR55" s="146"/>
      <c r="CS55" s="146"/>
      <c r="CT55" s="146"/>
      <c r="CU55" s="146"/>
      <c r="CV55" s="146"/>
      <c r="CW55" s="146"/>
      <c r="CX55" s="146"/>
      <c r="CY55" s="146"/>
      <c r="CZ55" s="146"/>
      <c r="DA55" s="146"/>
      <c r="DB55" s="146"/>
      <c r="DC55" s="146"/>
      <c r="DD55" s="146"/>
      <c r="DE55" s="146"/>
      <c r="DF55" s="146"/>
      <c r="DG55" s="146"/>
      <c r="DH55" s="146"/>
      <c r="DI55" s="146"/>
      <c r="DJ55" s="146"/>
      <c r="DK55" s="146"/>
      <c r="DL55" s="146"/>
      <c r="DM55" s="146"/>
      <c r="DN55" s="146"/>
      <c r="DO55" s="146"/>
      <c r="DP55" s="146"/>
      <c r="DQ55" s="146"/>
      <c r="DR55" s="146"/>
      <c r="DS55" s="146"/>
      <c r="DT55" s="146"/>
      <c r="DU55" s="146"/>
      <c r="DV55" s="146"/>
      <c r="DW55" s="146"/>
      <c r="DX55" s="146"/>
      <c r="DY55" s="146"/>
      <c r="DZ55" s="146"/>
      <c r="EA55" s="146"/>
      <c r="EB55" s="146"/>
      <c r="EC55" s="146"/>
      <c r="ED55" s="146"/>
      <c r="EE55" s="146"/>
      <c r="EF55" s="146"/>
      <c r="EG55" s="146"/>
      <c r="EH55" s="146"/>
      <c r="EI55" s="146"/>
      <c r="EJ55" s="146"/>
      <c r="EK55" s="146"/>
      <c r="EL55" s="146"/>
      <c r="EM55" s="146"/>
      <c r="EN55" s="146"/>
      <c r="EO55" s="146"/>
      <c r="EP55" s="146"/>
      <c r="EQ55" s="146"/>
      <c r="ER55" s="146"/>
      <c r="ES55" s="146"/>
      <c r="ET55" s="146"/>
      <c r="EU55" s="146"/>
      <c r="EV55" s="146"/>
      <c r="EW55" s="146"/>
      <c r="EX55" s="146"/>
      <c r="EY55" s="146"/>
      <c r="EZ55" s="146"/>
      <c r="FA55" s="146"/>
      <c r="FB55" s="146"/>
      <c r="FC55" s="146"/>
      <c r="FD55" s="146"/>
      <c r="FE55" s="146"/>
      <c r="FF55" s="146"/>
      <c r="FG55" s="146"/>
      <c r="FH55" s="146"/>
      <c r="FI55" s="146"/>
      <c r="FJ55" s="146"/>
      <c r="FK55" s="146"/>
      <c r="FL55" s="146"/>
      <c r="FM55" s="146"/>
      <c r="FN55" s="146"/>
      <c r="FO55" s="146"/>
      <c r="FP55" s="146"/>
      <c r="FQ55" s="146"/>
      <c r="FR55" s="146"/>
      <c r="FS55" s="146"/>
      <c r="FT55" s="146"/>
      <c r="FU55" s="146"/>
      <c r="FV55" s="146"/>
      <c r="FW55" s="146"/>
      <c r="FX55" s="146"/>
      <c r="FY55" s="146"/>
      <c r="FZ55" s="146"/>
      <c r="GA55" s="146"/>
      <c r="GB55" s="146"/>
      <c r="GC55" s="146"/>
      <c r="GD55" s="146"/>
      <c r="GE55" s="146"/>
      <c r="GF55" s="146"/>
      <c r="GG55" s="146"/>
      <c r="GH55" s="146"/>
      <c r="GI55" s="146"/>
      <c r="GJ55" s="146"/>
      <c r="GK55" s="146"/>
      <c r="GL55" s="146"/>
      <c r="GM55" s="146"/>
      <c r="GN55" s="146"/>
      <c r="GO55" s="146"/>
      <c r="GP55" s="146"/>
      <c r="GQ55" s="146"/>
      <c r="GR55" s="146"/>
      <c r="GS55" s="146"/>
      <c r="GT55" s="146"/>
      <c r="GU55" s="146"/>
      <c r="GV55" s="146"/>
      <c r="GW55" s="146"/>
      <c r="GX55" s="146"/>
      <c r="GY55" s="146"/>
      <c r="GZ55" s="146"/>
      <c r="HA55" s="146"/>
      <c r="HB55" s="146"/>
      <c r="HC55" s="146"/>
      <c r="HD55" s="146"/>
      <c r="HE55" s="146"/>
      <c r="HF55" s="146"/>
      <c r="HG55" s="146"/>
      <c r="HH55" s="146"/>
      <c r="HI55" s="146"/>
      <c r="HJ55" s="146"/>
      <c r="HK55" s="146"/>
      <c r="HL55" s="146"/>
      <c r="HM55" s="146"/>
      <c r="HN55" s="146"/>
      <c r="HO55" s="146"/>
      <c r="HP55" s="146"/>
      <c r="HQ55" s="146"/>
      <c r="HR55" s="146"/>
      <c r="HS55" s="146"/>
      <c r="HT55" s="146"/>
      <c r="HU55" s="146"/>
      <c r="HV55" s="146"/>
      <c r="HW55" s="146"/>
      <c r="HX55" s="146"/>
      <c r="HY55" s="146"/>
      <c r="HZ55" s="146"/>
      <c r="IA55" s="146"/>
      <c r="IB55" s="146"/>
      <c r="IC55" s="146"/>
      <c r="ID55" s="146"/>
      <c r="IE55" s="146"/>
      <c r="IF55" s="146"/>
      <c r="IG55" s="146"/>
      <c r="IH55" s="146"/>
      <c r="II55" s="146"/>
      <c r="IJ55" s="146"/>
      <c r="IK55" s="146"/>
      <c r="IL55" s="146"/>
      <c r="IM55" s="146"/>
      <c r="IN55" s="146"/>
      <c r="IO55" s="146"/>
      <c r="IP55" s="146"/>
      <c r="IQ55" s="146"/>
      <c r="IR55" s="146"/>
      <c r="IS55" s="146"/>
      <c r="IT55" s="146"/>
      <c r="IU55" s="146"/>
      <c r="IV55" s="146"/>
      <c r="IW55" s="146"/>
      <c r="IX55" s="146"/>
      <c r="IY55" s="146"/>
      <c r="IZ55" s="146"/>
      <c r="JA55" s="146"/>
      <c r="JB55" s="146"/>
      <c r="JC55" s="146"/>
      <c r="JD55" s="146"/>
      <c r="JE55" s="146"/>
      <c r="JF55" s="146"/>
      <c r="JG55" s="146"/>
      <c r="JH55" s="146"/>
      <c r="JI55" s="146"/>
      <c r="JJ55" s="146"/>
      <c r="JK55" s="146"/>
      <c r="JL55" s="146"/>
      <c r="JM55" s="146"/>
      <c r="JN55" s="146"/>
      <c r="JO55" s="146"/>
      <c r="JP55" s="146"/>
      <c r="JQ55" s="146"/>
      <c r="JR55" s="146"/>
      <c r="JS55" s="146"/>
      <c r="JT55" s="146"/>
      <c r="JU55" s="146"/>
      <c r="JV55" s="146"/>
      <c r="JW55" s="146"/>
      <c r="JX55" s="146"/>
      <c r="JY55" s="146"/>
      <c r="JZ55" s="146"/>
      <c r="KA55" s="146"/>
      <c r="KB55" s="146"/>
      <c r="KC55" s="146"/>
      <c r="KD55" s="146"/>
      <c r="KE55" s="146"/>
      <c r="KF55" s="146"/>
      <c r="KG55" s="146"/>
    </row>
    <row r="56" spans="1:293" ht="15.75" customHeight="1" thickBot="1" x14ac:dyDescent="0.3">
      <c r="A56" s="511" t="s">
        <v>186</v>
      </c>
      <c r="B56" s="512"/>
      <c r="C56" s="513"/>
      <c r="D56" s="209">
        <f>SUM(F56+H56+J56+L56+N56+P56+R56+T56+V56+X56+Z56+AB56)</f>
        <v>27940000</v>
      </c>
      <c r="E56" s="210">
        <f>E52+AA25</f>
        <v>15</v>
      </c>
      <c r="F56" s="211">
        <f>B52*E56*E52</f>
        <v>1650000</v>
      </c>
      <c r="G56" s="210">
        <f>G52+E56</f>
        <v>16</v>
      </c>
      <c r="H56" s="211">
        <f>B52*G56*G52</f>
        <v>1760000</v>
      </c>
      <c r="I56" s="210">
        <f>I52+G56</f>
        <v>17</v>
      </c>
      <c r="J56" s="211">
        <f>B52*I56*I52</f>
        <v>1870000</v>
      </c>
      <c r="K56" s="210">
        <f>K52+I56</f>
        <v>18</v>
      </c>
      <c r="L56" s="211">
        <f>B52*K56*K52</f>
        <v>1980000</v>
      </c>
      <c r="M56" s="210">
        <f>K56+M52</f>
        <v>19</v>
      </c>
      <c r="N56" s="212">
        <f>L56+B52*M52</f>
        <v>2090000</v>
      </c>
      <c r="O56" s="210">
        <f>M56+O52</f>
        <v>21</v>
      </c>
      <c r="P56" s="212">
        <f>N56+B52*O52</f>
        <v>2310000</v>
      </c>
      <c r="Q56" s="210">
        <f>O56+Q52</f>
        <v>22</v>
      </c>
      <c r="R56" s="212">
        <f>P56+B52*Q52</f>
        <v>2420000</v>
      </c>
      <c r="S56" s="210">
        <f>Q56+1</f>
        <v>23</v>
      </c>
      <c r="T56" s="212">
        <f>R56+B52*S52</f>
        <v>2530000</v>
      </c>
      <c r="U56" s="210">
        <f>S56+1</f>
        <v>24</v>
      </c>
      <c r="V56" s="212">
        <f>T56+B52*U52</f>
        <v>2640000</v>
      </c>
      <c r="W56" s="210">
        <f>U56+1</f>
        <v>25</v>
      </c>
      <c r="X56" s="212">
        <f>V56+X52*W52</f>
        <v>2750000</v>
      </c>
      <c r="Y56" s="210">
        <f>W56+1</f>
        <v>26</v>
      </c>
      <c r="Z56" s="212">
        <f>X56+B52*Y52</f>
        <v>2860000</v>
      </c>
      <c r="AA56" s="210">
        <f>Y56+AA52</f>
        <v>28</v>
      </c>
      <c r="AB56" s="212">
        <f>Z56+B52*AA52</f>
        <v>3080000</v>
      </c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6"/>
      <c r="CE56" s="146"/>
      <c r="CF56" s="146"/>
      <c r="CG56" s="146"/>
      <c r="CH56" s="146"/>
      <c r="CI56" s="146"/>
      <c r="CJ56" s="146"/>
      <c r="CK56" s="146"/>
      <c r="CL56" s="146"/>
      <c r="CM56" s="146"/>
      <c r="CN56" s="146"/>
      <c r="CO56" s="146"/>
      <c r="CP56" s="146"/>
      <c r="CQ56" s="146"/>
      <c r="CR56" s="146"/>
      <c r="CS56" s="146"/>
      <c r="CT56" s="146"/>
      <c r="CU56" s="146"/>
      <c r="CV56" s="146"/>
      <c r="CW56" s="146"/>
      <c r="CX56" s="146"/>
      <c r="CY56" s="146"/>
      <c r="CZ56" s="146"/>
      <c r="DA56" s="146"/>
      <c r="DB56" s="146"/>
      <c r="DC56" s="146"/>
      <c r="DD56" s="146"/>
      <c r="DE56" s="146"/>
      <c r="DF56" s="146"/>
      <c r="DG56" s="146"/>
      <c r="DH56" s="146"/>
      <c r="DI56" s="146"/>
      <c r="DJ56" s="146"/>
      <c r="DK56" s="146"/>
      <c r="DL56" s="146"/>
      <c r="DM56" s="146"/>
      <c r="DN56" s="146"/>
      <c r="DO56" s="146"/>
      <c r="DP56" s="146"/>
      <c r="DQ56" s="146"/>
      <c r="DR56" s="146"/>
      <c r="DS56" s="146"/>
      <c r="DT56" s="146"/>
      <c r="DU56" s="146"/>
      <c r="DV56" s="146"/>
      <c r="DW56" s="146"/>
      <c r="DX56" s="146"/>
      <c r="DY56" s="146"/>
      <c r="DZ56" s="146"/>
      <c r="EA56" s="146"/>
      <c r="EB56" s="146"/>
      <c r="EC56" s="146"/>
      <c r="ED56" s="146"/>
      <c r="EE56" s="146"/>
      <c r="EF56" s="146"/>
      <c r="EG56" s="146"/>
      <c r="EH56" s="146"/>
      <c r="EI56" s="146"/>
      <c r="EJ56" s="146"/>
      <c r="EK56" s="146"/>
      <c r="EL56" s="146"/>
      <c r="EM56" s="146"/>
      <c r="EN56" s="146"/>
      <c r="EO56" s="146"/>
      <c r="EP56" s="146"/>
      <c r="EQ56" s="146"/>
      <c r="ER56" s="146"/>
      <c r="ES56" s="146"/>
      <c r="ET56" s="146"/>
      <c r="EU56" s="146"/>
      <c r="EV56" s="146"/>
      <c r="EW56" s="146"/>
      <c r="EX56" s="146"/>
      <c r="EY56" s="146"/>
      <c r="EZ56" s="146"/>
      <c r="FA56" s="146"/>
      <c r="FB56" s="146"/>
      <c r="FC56" s="146"/>
      <c r="FD56" s="146"/>
      <c r="FE56" s="146"/>
      <c r="FF56" s="146"/>
      <c r="FG56" s="146"/>
      <c r="FH56" s="146"/>
      <c r="FI56" s="146"/>
      <c r="FJ56" s="146"/>
      <c r="FK56" s="146"/>
      <c r="FL56" s="146"/>
      <c r="FM56" s="146"/>
      <c r="FN56" s="146"/>
      <c r="FO56" s="146"/>
      <c r="FP56" s="146"/>
      <c r="FQ56" s="146"/>
      <c r="FR56" s="146"/>
      <c r="FS56" s="146"/>
      <c r="FT56" s="146"/>
      <c r="FU56" s="146"/>
      <c r="FV56" s="146"/>
      <c r="FW56" s="146"/>
      <c r="FX56" s="146"/>
      <c r="FY56" s="146"/>
      <c r="FZ56" s="146"/>
      <c r="GA56" s="146"/>
      <c r="GB56" s="146"/>
      <c r="GC56" s="146"/>
      <c r="GD56" s="146"/>
      <c r="GE56" s="146"/>
      <c r="GF56" s="146"/>
      <c r="GG56" s="146"/>
      <c r="GH56" s="146"/>
      <c r="GI56" s="146"/>
      <c r="GJ56" s="146"/>
      <c r="GK56" s="146"/>
      <c r="GL56" s="146"/>
      <c r="GM56" s="146"/>
      <c r="GN56" s="146"/>
      <c r="GO56" s="146"/>
      <c r="GP56" s="146"/>
      <c r="GQ56" s="146"/>
      <c r="GR56" s="146"/>
      <c r="GS56" s="146"/>
      <c r="GT56" s="146"/>
      <c r="GU56" s="146"/>
      <c r="GV56" s="146"/>
      <c r="GW56" s="146"/>
      <c r="GX56" s="146"/>
      <c r="GY56" s="146"/>
      <c r="GZ56" s="146"/>
      <c r="HA56" s="146"/>
      <c r="HB56" s="146"/>
      <c r="HC56" s="146"/>
      <c r="HD56" s="146"/>
      <c r="HE56" s="146"/>
      <c r="HF56" s="146"/>
      <c r="HG56" s="146"/>
      <c r="HH56" s="146"/>
      <c r="HI56" s="146"/>
      <c r="HJ56" s="146"/>
      <c r="HK56" s="146"/>
      <c r="HL56" s="146"/>
      <c r="HM56" s="146"/>
      <c r="HN56" s="146"/>
      <c r="HO56" s="146"/>
      <c r="HP56" s="146"/>
      <c r="HQ56" s="146"/>
      <c r="HR56" s="146"/>
      <c r="HS56" s="146"/>
      <c r="HT56" s="146"/>
      <c r="HU56" s="146"/>
      <c r="HV56" s="146"/>
      <c r="HW56" s="146"/>
      <c r="HX56" s="146"/>
      <c r="HY56" s="146"/>
      <c r="HZ56" s="146"/>
      <c r="IA56" s="146"/>
      <c r="IB56" s="146"/>
      <c r="IC56" s="146"/>
      <c r="ID56" s="146"/>
      <c r="IE56" s="146"/>
      <c r="IF56" s="146"/>
      <c r="IG56" s="146"/>
      <c r="IH56" s="146"/>
      <c r="II56" s="146"/>
      <c r="IJ56" s="146"/>
      <c r="IK56" s="146"/>
      <c r="IL56" s="146"/>
      <c r="IM56" s="146"/>
      <c r="IN56" s="146"/>
      <c r="IO56" s="146"/>
      <c r="IP56" s="146"/>
      <c r="IQ56" s="146"/>
      <c r="IR56" s="146"/>
      <c r="IS56" s="146"/>
      <c r="IT56" s="146"/>
      <c r="IU56" s="146"/>
      <c r="IV56" s="146"/>
      <c r="IW56" s="146"/>
      <c r="IX56" s="146"/>
      <c r="IY56" s="146"/>
      <c r="IZ56" s="146"/>
      <c r="JA56" s="146"/>
      <c r="JB56" s="146"/>
      <c r="JC56" s="146"/>
      <c r="JD56" s="146"/>
      <c r="JE56" s="146"/>
      <c r="JF56" s="146"/>
      <c r="JG56" s="146"/>
      <c r="JH56" s="146"/>
      <c r="JI56" s="146"/>
      <c r="JJ56" s="146"/>
      <c r="JK56" s="146"/>
      <c r="JL56" s="146"/>
      <c r="JM56" s="146"/>
      <c r="JN56" s="146"/>
      <c r="JO56" s="146"/>
      <c r="JP56" s="146"/>
      <c r="JQ56" s="146"/>
      <c r="JR56" s="146"/>
      <c r="JS56" s="146"/>
      <c r="JT56" s="146"/>
      <c r="JU56" s="146"/>
      <c r="JV56" s="146"/>
      <c r="JW56" s="146"/>
      <c r="JX56" s="146"/>
      <c r="JY56" s="146"/>
      <c r="JZ56" s="146"/>
      <c r="KA56" s="146"/>
      <c r="KB56" s="146"/>
      <c r="KC56" s="146"/>
      <c r="KD56" s="146"/>
      <c r="KE56" s="146"/>
      <c r="KF56" s="146"/>
      <c r="KG56" s="146"/>
    </row>
    <row r="57" spans="1:293" s="145" customFormat="1" ht="15.75" customHeight="1" thickBot="1" x14ac:dyDescent="0.3">
      <c r="A57" s="466" t="s">
        <v>156</v>
      </c>
      <c r="B57" s="467"/>
      <c r="C57" s="213">
        <f>C53+C26</f>
        <v>88</v>
      </c>
      <c r="D57" s="214">
        <f>SUM(D54:D56)</f>
        <v>77460000</v>
      </c>
      <c r="E57" s="215">
        <f>SUM(E54:E56)</f>
        <v>47</v>
      </c>
      <c r="F57" s="216">
        <f>SUM(F54:F56)</f>
        <v>4740000</v>
      </c>
      <c r="G57" s="215">
        <f t="shared" ref="G57:AB57" si="26">SUM(G54:G56)</f>
        <v>50</v>
      </c>
      <c r="H57" s="216">
        <f t="shared" si="26"/>
        <v>4950000</v>
      </c>
      <c r="I57" s="215">
        <f t="shared" si="26"/>
        <v>53</v>
      </c>
      <c r="J57" s="216">
        <f t="shared" si="26"/>
        <v>5160000</v>
      </c>
      <c r="K57" s="215">
        <f t="shared" si="26"/>
        <v>56</v>
      </c>
      <c r="L57" s="216">
        <f>SUM(L54:L56)</f>
        <v>5370000</v>
      </c>
      <c r="M57" s="215">
        <f t="shared" si="26"/>
        <v>60</v>
      </c>
      <c r="N57" s="216">
        <f t="shared" si="26"/>
        <v>5770000</v>
      </c>
      <c r="O57" s="215">
        <f t="shared" si="26"/>
        <v>66</v>
      </c>
      <c r="P57" s="216">
        <f t="shared" si="26"/>
        <v>6380000</v>
      </c>
      <c r="Q57" s="215">
        <f t="shared" si="26"/>
        <v>69</v>
      </c>
      <c r="R57" s="216">
        <f t="shared" si="26"/>
        <v>6680000</v>
      </c>
      <c r="S57" s="215">
        <f t="shared" si="26"/>
        <v>72</v>
      </c>
      <c r="T57" s="216">
        <f t="shared" si="26"/>
        <v>6980000</v>
      </c>
      <c r="U57" s="215">
        <f t="shared" si="26"/>
        <v>75</v>
      </c>
      <c r="V57" s="216">
        <f t="shared" si="26"/>
        <v>7280000</v>
      </c>
      <c r="W57" s="215">
        <f t="shared" si="26"/>
        <v>78</v>
      </c>
      <c r="X57" s="216">
        <f t="shared" si="26"/>
        <v>7580000</v>
      </c>
      <c r="Y57" s="215">
        <f t="shared" si="26"/>
        <v>82</v>
      </c>
      <c r="Z57" s="216">
        <f t="shared" si="26"/>
        <v>7980000</v>
      </c>
      <c r="AA57" s="215">
        <f>SUM(AA54:AA56)</f>
        <v>88</v>
      </c>
      <c r="AB57" s="216">
        <f t="shared" si="26"/>
        <v>8590000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  <c r="CJ57" s="146"/>
      <c r="CK57" s="146"/>
      <c r="CL57" s="146"/>
      <c r="CM57" s="146"/>
      <c r="CN57" s="146"/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/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/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/>
      <c r="GB57" s="146"/>
      <c r="GC57" s="146"/>
      <c r="GD57" s="146"/>
      <c r="GE57" s="146"/>
      <c r="GF57" s="146"/>
      <c r="GG57" s="146"/>
      <c r="GH57" s="146"/>
      <c r="GI57" s="146"/>
      <c r="GJ57" s="146"/>
      <c r="GK57" s="146"/>
      <c r="GL57" s="146"/>
      <c r="GM57" s="146"/>
      <c r="GN57" s="146"/>
      <c r="GO57" s="146"/>
      <c r="GP57" s="146"/>
      <c r="GQ57" s="146"/>
      <c r="GR57" s="146"/>
      <c r="GS57" s="146"/>
      <c r="GT57" s="146"/>
      <c r="GU57" s="146"/>
      <c r="GV57" s="146"/>
      <c r="GW57" s="146"/>
      <c r="GX57" s="146"/>
      <c r="GY57" s="146"/>
      <c r="GZ57" s="146"/>
      <c r="HA57" s="146"/>
      <c r="HB57" s="146"/>
      <c r="HC57" s="146"/>
      <c r="HD57" s="146"/>
      <c r="HE57" s="146"/>
      <c r="HF57" s="146"/>
      <c r="HG57" s="146"/>
      <c r="HH57" s="146"/>
      <c r="HI57" s="146"/>
      <c r="HJ57" s="146"/>
      <c r="HK57" s="146"/>
      <c r="HL57" s="146"/>
      <c r="HM57" s="146"/>
      <c r="HN57" s="146"/>
      <c r="HO57" s="146"/>
      <c r="HP57" s="146"/>
      <c r="HQ57" s="146"/>
      <c r="HR57" s="146"/>
      <c r="HS57" s="146"/>
      <c r="HT57" s="146"/>
      <c r="HU57" s="146"/>
      <c r="HV57" s="146"/>
      <c r="HW57" s="146"/>
      <c r="HX57" s="146"/>
      <c r="HY57" s="146"/>
      <c r="HZ57" s="146"/>
      <c r="IA57" s="146"/>
      <c r="IB57" s="146"/>
      <c r="IC57" s="146"/>
      <c r="ID57" s="146"/>
      <c r="IE57" s="146"/>
      <c r="IF57" s="146"/>
      <c r="IG57" s="146"/>
      <c r="IH57" s="146"/>
      <c r="II57" s="146"/>
      <c r="IJ57" s="146"/>
      <c r="IK57" s="146"/>
      <c r="IL57" s="146"/>
      <c r="IM57" s="146"/>
      <c r="IN57" s="146"/>
      <c r="IO57" s="146"/>
      <c r="IP57" s="146"/>
      <c r="IQ57" s="146"/>
      <c r="IR57" s="146"/>
      <c r="IS57" s="146"/>
      <c r="IT57" s="146"/>
      <c r="IU57" s="146"/>
      <c r="IV57" s="146"/>
      <c r="IW57" s="146"/>
      <c r="IX57" s="146"/>
      <c r="IY57" s="146"/>
      <c r="IZ57" s="146"/>
      <c r="JA57" s="146"/>
      <c r="JB57" s="146"/>
      <c r="JC57" s="146"/>
      <c r="JD57" s="146"/>
      <c r="JE57" s="146"/>
      <c r="JF57" s="146"/>
      <c r="JG57" s="146"/>
      <c r="JH57" s="146"/>
      <c r="JI57" s="146"/>
      <c r="JJ57" s="146"/>
      <c r="JK57" s="146"/>
      <c r="JL57" s="146"/>
      <c r="JM57" s="146"/>
      <c r="JN57" s="146"/>
      <c r="JO57" s="146"/>
      <c r="JP57" s="146"/>
      <c r="JQ57" s="146"/>
      <c r="JR57" s="146"/>
      <c r="JS57" s="146"/>
      <c r="JT57" s="146"/>
      <c r="JU57" s="146"/>
      <c r="JV57" s="146"/>
      <c r="JW57" s="146"/>
      <c r="JX57" s="146"/>
      <c r="JY57" s="146"/>
      <c r="JZ57" s="146"/>
      <c r="KA57" s="146"/>
      <c r="KB57" s="146"/>
      <c r="KC57" s="146"/>
      <c r="KD57" s="146"/>
      <c r="KE57" s="146"/>
      <c r="KF57" s="146"/>
      <c r="KG57" s="146"/>
    </row>
    <row r="58" spans="1:293" ht="15.75" customHeight="1" thickBot="1" x14ac:dyDescent="0.3">
      <c r="A58" s="1"/>
      <c r="B58" s="1"/>
      <c r="C58" s="1"/>
      <c r="D58" s="2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425" t="s">
        <v>69</v>
      </c>
      <c r="B59" s="426"/>
      <c r="C59" s="426"/>
      <c r="D59" s="426"/>
      <c r="E59" s="426"/>
      <c r="F59" s="426"/>
      <c r="G59" s="426"/>
      <c r="H59" s="426"/>
      <c r="I59" s="426"/>
      <c r="J59" s="426"/>
      <c r="K59" s="426"/>
      <c r="L59" s="426"/>
      <c r="M59" s="426"/>
      <c r="N59" s="426"/>
      <c r="O59" s="426"/>
      <c r="P59" s="426"/>
      <c r="Q59" s="426"/>
      <c r="R59" s="426"/>
      <c r="S59" s="426"/>
      <c r="T59" s="426"/>
      <c r="U59" s="426"/>
      <c r="V59" s="426"/>
      <c r="W59" s="426"/>
      <c r="X59" s="426"/>
      <c r="Y59" s="426"/>
      <c r="Z59" s="426"/>
      <c r="AA59" s="426"/>
      <c r="AB59" s="427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48" customFormat="1" ht="158.25" customHeight="1" thickBot="1" x14ac:dyDescent="0.3">
      <c r="A60" s="139" t="s">
        <v>54</v>
      </c>
      <c r="B60" s="422" t="s">
        <v>212</v>
      </c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  <c r="S60" s="423"/>
      <c r="T60" s="423"/>
      <c r="U60" s="423"/>
      <c r="V60" s="423"/>
      <c r="W60" s="423"/>
      <c r="X60" s="423"/>
      <c r="Y60" s="423"/>
      <c r="Z60" s="423"/>
      <c r="AA60" s="423"/>
      <c r="AB60" s="424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55" t="s">
        <v>55</v>
      </c>
      <c r="B61" s="452"/>
      <c r="C61" s="458" t="s">
        <v>218</v>
      </c>
      <c r="D61" s="459"/>
      <c r="E61" s="460" t="s">
        <v>219</v>
      </c>
      <c r="F61" s="461"/>
      <c r="G61" s="461"/>
      <c r="H61" s="461"/>
      <c r="I61" s="461"/>
      <c r="J61" s="461"/>
      <c r="K61" s="461"/>
      <c r="L61" s="461"/>
      <c r="M61" s="461"/>
      <c r="N61" s="461"/>
      <c r="O61" s="461"/>
      <c r="P61" s="461"/>
      <c r="Q61" s="461"/>
      <c r="R61" s="461"/>
      <c r="S61" s="461"/>
      <c r="T61" s="461"/>
      <c r="U61" s="461"/>
      <c r="V61" s="461"/>
      <c r="W61" s="461"/>
      <c r="X61" s="461"/>
      <c r="Y61" s="461"/>
      <c r="Z61" s="461"/>
      <c r="AA61" s="461"/>
      <c r="AB61" s="462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56"/>
      <c r="B62" s="457"/>
      <c r="C62" s="140" t="s">
        <v>52</v>
      </c>
      <c r="D62" s="141" t="s">
        <v>55</v>
      </c>
      <c r="E62" s="463" t="s">
        <v>39</v>
      </c>
      <c r="F62" s="459"/>
      <c r="G62" s="463" t="s">
        <v>40</v>
      </c>
      <c r="H62" s="459"/>
      <c r="I62" s="463" t="s">
        <v>41</v>
      </c>
      <c r="J62" s="459"/>
      <c r="K62" s="463" t="s">
        <v>42</v>
      </c>
      <c r="L62" s="459"/>
      <c r="M62" s="463" t="s">
        <v>43</v>
      </c>
      <c r="N62" s="459"/>
      <c r="O62" s="463" t="s">
        <v>44</v>
      </c>
      <c r="P62" s="459"/>
      <c r="Q62" s="463" t="s">
        <v>45</v>
      </c>
      <c r="R62" s="459"/>
      <c r="S62" s="463" t="s">
        <v>46</v>
      </c>
      <c r="T62" s="459"/>
      <c r="U62" s="463" t="s">
        <v>47</v>
      </c>
      <c r="V62" s="459"/>
      <c r="W62" s="463" t="s">
        <v>48</v>
      </c>
      <c r="X62" s="459"/>
      <c r="Y62" s="463" t="s">
        <v>49</v>
      </c>
      <c r="Z62" s="459"/>
      <c r="AA62" s="463" t="s">
        <v>50</v>
      </c>
      <c r="AB62" s="459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51" t="s">
        <v>57</v>
      </c>
      <c r="B63" s="452"/>
      <c r="C63" s="302">
        <f>'Anexo capacidad operativa'!A32</f>
        <v>3</v>
      </c>
      <c r="D63" s="26" t="str">
        <f>'Anexo capacidad operativa'!B32</f>
        <v>Desarrollador</v>
      </c>
      <c r="E63" s="447" t="s">
        <v>58</v>
      </c>
      <c r="F63" s="386"/>
      <c r="G63" s="435" t="s">
        <v>58</v>
      </c>
      <c r="H63" s="386"/>
      <c r="I63" s="435" t="s">
        <v>58</v>
      </c>
      <c r="J63" s="386"/>
      <c r="K63" s="435" t="s">
        <v>58</v>
      </c>
      <c r="L63" s="386"/>
      <c r="M63" s="431" t="s">
        <v>157</v>
      </c>
      <c r="N63" s="432"/>
      <c r="O63" s="428" t="s">
        <v>58</v>
      </c>
      <c r="P63" s="429"/>
      <c r="Q63" s="435" t="s">
        <v>58</v>
      </c>
      <c r="R63" s="386"/>
      <c r="S63" s="435" t="s">
        <v>58</v>
      </c>
      <c r="T63" s="386"/>
      <c r="U63" s="435" t="s">
        <v>58</v>
      </c>
      <c r="V63" s="386"/>
      <c r="W63" s="435" t="s">
        <v>58</v>
      </c>
      <c r="X63" s="386"/>
      <c r="Y63" s="435" t="s">
        <v>58</v>
      </c>
      <c r="Z63" s="386"/>
      <c r="AA63" s="435" t="s">
        <v>58</v>
      </c>
      <c r="AB63" s="436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39"/>
      <c r="B64" s="440"/>
      <c r="C64" s="27">
        <f>'Anexo capacidad operativa'!A33</f>
        <v>1</v>
      </c>
      <c r="D64" s="28" t="str">
        <f>'Anexo capacidad operativa'!B33</f>
        <v>Gerente de servicios</v>
      </c>
      <c r="E64" s="443" t="s">
        <v>58</v>
      </c>
      <c r="F64" s="429"/>
      <c r="G64" s="428" t="s">
        <v>58</v>
      </c>
      <c r="H64" s="429"/>
      <c r="I64" s="428" t="s">
        <v>58</v>
      </c>
      <c r="J64" s="429"/>
      <c r="K64" s="428" t="s">
        <v>58</v>
      </c>
      <c r="L64" s="429"/>
      <c r="M64" s="428" t="s">
        <v>58</v>
      </c>
      <c r="N64" s="429"/>
      <c r="O64" s="428" t="s">
        <v>58</v>
      </c>
      <c r="P64" s="429"/>
      <c r="Q64" s="428" t="s">
        <v>58</v>
      </c>
      <c r="R64" s="429"/>
      <c r="S64" s="428" t="s">
        <v>58</v>
      </c>
      <c r="T64" s="429"/>
      <c r="U64" s="428" t="s">
        <v>58</v>
      </c>
      <c r="V64" s="429"/>
      <c r="W64" s="428" t="s">
        <v>58</v>
      </c>
      <c r="X64" s="429"/>
      <c r="Y64" s="428" t="s">
        <v>58</v>
      </c>
      <c r="Z64" s="429"/>
      <c r="AA64" s="428" t="s">
        <v>58</v>
      </c>
      <c r="AB64" s="430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39"/>
      <c r="B65" s="440"/>
      <c r="C65" s="27">
        <f>'Anexo capacidad operativa'!A34</f>
        <v>1</v>
      </c>
      <c r="D65" s="28" t="str">
        <f>'Anexo capacidad operativa'!B34</f>
        <v>Empleado de tecnologia</v>
      </c>
      <c r="E65" s="443" t="s">
        <v>58</v>
      </c>
      <c r="F65" s="429"/>
      <c r="G65" s="428" t="s">
        <v>58</v>
      </c>
      <c r="H65" s="429"/>
      <c r="I65" s="428" t="s">
        <v>58</v>
      </c>
      <c r="J65" s="429"/>
      <c r="K65" s="428" t="s">
        <v>58</v>
      </c>
      <c r="L65" s="429"/>
      <c r="M65" s="445" t="s">
        <v>58</v>
      </c>
      <c r="N65" s="446"/>
      <c r="O65" s="428" t="s">
        <v>58</v>
      </c>
      <c r="P65" s="429"/>
      <c r="Q65" s="428" t="s">
        <v>58</v>
      </c>
      <c r="R65" s="429"/>
      <c r="S65" s="428" t="s">
        <v>58</v>
      </c>
      <c r="T65" s="429"/>
      <c r="U65" s="428" t="s">
        <v>58</v>
      </c>
      <c r="V65" s="429"/>
      <c r="W65" s="428" t="s">
        <v>58</v>
      </c>
      <c r="X65" s="429"/>
      <c r="Y65" s="428" t="s">
        <v>58</v>
      </c>
      <c r="Z65" s="429"/>
      <c r="AA65" s="428" t="s">
        <v>58</v>
      </c>
      <c r="AB65" s="430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39"/>
      <c r="B66" s="440"/>
      <c r="C66" s="94">
        <f>'Anexo capacidad operativa'!A35</f>
        <v>2</v>
      </c>
      <c r="D66" s="28" t="str">
        <f>'Anexo capacidad operativa'!B35</f>
        <v>Tester</v>
      </c>
      <c r="E66" s="443" t="s">
        <v>58</v>
      </c>
      <c r="F66" s="429"/>
      <c r="G66" s="428" t="s">
        <v>58</v>
      </c>
      <c r="H66" s="429"/>
      <c r="I66" s="428" t="s">
        <v>58</v>
      </c>
      <c r="J66" s="429"/>
      <c r="K66" s="428" t="s">
        <v>58</v>
      </c>
      <c r="L66" s="429"/>
      <c r="M66" s="431" t="s">
        <v>157</v>
      </c>
      <c r="N66" s="432"/>
      <c r="O66" s="428" t="s">
        <v>58</v>
      </c>
      <c r="P66" s="429"/>
      <c r="Q66" s="428" t="s">
        <v>58</v>
      </c>
      <c r="R66" s="429"/>
      <c r="S66" s="428" t="s">
        <v>58</v>
      </c>
      <c r="T66" s="429"/>
      <c r="U66" s="428" t="s">
        <v>58</v>
      </c>
      <c r="V66" s="429"/>
      <c r="W66" s="428" t="s">
        <v>58</v>
      </c>
      <c r="X66" s="429"/>
      <c r="Y66" s="428" t="s">
        <v>58</v>
      </c>
      <c r="Z66" s="429"/>
      <c r="AA66" s="428" t="s">
        <v>58</v>
      </c>
      <c r="AB66" s="430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39"/>
      <c r="B67" s="440"/>
      <c r="C67" s="94">
        <f>'Anexo capacidad operativa'!A36</f>
        <v>3</v>
      </c>
      <c r="D67" s="28" t="str">
        <f>'Anexo capacidad operativa'!B36</f>
        <v>Empleado administrativo de ventas</v>
      </c>
      <c r="E67" s="468" t="s">
        <v>58</v>
      </c>
      <c r="F67" s="446"/>
      <c r="G67" s="445" t="s">
        <v>58</v>
      </c>
      <c r="H67" s="446"/>
      <c r="I67" s="445" t="s">
        <v>58</v>
      </c>
      <c r="J67" s="446"/>
      <c r="K67" s="445" t="s">
        <v>58</v>
      </c>
      <c r="L67" s="446"/>
      <c r="M67" s="431" t="s">
        <v>157</v>
      </c>
      <c r="N67" s="432"/>
      <c r="O67" s="428" t="s">
        <v>58</v>
      </c>
      <c r="P67" s="429"/>
      <c r="Q67" s="445" t="s">
        <v>58</v>
      </c>
      <c r="R67" s="446"/>
      <c r="S67" s="445" t="s">
        <v>58</v>
      </c>
      <c r="T67" s="446"/>
      <c r="U67" s="445" t="s">
        <v>58</v>
      </c>
      <c r="V67" s="446"/>
      <c r="W67" s="445" t="s">
        <v>58</v>
      </c>
      <c r="X67" s="446"/>
      <c r="Y67" s="445" t="s">
        <v>58</v>
      </c>
      <c r="Z67" s="446"/>
      <c r="AA67" s="445" t="s">
        <v>58</v>
      </c>
      <c r="AB67" s="453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37" t="s">
        <v>59</v>
      </c>
      <c r="B68" s="438"/>
      <c r="C68" s="362">
        <v>4</v>
      </c>
      <c r="D68" s="29" t="s">
        <v>60</v>
      </c>
      <c r="E68" s="431" t="s">
        <v>157</v>
      </c>
      <c r="F68" s="432"/>
      <c r="G68" s="435" t="s">
        <v>58</v>
      </c>
      <c r="H68" s="386"/>
      <c r="I68" s="435" t="s">
        <v>58</v>
      </c>
      <c r="J68" s="386"/>
      <c r="K68" s="435" t="s">
        <v>58</v>
      </c>
      <c r="L68" s="386"/>
      <c r="M68" s="431" t="s">
        <v>157</v>
      </c>
      <c r="N68" s="432"/>
      <c r="O68" s="428" t="s">
        <v>58</v>
      </c>
      <c r="P68" s="429"/>
      <c r="Q68" s="435" t="s">
        <v>58</v>
      </c>
      <c r="R68" s="386"/>
      <c r="S68" s="435" t="s">
        <v>58</v>
      </c>
      <c r="T68" s="386"/>
      <c r="U68" s="435" t="s">
        <v>58</v>
      </c>
      <c r="V68" s="386"/>
      <c r="W68" s="435" t="s">
        <v>58</v>
      </c>
      <c r="X68" s="386"/>
      <c r="Y68" s="435" t="s">
        <v>58</v>
      </c>
      <c r="Z68" s="386"/>
      <c r="AA68" s="435" t="s">
        <v>58</v>
      </c>
      <c r="AB68" s="436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39"/>
      <c r="B69" s="440"/>
      <c r="C69" s="363">
        <v>4</v>
      </c>
      <c r="D69" s="30" t="s">
        <v>61</v>
      </c>
      <c r="E69" s="444" t="s">
        <v>157</v>
      </c>
      <c r="F69" s="444"/>
      <c r="G69" s="428" t="s">
        <v>58</v>
      </c>
      <c r="H69" s="429"/>
      <c r="I69" s="428" t="s">
        <v>58</v>
      </c>
      <c r="J69" s="429"/>
      <c r="K69" s="428" t="s">
        <v>58</v>
      </c>
      <c r="L69" s="429"/>
      <c r="M69" s="431" t="s">
        <v>157</v>
      </c>
      <c r="N69" s="432"/>
      <c r="O69" s="428" t="s">
        <v>58</v>
      </c>
      <c r="P69" s="429"/>
      <c r="Q69" s="428" t="s">
        <v>58</v>
      </c>
      <c r="R69" s="429"/>
      <c r="S69" s="428" t="s">
        <v>58</v>
      </c>
      <c r="T69" s="429"/>
      <c r="U69" s="428" t="s">
        <v>58</v>
      </c>
      <c r="V69" s="429"/>
      <c r="W69" s="428" t="s">
        <v>58</v>
      </c>
      <c r="X69" s="429"/>
      <c r="Y69" s="428" t="s">
        <v>58</v>
      </c>
      <c r="Z69" s="429"/>
      <c r="AA69" s="428" t="s">
        <v>58</v>
      </c>
      <c r="AB69" s="430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39"/>
      <c r="B70" s="440"/>
      <c r="C70" s="365">
        <v>1</v>
      </c>
      <c r="D70" s="30" t="s">
        <v>62</v>
      </c>
      <c r="E70" s="443" t="s">
        <v>58</v>
      </c>
      <c r="F70" s="429"/>
      <c r="G70" s="428" t="s">
        <v>58</v>
      </c>
      <c r="H70" s="429"/>
      <c r="I70" s="428" t="s">
        <v>58</v>
      </c>
      <c r="J70" s="429"/>
      <c r="K70" s="428" t="s">
        <v>58</v>
      </c>
      <c r="L70" s="429"/>
      <c r="M70" s="428" t="s">
        <v>58</v>
      </c>
      <c r="N70" s="429"/>
      <c r="O70" s="428" t="s">
        <v>58</v>
      </c>
      <c r="P70" s="429"/>
      <c r="Q70" s="428" t="s">
        <v>58</v>
      </c>
      <c r="R70" s="429"/>
      <c r="S70" s="428" t="s">
        <v>58</v>
      </c>
      <c r="T70" s="429"/>
      <c r="U70" s="428" t="s">
        <v>58</v>
      </c>
      <c r="V70" s="429"/>
      <c r="W70" s="428" t="s">
        <v>58</v>
      </c>
      <c r="X70" s="429"/>
      <c r="Y70" s="428" t="s">
        <v>58</v>
      </c>
      <c r="Z70" s="429"/>
      <c r="AA70" s="428" t="s">
        <v>58</v>
      </c>
      <c r="AB70" s="430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39"/>
      <c r="B71" s="440"/>
      <c r="C71" s="363">
        <v>4</v>
      </c>
      <c r="D71" s="30" t="s">
        <v>63</v>
      </c>
      <c r="E71" s="431" t="s">
        <v>157</v>
      </c>
      <c r="F71" s="432"/>
      <c r="G71" s="428" t="s">
        <v>58</v>
      </c>
      <c r="H71" s="429"/>
      <c r="I71" s="428" t="s">
        <v>58</v>
      </c>
      <c r="J71" s="429"/>
      <c r="K71" s="428" t="s">
        <v>58</v>
      </c>
      <c r="L71" s="429"/>
      <c r="M71" s="431" t="s">
        <v>157</v>
      </c>
      <c r="N71" s="432"/>
      <c r="O71" s="428" t="s">
        <v>58</v>
      </c>
      <c r="P71" s="429"/>
      <c r="Q71" s="428" t="s">
        <v>58</v>
      </c>
      <c r="R71" s="429"/>
      <c r="S71" s="428" t="s">
        <v>58</v>
      </c>
      <c r="T71" s="429"/>
      <c r="U71" s="428" t="s">
        <v>58</v>
      </c>
      <c r="V71" s="429"/>
      <c r="W71" s="428" t="s">
        <v>58</v>
      </c>
      <c r="X71" s="429"/>
      <c r="Y71" s="428" t="s">
        <v>58</v>
      </c>
      <c r="Z71" s="429"/>
      <c r="AA71" s="428" t="s">
        <v>58</v>
      </c>
      <c r="AB71" s="430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39"/>
      <c r="B72" s="440"/>
      <c r="C72" s="363">
        <v>2</v>
      </c>
      <c r="D72" s="30" t="s">
        <v>64</v>
      </c>
      <c r="E72" s="431" t="s">
        <v>157</v>
      </c>
      <c r="F72" s="432"/>
      <c r="G72" s="428" t="s">
        <v>58</v>
      </c>
      <c r="H72" s="429"/>
      <c r="I72" s="428" t="s">
        <v>58</v>
      </c>
      <c r="J72" s="429"/>
      <c r="K72" s="428" t="s">
        <v>58</v>
      </c>
      <c r="L72" s="429"/>
      <c r="M72" s="428" t="s">
        <v>58</v>
      </c>
      <c r="N72" s="429"/>
      <c r="O72" s="428" t="s">
        <v>58</v>
      </c>
      <c r="P72" s="429"/>
      <c r="Q72" s="428" t="s">
        <v>58</v>
      </c>
      <c r="R72" s="429"/>
      <c r="S72" s="428" t="s">
        <v>58</v>
      </c>
      <c r="T72" s="429"/>
      <c r="U72" s="428" t="s">
        <v>58</v>
      </c>
      <c r="V72" s="429"/>
      <c r="W72" s="428" t="s">
        <v>58</v>
      </c>
      <c r="X72" s="429"/>
      <c r="Y72" s="428" t="s">
        <v>58</v>
      </c>
      <c r="Z72" s="429"/>
      <c r="AA72" s="428" t="s">
        <v>58</v>
      </c>
      <c r="AB72" s="430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41"/>
      <c r="B73" s="442"/>
      <c r="C73" s="363">
        <v>4</v>
      </c>
      <c r="D73" s="30" t="s">
        <v>65</v>
      </c>
      <c r="E73" s="431" t="s">
        <v>157</v>
      </c>
      <c r="F73" s="432"/>
      <c r="G73" s="428" t="s">
        <v>58</v>
      </c>
      <c r="H73" s="429"/>
      <c r="I73" s="428" t="s">
        <v>58</v>
      </c>
      <c r="J73" s="429"/>
      <c r="K73" s="428" t="s">
        <v>58</v>
      </c>
      <c r="L73" s="429"/>
      <c r="M73" s="431" t="s">
        <v>157</v>
      </c>
      <c r="N73" s="432"/>
      <c r="O73" s="428" t="s">
        <v>58</v>
      </c>
      <c r="P73" s="429"/>
      <c r="Q73" s="428" t="s">
        <v>58</v>
      </c>
      <c r="R73" s="429"/>
      <c r="S73" s="428" t="s">
        <v>58</v>
      </c>
      <c r="T73" s="429"/>
      <c r="U73" s="428" t="s">
        <v>58</v>
      </c>
      <c r="V73" s="429"/>
      <c r="W73" s="428" t="s">
        <v>58</v>
      </c>
      <c r="X73" s="429"/>
      <c r="Y73" s="428" t="s">
        <v>58</v>
      </c>
      <c r="Z73" s="429"/>
      <c r="AA73" s="428" t="s">
        <v>58</v>
      </c>
      <c r="AB73" s="430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33" t="s">
        <v>66</v>
      </c>
      <c r="B74" s="434"/>
      <c r="C74" s="362">
        <f>SUM(C63:C67)</f>
        <v>10</v>
      </c>
      <c r="D74" s="133" t="s">
        <v>162</v>
      </c>
      <c r="E74" s="428" t="s">
        <v>58</v>
      </c>
      <c r="F74" s="429"/>
      <c r="G74" s="428" t="s">
        <v>58</v>
      </c>
      <c r="H74" s="429"/>
      <c r="I74" s="428" t="s">
        <v>58</v>
      </c>
      <c r="J74" s="429"/>
      <c r="K74" s="428" t="s">
        <v>58</v>
      </c>
      <c r="L74" s="429"/>
      <c r="M74" s="431" t="s">
        <v>255</v>
      </c>
      <c r="N74" s="432"/>
      <c r="O74" s="428" t="s">
        <v>58</v>
      </c>
      <c r="P74" s="429"/>
      <c r="Q74" s="428" t="s">
        <v>58</v>
      </c>
      <c r="R74" s="429"/>
      <c r="S74" s="428" t="s">
        <v>58</v>
      </c>
      <c r="T74" s="429"/>
      <c r="U74" s="428" t="s">
        <v>58</v>
      </c>
      <c r="V74" s="429"/>
      <c r="W74" s="428" t="s">
        <v>58</v>
      </c>
      <c r="X74" s="429"/>
      <c r="Y74" s="428" t="s">
        <v>58</v>
      </c>
      <c r="Z74" s="429"/>
      <c r="AA74" s="428" t="s">
        <v>58</v>
      </c>
      <c r="AB74" s="430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1"/>
      <c r="B75" s="31"/>
      <c r="C75" s="24"/>
      <c r="D75" s="24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33"/>
      <c r="B76" s="33"/>
      <c r="C76" s="35"/>
      <c r="D76" s="35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</row>
    <row r="77" spans="1:43" ht="27" thickBot="1" x14ac:dyDescent="0.45">
      <c r="A77" s="421" t="s">
        <v>181</v>
      </c>
      <c r="B77" s="421"/>
      <c r="C77" s="421"/>
      <c r="D77" s="421"/>
      <c r="E77" s="421"/>
      <c r="F77" s="421"/>
      <c r="G77" s="421"/>
      <c r="H77" s="421"/>
      <c r="I77" s="421"/>
      <c r="J77" s="421"/>
      <c r="K77" s="421"/>
      <c r="L77" s="421"/>
      <c r="M77" s="421"/>
      <c r="N77" s="421"/>
      <c r="O77" s="421"/>
      <c r="P77" s="421"/>
      <c r="Q77" s="421"/>
      <c r="R77" s="421"/>
      <c r="S77" s="421"/>
      <c r="T77" s="421"/>
      <c r="U77" s="421"/>
      <c r="V77" s="421"/>
      <c r="W77" s="421"/>
      <c r="X77" s="421"/>
      <c r="Y77" s="421"/>
      <c r="Z77" s="421"/>
      <c r="AA77" s="421"/>
      <c r="AB77" s="42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50" t="s">
        <v>176</v>
      </c>
      <c r="B78" s="450" t="s">
        <v>33</v>
      </c>
      <c r="C78" s="450" t="s">
        <v>38</v>
      </c>
      <c r="D78" s="449"/>
      <c r="E78" s="448" t="s">
        <v>39</v>
      </c>
      <c r="F78" s="449"/>
      <c r="G78" s="448" t="s">
        <v>40</v>
      </c>
      <c r="H78" s="449"/>
      <c r="I78" s="448" t="s">
        <v>41</v>
      </c>
      <c r="J78" s="449"/>
      <c r="K78" s="448" t="s">
        <v>42</v>
      </c>
      <c r="L78" s="449"/>
      <c r="M78" s="448" t="s">
        <v>43</v>
      </c>
      <c r="N78" s="449"/>
      <c r="O78" s="448" t="s">
        <v>44</v>
      </c>
      <c r="P78" s="449"/>
      <c r="Q78" s="448" t="s">
        <v>45</v>
      </c>
      <c r="R78" s="449"/>
      <c r="S78" s="448" t="s">
        <v>46</v>
      </c>
      <c r="T78" s="449"/>
      <c r="U78" s="448" t="s">
        <v>47</v>
      </c>
      <c r="V78" s="449"/>
      <c r="W78" s="448" t="s">
        <v>48</v>
      </c>
      <c r="X78" s="449"/>
      <c r="Y78" s="448" t="s">
        <v>49</v>
      </c>
      <c r="Z78" s="449"/>
      <c r="AA78" s="448" t="s">
        <v>50</v>
      </c>
      <c r="AB78" s="449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18"/>
      <c r="B79" s="418"/>
      <c r="C79" s="450" t="s">
        <v>52</v>
      </c>
      <c r="D79" s="450" t="s">
        <v>51</v>
      </c>
      <c r="E79" s="454">
        <v>0.05</v>
      </c>
      <c r="F79" s="449"/>
      <c r="G79" s="454">
        <v>0.05</v>
      </c>
      <c r="H79" s="454"/>
      <c r="I79" s="454">
        <v>0.05</v>
      </c>
      <c r="J79" s="449"/>
      <c r="K79" s="454">
        <v>7.0000000000000007E-2</v>
      </c>
      <c r="L79" s="454"/>
      <c r="M79" s="454">
        <v>0.1</v>
      </c>
      <c r="N79" s="449"/>
      <c r="O79" s="454">
        <v>0.15</v>
      </c>
      <c r="P79" s="454"/>
      <c r="Q79" s="454">
        <v>7.0000000000000007E-2</v>
      </c>
      <c r="R79" s="449"/>
      <c r="S79" s="454">
        <v>7.0000000000000007E-2</v>
      </c>
      <c r="T79" s="454"/>
      <c r="U79" s="454">
        <v>7.0000000000000007E-2</v>
      </c>
      <c r="V79" s="449"/>
      <c r="W79" s="454">
        <v>7.0000000000000007E-2</v>
      </c>
      <c r="X79" s="454"/>
      <c r="Y79" s="454">
        <v>0.1</v>
      </c>
      <c r="Z79" s="449"/>
      <c r="AA79" s="454">
        <v>0.15</v>
      </c>
      <c r="AB79" s="454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18"/>
      <c r="B80" s="418"/>
      <c r="C80" s="449"/>
      <c r="D80" s="449"/>
      <c r="E80" s="154" t="s">
        <v>52</v>
      </c>
      <c r="F80" s="154" t="s">
        <v>51</v>
      </c>
      <c r="G80" s="154" t="s">
        <v>52</v>
      </c>
      <c r="H80" s="154" t="s">
        <v>51</v>
      </c>
      <c r="I80" s="154" t="s">
        <v>52</v>
      </c>
      <c r="J80" s="154" t="s">
        <v>51</v>
      </c>
      <c r="K80" s="154" t="s">
        <v>52</v>
      </c>
      <c r="L80" s="154" t="s">
        <v>51</v>
      </c>
      <c r="M80" s="154" t="s">
        <v>52</v>
      </c>
      <c r="N80" s="154" t="s">
        <v>51</v>
      </c>
      <c r="O80" s="154" t="s">
        <v>52</v>
      </c>
      <c r="P80" s="154" t="s">
        <v>51</v>
      </c>
      <c r="Q80" s="154" t="s">
        <v>52</v>
      </c>
      <c r="R80" s="154" t="s">
        <v>51</v>
      </c>
      <c r="S80" s="154" t="s">
        <v>52</v>
      </c>
      <c r="T80" s="154" t="s">
        <v>51</v>
      </c>
      <c r="U80" s="154" t="s">
        <v>52</v>
      </c>
      <c r="V80" s="154" t="s">
        <v>51</v>
      </c>
      <c r="W80" s="154" t="s">
        <v>52</v>
      </c>
      <c r="X80" s="154" t="s">
        <v>51</v>
      </c>
      <c r="Y80" s="154" t="s">
        <v>52</v>
      </c>
      <c r="Z80" s="154" t="s">
        <v>51</v>
      </c>
      <c r="AA80" s="154" t="s">
        <v>52</v>
      </c>
      <c r="AB80" s="15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55" t="s">
        <v>174</v>
      </c>
      <c r="B81" s="156">
        <f>Hipótesis!C37</f>
        <v>90000</v>
      </c>
      <c r="C81" s="190">
        <f>E81+G81+I81+K81+M81+O81+Q81+S81+U81+W81+Y81+AA81</f>
        <v>12</v>
      </c>
      <c r="D81" s="189">
        <f>B81*C81</f>
        <v>1080000</v>
      </c>
      <c r="E81" s="191">
        <v>1</v>
      </c>
      <c r="F81" s="189">
        <f>B81*E81</f>
        <v>90000</v>
      </c>
      <c r="G81" s="191">
        <v>1</v>
      </c>
      <c r="H81" s="189">
        <f>B81*G81</f>
        <v>90000</v>
      </c>
      <c r="I81" s="191">
        <v>1</v>
      </c>
      <c r="J81" s="189">
        <f t="shared" ref="J81" si="27">F81*I81</f>
        <v>90000</v>
      </c>
      <c r="K81" s="191">
        <v>1</v>
      </c>
      <c r="L81" s="189">
        <f>K81*B81</f>
        <v>90000</v>
      </c>
      <c r="M81" s="191">
        <v>1</v>
      </c>
      <c r="N81" s="189">
        <f>M81*B81</f>
        <v>90000</v>
      </c>
      <c r="O81" s="191">
        <v>1</v>
      </c>
      <c r="P81" s="189">
        <f>O81*B81</f>
        <v>90000</v>
      </c>
      <c r="Q81" s="191">
        <v>1</v>
      </c>
      <c r="R81" s="189">
        <f>$B$81*Q81</f>
        <v>90000</v>
      </c>
      <c r="S81" s="191">
        <v>1</v>
      </c>
      <c r="T81" s="189">
        <f>S81*B81</f>
        <v>90000</v>
      </c>
      <c r="U81" s="191">
        <v>1</v>
      </c>
      <c r="V81" s="189">
        <f t="shared" ref="V81:V83" si="28">R81*U81</f>
        <v>90000</v>
      </c>
      <c r="W81" s="191">
        <v>1</v>
      </c>
      <c r="X81" s="189">
        <f t="shared" ref="X81:X83" si="29">R81*W81</f>
        <v>90000</v>
      </c>
      <c r="Y81" s="191">
        <v>1</v>
      </c>
      <c r="Z81" s="189">
        <f>B81*Y81</f>
        <v>90000</v>
      </c>
      <c r="AA81" s="191">
        <v>1</v>
      </c>
      <c r="AB81" s="18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57" t="s">
        <v>175</v>
      </c>
      <c r="B82" s="158">
        <f>Hipótesis!C38</f>
        <v>100000</v>
      </c>
      <c r="C82" s="193">
        <f>E82+G82+I82+K82+M82+O82+Q82+S82+U82+W82+Y82+AA82</f>
        <v>18</v>
      </c>
      <c r="D82" s="192">
        <f>B82*C82</f>
        <v>1800000</v>
      </c>
      <c r="E82" s="193">
        <v>1</v>
      </c>
      <c r="F82" s="194">
        <f>B82*E82</f>
        <v>100000</v>
      </c>
      <c r="G82" s="193">
        <v>1</v>
      </c>
      <c r="H82" s="194">
        <f>B82*G82</f>
        <v>100000</v>
      </c>
      <c r="I82" s="193">
        <v>1</v>
      </c>
      <c r="J82" s="194">
        <f>B82*I82</f>
        <v>100000</v>
      </c>
      <c r="K82" s="193">
        <v>1</v>
      </c>
      <c r="L82" s="194">
        <f>K82*$B$82</f>
        <v>100000</v>
      </c>
      <c r="M82" s="193">
        <v>2</v>
      </c>
      <c r="N82" s="194">
        <f>M82*$B$82</f>
        <v>200000</v>
      </c>
      <c r="O82" s="193">
        <v>3</v>
      </c>
      <c r="P82" s="194">
        <f t="shared" ref="P82" si="30">O82*$B$82</f>
        <v>300000</v>
      </c>
      <c r="Q82" s="193">
        <v>1</v>
      </c>
      <c r="R82" s="194">
        <f>Q82*B82</f>
        <v>100000</v>
      </c>
      <c r="S82" s="193">
        <v>1</v>
      </c>
      <c r="T82" s="194">
        <f>B82*S82</f>
        <v>100000</v>
      </c>
      <c r="U82" s="193">
        <v>1</v>
      </c>
      <c r="V82" s="194">
        <f t="shared" si="28"/>
        <v>100000</v>
      </c>
      <c r="W82" s="193">
        <v>1</v>
      </c>
      <c r="X82" s="194">
        <f t="shared" si="29"/>
        <v>100000</v>
      </c>
      <c r="Y82" s="193">
        <v>2</v>
      </c>
      <c r="Z82" s="194">
        <f>$B$82*Y82</f>
        <v>200000</v>
      </c>
      <c r="AA82" s="193">
        <v>3</v>
      </c>
      <c r="AB82" s="19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59" t="s">
        <v>35</v>
      </c>
      <c r="B83" s="160">
        <f>Hipótesis!C39</f>
        <v>110000</v>
      </c>
      <c r="C83" s="196">
        <f>E83+G83+I83+K83+M83+O83+Q83+S83+U83+W83+Y83+AA83</f>
        <v>14</v>
      </c>
      <c r="D83" s="195">
        <f>B83*C83</f>
        <v>1540000</v>
      </c>
      <c r="E83" s="197">
        <v>1</v>
      </c>
      <c r="F83" s="198">
        <f>B83*E83</f>
        <v>110000</v>
      </c>
      <c r="G83" s="197">
        <v>1</v>
      </c>
      <c r="H83" s="198">
        <f>B83*G83</f>
        <v>110000</v>
      </c>
      <c r="I83" s="197">
        <v>1</v>
      </c>
      <c r="J83" s="198">
        <f>I83*$B$83</f>
        <v>110000</v>
      </c>
      <c r="K83" s="197">
        <v>1</v>
      </c>
      <c r="L83" s="198">
        <f>K83*$B$83</f>
        <v>110000</v>
      </c>
      <c r="M83" s="197">
        <v>1</v>
      </c>
      <c r="N83" s="198">
        <f>B83*M83</f>
        <v>110000</v>
      </c>
      <c r="O83" s="197">
        <v>2</v>
      </c>
      <c r="P83" s="198">
        <f>B83*O83</f>
        <v>220000</v>
      </c>
      <c r="Q83" s="197">
        <v>1</v>
      </c>
      <c r="R83" s="198">
        <f>$B$83*Q83</f>
        <v>110000</v>
      </c>
      <c r="S83" s="197">
        <v>1</v>
      </c>
      <c r="T83" s="198">
        <f>$B$83*S83</f>
        <v>110000</v>
      </c>
      <c r="U83" s="197">
        <v>1</v>
      </c>
      <c r="V83" s="198">
        <f t="shared" si="28"/>
        <v>110000</v>
      </c>
      <c r="W83" s="197">
        <v>1</v>
      </c>
      <c r="X83" s="198">
        <f t="shared" si="29"/>
        <v>110000</v>
      </c>
      <c r="Y83" s="197">
        <v>1</v>
      </c>
      <c r="Z83" s="198">
        <f t="shared" ref="Z83" si="31">V83*Y83</f>
        <v>110000</v>
      </c>
      <c r="AA83" s="197">
        <v>2</v>
      </c>
      <c r="AB83" s="19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86" t="s">
        <v>53</v>
      </c>
      <c r="B84" s="418"/>
      <c r="C84" s="224">
        <f t="shared" ref="C84:J84" si="33">SUM(C81:C83)</f>
        <v>44</v>
      </c>
      <c r="D84" s="225">
        <f t="shared" si="33"/>
        <v>4420000</v>
      </c>
      <c r="E84" s="224">
        <f t="shared" si="33"/>
        <v>3</v>
      </c>
      <c r="F84" s="225">
        <f t="shared" si="33"/>
        <v>300000</v>
      </c>
      <c r="G84" s="224">
        <f t="shared" si="33"/>
        <v>3</v>
      </c>
      <c r="H84" s="225">
        <f t="shared" si="33"/>
        <v>300000</v>
      </c>
      <c r="I84" s="224">
        <f t="shared" si="33"/>
        <v>3</v>
      </c>
      <c r="J84" s="225">
        <f t="shared" si="33"/>
        <v>300000</v>
      </c>
      <c r="K84" s="224">
        <f t="shared" ref="K84:Z84" si="34">SUM(K81:K83)</f>
        <v>3</v>
      </c>
      <c r="L84" s="225">
        <f t="shared" si="34"/>
        <v>300000</v>
      </c>
      <c r="M84" s="224">
        <f t="shared" si="34"/>
        <v>4</v>
      </c>
      <c r="N84" s="225">
        <f t="shared" si="34"/>
        <v>400000</v>
      </c>
      <c r="O84" s="224">
        <f t="shared" si="34"/>
        <v>6</v>
      </c>
      <c r="P84" s="225">
        <f t="shared" si="34"/>
        <v>610000</v>
      </c>
      <c r="Q84" s="224">
        <f t="shared" si="34"/>
        <v>3</v>
      </c>
      <c r="R84" s="225">
        <f t="shared" si="34"/>
        <v>300000</v>
      </c>
      <c r="S84" s="224">
        <f t="shared" si="34"/>
        <v>3</v>
      </c>
      <c r="T84" s="225">
        <f t="shared" si="34"/>
        <v>300000</v>
      </c>
      <c r="U84" s="224">
        <f t="shared" si="34"/>
        <v>3</v>
      </c>
      <c r="V84" s="225">
        <f t="shared" si="34"/>
        <v>300000</v>
      </c>
      <c r="W84" s="224">
        <f t="shared" si="34"/>
        <v>3</v>
      </c>
      <c r="X84" s="225">
        <f t="shared" si="34"/>
        <v>300000</v>
      </c>
      <c r="Y84" s="224">
        <f t="shared" si="34"/>
        <v>4</v>
      </c>
      <c r="Z84" s="225">
        <f t="shared" si="34"/>
        <v>400000</v>
      </c>
      <c r="AA84" s="224">
        <f>SUM(AA81:AA83)</f>
        <v>6</v>
      </c>
      <c r="AB84" s="22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505" t="s">
        <v>184</v>
      </c>
      <c r="B85" s="506"/>
      <c r="C85" s="507"/>
      <c r="D85" s="201">
        <f t="shared" ref="D85:D87" si="36">SUM(F85+H85+J85+L85+N85+P85+R85+T85+V85+X85+Z85+AB85)</f>
        <v>31230000</v>
      </c>
      <c r="E85" s="202">
        <f>E81+AA54</f>
        <v>23</v>
      </c>
      <c r="F85" s="203">
        <f>E85*$B$81</f>
        <v>2070000</v>
      </c>
      <c r="G85" s="202">
        <f>G81+E85</f>
        <v>24</v>
      </c>
      <c r="H85" s="203">
        <f t="shared" ref="H85" si="37">(G85+G81)*$B$81</f>
        <v>2250000</v>
      </c>
      <c r="I85" s="202">
        <f t="shared" ref="I85:I87" si="38">I81+G85</f>
        <v>25</v>
      </c>
      <c r="J85" s="203">
        <f t="shared" ref="J85" si="39">(I85+I81)*$B$81</f>
        <v>2340000</v>
      </c>
      <c r="K85" s="202">
        <f t="shared" ref="K85:K87" si="40">K81+I85</f>
        <v>26</v>
      </c>
      <c r="L85" s="203">
        <f t="shared" ref="L85" si="41">(K85+K81)*$B$81</f>
        <v>2430000</v>
      </c>
      <c r="M85" s="202">
        <f t="shared" ref="M85:M87" si="42">M81+K85</f>
        <v>27</v>
      </c>
      <c r="N85" s="203">
        <f>M85*$B$81</f>
        <v>2430000</v>
      </c>
      <c r="O85" s="202">
        <f t="shared" ref="O85" si="43">O81+M85</f>
        <v>28</v>
      </c>
      <c r="P85" s="203">
        <f t="shared" ref="P85:T85" si="44">(O85+O81)*$B$81</f>
        <v>2610000</v>
      </c>
      <c r="Q85" s="202">
        <f t="shared" ref="Q85" si="45">Q81+O85</f>
        <v>29</v>
      </c>
      <c r="R85" s="203">
        <f t="shared" ref="R85" si="46">Q85*$B$81</f>
        <v>2610000</v>
      </c>
      <c r="S85" s="202">
        <f t="shared" ref="S85" si="47">S81+Q85</f>
        <v>30</v>
      </c>
      <c r="T85" s="203">
        <f t="shared" si="44"/>
        <v>2790000</v>
      </c>
      <c r="U85" s="202">
        <f t="shared" ref="U85" si="48">U81+S85</f>
        <v>31</v>
      </c>
      <c r="V85" s="203">
        <f t="shared" ref="V85" si="49">U85*$B$81</f>
        <v>2790000</v>
      </c>
      <c r="W85" s="202">
        <f t="shared" ref="W85" si="50">W81+U85</f>
        <v>32</v>
      </c>
      <c r="X85" s="203">
        <f>W85*$B$81</f>
        <v>2880000</v>
      </c>
      <c r="Y85" s="202">
        <f t="shared" ref="Y85" si="51">Y81+W85</f>
        <v>33</v>
      </c>
      <c r="Z85" s="203">
        <f t="shared" ref="Z85" si="52">Y85*$B$81</f>
        <v>2970000</v>
      </c>
      <c r="AA85" s="202">
        <f t="shared" ref="AA85" si="53">AA81+Y85</f>
        <v>34</v>
      </c>
      <c r="AB85" s="203">
        <f>(AA85)*$B$81</f>
        <v>3060000</v>
      </c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</row>
    <row r="86" spans="1:43" ht="16.5" thickBot="1" x14ac:dyDescent="0.3">
      <c r="A86" s="508" t="s">
        <v>185</v>
      </c>
      <c r="B86" s="509"/>
      <c r="C86" s="510"/>
      <c r="D86" s="205">
        <f t="shared" si="36"/>
        <v>56000000</v>
      </c>
      <c r="E86" s="206">
        <f>E82+AA55</f>
        <v>39</v>
      </c>
      <c r="F86" s="207">
        <f>E86*B82</f>
        <v>3900000</v>
      </c>
      <c r="G86" s="206">
        <f>G82+E86</f>
        <v>40</v>
      </c>
      <c r="H86" s="207">
        <f>(G86)*$B$82</f>
        <v>4000000</v>
      </c>
      <c r="I86" s="206">
        <f t="shared" si="38"/>
        <v>41</v>
      </c>
      <c r="J86" s="207">
        <f>(I86)*$B$82</f>
        <v>4100000</v>
      </c>
      <c r="K86" s="206">
        <f t="shared" si="40"/>
        <v>42</v>
      </c>
      <c r="L86" s="207">
        <f>(K86)*$B$82</f>
        <v>4200000</v>
      </c>
      <c r="M86" s="206">
        <f t="shared" si="42"/>
        <v>44</v>
      </c>
      <c r="N86" s="207">
        <f>(M86)*$B$82</f>
        <v>4400000</v>
      </c>
      <c r="O86" s="206">
        <f t="shared" ref="O86:O87" si="54">O82+M86</f>
        <v>47</v>
      </c>
      <c r="P86" s="207">
        <f>(O86)*$B$82</f>
        <v>4700000</v>
      </c>
      <c r="Q86" s="206">
        <f t="shared" ref="Q86:Q87" si="55">Q82+O86</f>
        <v>48</v>
      </c>
      <c r="R86" s="207">
        <f>(Q86)*$B$82</f>
        <v>4800000</v>
      </c>
      <c r="S86" s="206">
        <f t="shared" ref="S86:S87" si="56">S82+Q86</f>
        <v>49</v>
      </c>
      <c r="T86" s="207">
        <f>(S86)*$B$82</f>
        <v>4900000</v>
      </c>
      <c r="U86" s="206">
        <f t="shared" ref="U86:U87" si="57">U82+S86</f>
        <v>50</v>
      </c>
      <c r="V86" s="207">
        <f>(U86)*$B$82</f>
        <v>5000000</v>
      </c>
      <c r="W86" s="206">
        <f t="shared" ref="W86:W87" si="58">W82+U86</f>
        <v>51</v>
      </c>
      <c r="X86" s="207">
        <f>(W86)*$B$82</f>
        <v>5100000</v>
      </c>
      <c r="Y86" s="206">
        <f t="shared" ref="Y86:Y87" si="59">Y82+W86</f>
        <v>53</v>
      </c>
      <c r="Z86" s="207">
        <f>(Y86)*$B$82</f>
        <v>5300000</v>
      </c>
      <c r="AA86" s="206">
        <f t="shared" ref="AA86:AA87" si="60">AA82+Y86</f>
        <v>56</v>
      </c>
      <c r="AB86" s="207">
        <f>(AA86)*$B$82</f>
        <v>5600000</v>
      </c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</row>
    <row r="87" spans="1:43" ht="16.5" thickBot="1" x14ac:dyDescent="0.3">
      <c r="A87" s="511" t="s">
        <v>186</v>
      </c>
      <c r="B87" s="512"/>
      <c r="C87" s="513"/>
      <c r="D87" s="209">
        <f t="shared" si="36"/>
        <v>46420000</v>
      </c>
      <c r="E87" s="210">
        <f>E83+AA56</f>
        <v>29</v>
      </c>
      <c r="F87" s="211">
        <f>E87*$B$83</f>
        <v>3190000</v>
      </c>
      <c r="G87" s="210">
        <f>G83+E87</f>
        <v>30</v>
      </c>
      <c r="H87" s="211">
        <f>G87*$B$83</f>
        <v>3300000</v>
      </c>
      <c r="I87" s="210">
        <f t="shared" si="38"/>
        <v>31</v>
      </c>
      <c r="J87" s="211">
        <f t="shared" ref="J87" si="61">I87*$B$83</f>
        <v>3410000</v>
      </c>
      <c r="K87" s="210">
        <f t="shared" si="40"/>
        <v>32</v>
      </c>
      <c r="L87" s="211">
        <f t="shared" ref="L87" si="62">K87*$B$83</f>
        <v>3520000</v>
      </c>
      <c r="M87" s="210">
        <f t="shared" si="42"/>
        <v>33</v>
      </c>
      <c r="N87" s="211">
        <f t="shared" ref="N87" si="63">M87*$B$83</f>
        <v>3630000</v>
      </c>
      <c r="O87" s="210">
        <f t="shared" si="54"/>
        <v>35</v>
      </c>
      <c r="P87" s="211">
        <f t="shared" ref="P87" si="64">O87*$B$83</f>
        <v>3850000</v>
      </c>
      <c r="Q87" s="210">
        <f t="shared" si="55"/>
        <v>36</v>
      </c>
      <c r="R87" s="211">
        <f t="shared" ref="R87" si="65">Q87*$B$83</f>
        <v>3960000</v>
      </c>
      <c r="S87" s="210">
        <f t="shared" si="56"/>
        <v>37</v>
      </c>
      <c r="T87" s="211">
        <f t="shared" ref="T87" si="66">S87*$B$83</f>
        <v>4070000</v>
      </c>
      <c r="U87" s="210">
        <f t="shared" si="57"/>
        <v>38</v>
      </c>
      <c r="V87" s="211">
        <f t="shared" ref="V87" si="67">U87*$B$83</f>
        <v>4180000</v>
      </c>
      <c r="W87" s="210">
        <f t="shared" si="58"/>
        <v>39</v>
      </c>
      <c r="X87" s="211">
        <f t="shared" ref="X87" si="68">W87*$B$83</f>
        <v>4290000</v>
      </c>
      <c r="Y87" s="210">
        <f t="shared" si="59"/>
        <v>40</v>
      </c>
      <c r="Z87" s="211">
        <f t="shared" ref="Z87" si="69">Y87*$B$83</f>
        <v>4400000</v>
      </c>
      <c r="AA87" s="210">
        <f t="shared" si="60"/>
        <v>42</v>
      </c>
      <c r="AB87" s="211">
        <f t="shared" ref="AB87" si="70">AA87*$B$83</f>
        <v>4620000</v>
      </c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</row>
    <row r="88" spans="1:43" ht="15.75" customHeight="1" thickBot="1" x14ac:dyDescent="0.3">
      <c r="A88" s="466" t="s">
        <v>156</v>
      </c>
      <c r="B88" s="467"/>
      <c r="C88" s="213">
        <f>C84+C57</f>
        <v>132</v>
      </c>
      <c r="D88" s="214">
        <f>SUM(F88+H88+J88+L88+N88+P88+R88+T88+V88+X88+Z88+AB88)</f>
        <v>133650000</v>
      </c>
      <c r="E88" s="215">
        <f t="shared" ref="E88:Z88" si="71">SUM(E85:E87)</f>
        <v>91</v>
      </c>
      <c r="F88" s="216">
        <f t="shared" si="71"/>
        <v>9160000</v>
      </c>
      <c r="G88" s="215">
        <f t="shared" si="71"/>
        <v>94</v>
      </c>
      <c r="H88" s="216">
        <f t="shared" si="71"/>
        <v>9550000</v>
      </c>
      <c r="I88" s="215">
        <f t="shared" si="71"/>
        <v>97</v>
      </c>
      <c r="J88" s="216">
        <f t="shared" si="71"/>
        <v>9850000</v>
      </c>
      <c r="K88" s="215">
        <f t="shared" si="71"/>
        <v>100</v>
      </c>
      <c r="L88" s="216">
        <f t="shared" si="71"/>
        <v>10150000</v>
      </c>
      <c r="M88" s="215">
        <f t="shared" si="71"/>
        <v>104</v>
      </c>
      <c r="N88" s="216">
        <f t="shared" si="71"/>
        <v>10460000</v>
      </c>
      <c r="O88" s="215">
        <f t="shared" si="71"/>
        <v>110</v>
      </c>
      <c r="P88" s="216">
        <f t="shared" si="71"/>
        <v>11160000</v>
      </c>
      <c r="Q88" s="215">
        <f t="shared" si="71"/>
        <v>113</v>
      </c>
      <c r="R88" s="216">
        <f t="shared" si="71"/>
        <v>11370000</v>
      </c>
      <c r="S88" s="215">
        <f t="shared" si="71"/>
        <v>116</v>
      </c>
      <c r="T88" s="216">
        <f t="shared" si="71"/>
        <v>11760000</v>
      </c>
      <c r="U88" s="215">
        <f t="shared" si="71"/>
        <v>119</v>
      </c>
      <c r="V88" s="216">
        <f t="shared" si="71"/>
        <v>11970000</v>
      </c>
      <c r="W88" s="215">
        <f t="shared" si="71"/>
        <v>122</v>
      </c>
      <c r="X88" s="216">
        <f t="shared" si="71"/>
        <v>12270000</v>
      </c>
      <c r="Y88" s="215">
        <f t="shared" si="71"/>
        <v>126</v>
      </c>
      <c r="Z88" s="216">
        <f t="shared" si="71"/>
        <v>12670000</v>
      </c>
      <c r="AA88" s="215">
        <f t="shared" ref="AA88" si="72">SUM(AA85:AA87)</f>
        <v>132</v>
      </c>
      <c r="AB88" s="216">
        <f>SUM(AB85:AB87)</f>
        <v>13280000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3"/>
      <c r="E89" s="23"/>
      <c r="F89" s="2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421" t="s">
        <v>182</v>
      </c>
      <c r="B90" s="421"/>
      <c r="C90" s="421"/>
      <c r="D90" s="421"/>
      <c r="E90" s="421"/>
      <c r="F90" s="421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21"/>
      <c r="T90" s="421"/>
      <c r="U90" s="421"/>
      <c r="V90" s="421"/>
      <c r="W90" s="421"/>
      <c r="X90" s="421"/>
      <c r="Y90" s="421"/>
      <c r="Z90" s="421"/>
      <c r="AA90" s="421"/>
      <c r="AB90" s="42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39" t="s">
        <v>54</v>
      </c>
      <c r="B91" s="474" t="s">
        <v>201</v>
      </c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  <c r="S91" s="474"/>
      <c r="T91" s="474"/>
      <c r="U91" s="474"/>
      <c r="V91" s="474"/>
      <c r="W91" s="474"/>
      <c r="X91" s="474"/>
      <c r="Y91" s="474"/>
      <c r="Z91" s="474"/>
      <c r="AA91" s="474"/>
      <c r="AB91" s="474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417" t="s">
        <v>55</v>
      </c>
      <c r="B92" s="418"/>
      <c r="C92" s="473" t="s">
        <v>219</v>
      </c>
      <c r="D92" s="418"/>
      <c r="E92" s="419" t="s">
        <v>220</v>
      </c>
      <c r="F92" s="418"/>
      <c r="G92" s="418"/>
      <c r="H92" s="418"/>
      <c r="I92" s="418"/>
      <c r="J92" s="418"/>
      <c r="K92" s="418"/>
      <c r="L92" s="418"/>
      <c r="M92" s="418"/>
      <c r="N92" s="418"/>
      <c r="O92" s="418"/>
      <c r="P92" s="418"/>
      <c r="Q92" s="418"/>
      <c r="R92" s="418"/>
      <c r="S92" s="418"/>
      <c r="T92" s="418"/>
      <c r="U92" s="418"/>
      <c r="V92" s="418"/>
      <c r="W92" s="418"/>
      <c r="X92" s="418"/>
      <c r="Y92" s="418"/>
      <c r="Z92" s="418"/>
      <c r="AA92" s="418"/>
      <c r="AB92" s="418"/>
    </row>
    <row r="93" spans="1:43" ht="15.75" customHeight="1" thickBot="1" x14ac:dyDescent="0.3">
      <c r="A93" s="418"/>
      <c r="B93" s="418"/>
      <c r="C93" s="141" t="s">
        <v>52</v>
      </c>
      <c r="D93" s="141" t="s">
        <v>55</v>
      </c>
      <c r="E93" s="448" t="s">
        <v>39</v>
      </c>
      <c r="F93" s="418"/>
      <c r="G93" s="448" t="s">
        <v>40</v>
      </c>
      <c r="H93" s="418"/>
      <c r="I93" s="448" t="s">
        <v>41</v>
      </c>
      <c r="J93" s="418"/>
      <c r="K93" s="448" t="s">
        <v>42</v>
      </c>
      <c r="L93" s="418"/>
      <c r="M93" s="448" t="s">
        <v>43</v>
      </c>
      <c r="N93" s="418"/>
      <c r="O93" s="448" t="s">
        <v>44</v>
      </c>
      <c r="P93" s="418"/>
      <c r="Q93" s="448" t="s">
        <v>45</v>
      </c>
      <c r="R93" s="418"/>
      <c r="S93" s="448" t="s">
        <v>46</v>
      </c>
      <c r="T93" s="418"/>
      <c r="U93" s="448" t="s">
        <v>47</v>
      </c>
      <c r="V93" s="418"/>
      <c r="W93" s="448" t="s">
        <v>48</v>
      </c>
      <c r="X93" s="418"/>
      <c r="Y93" s="448" t="s">
        <v>49</v>
      </c>
      <c r="Z93" s="418"/>
      <c r="AA93" s="448" t="s">
        <v>50</v>
      </c>
      <c r="AB93" s="418"/>
    </row>
    <row r="94" spans="1:43" ht="15.75" customHeight="1" thickBot="1" x14ac:dyDescent="0.3">
      <c r="A94" s="501" t="s">
        <v>57</v>
      </c>
      <c r="B94" s="502"/>
      <c r="C94" s="226">
        <f>'Anexo capacidad operativa'!A42</f>
        <v>3</v>
      </c>
      <c r="D94" s="227" t="str">
        <f>'Anexo capacidad operativa'!B42</f>
        <v>Desarrollador</v>
      </c>
      <c r="E94" s="469" t="s">
        <v>58</v>
      </c>
      <c r="F94" s="470"/>
      <c r="G94" s="469" t="s">
        <v>58</v>
      </c>
      <c r="H94" s="470"/>
      <c r="I94" s="469" t="s">
        <v>58</v>
      </c>
      <c r="J94" s="470"/>
      <c r="K94" s="469" t="s">
        <v>58</v>
      </c>
      <c r="L94" s="470"/>
      <c r="M94" s="469" t="s">
        <v>58</v>
      </c>
      <c r="N94" s="470"/>
      <c r="O94" s="469" t="s">
        <v>58</v>
      </c>
      <c r="P94" s="470"/>
      <c r="Q94" s="469" t="s">
        <v>58</v>
      </c>
      <c r="R94" s="470"/>
      <c r="S94" s="469" t="s">
        <v>58</v>
      </c>
      <c r="T94" s="470"/>
      <c r="U94" s="469" t="s">
        <v>58</v>
      </c>
      <c r="V94" s="470"/>
      <c r="W94" s="469" t="s">
        <v>58</v>
      </c>
      <c r="X94" s="470"/>
      <c r="Y94" s="469" t="s">
        <v>58</v>
      </c>
      <c r="Z94" s="470"/>
      <c r="AA94" s="469" t="s">
        <v>58</v>
      </c>
      <c r="AB94" s="470"/>
    </row>
    <row r="95" spans="1:43" ht="15.75" customHeight="1" thickBot="1" x14ac:dyDescent="0.3">
      <c r="A95" s="503"/>
      <c r="B95" s="504"/>
      <c r="C95" s="226">
        <f>'Anexo capacidad operativa'!A43</f>
        <v>1</v>
      </c>
      <c r="D95" s="228" t="str">
        <f>'Anexo capacidad operativa'!B43</f>
        <v>Gerente de servicios</v>
      </c>
      <c r="E95" s="469" t="s">
        <v>58</v>
      </c>
      <c r="F95" s="470"/>
      <c r="G95" s="469" t="s">
        <v>58</v>
      </c>
      <c r="H95" s="470"/>
      <c r="I95" s="469" t="s">
        <v>58</v>
      </c>
      <c r="J95" s="470"/>
      <c r="K95" s="469" t="s">
        <v>58</v>
      </c>
      <c r="L95" s="470"/>
      <c r="M95" s="469" t="s">
        <v>58</v>
      </c>
      <c r="N95" s="470"/>
      <c r="O95" s="469" t="s">
        <v>58</v>
      </c>
      <c r="P95" s="470"/>
      <c r="Q95" s="469" t="s">
        <v>58</v>
      </c>
      <c r="R95" s="470"/>
      <c r="S95" s="469" t="s">
        <v>58</v>
      </c>
      <c r="T95" s="470"/>
      <c r="U95" s="469" t="s">
        <v>58</v>
      </c>
      <c r="V95" s="470"/>
      <c r="W95" s="469" t="s">
        <v>58</v>
      </c>
      <c r="X95" s="470"/>
      <c r="Y95" s="469" t="s">
        <v>58</v>
      </c>
      <c r="Z95" s="470"/>
      <c r="AA95" s="469" t="s">
        <v>58</v>
      </c>
      <c r="AB95" s="470"/>
    </row>
    <row r="96" spans="1:43" ht="15.75" customHeight="1" thickBot="1" x14ac:dyDescent="0.3">
      <c r="A96" s="503"/>
      <c r="B96" s="504"/>
      <c r="C96" s="226">
        <f>'Anexo capacidad operativa'!A44</f>
        <v>1</v>
      </c>
      <c r="D96" s="228" t="str">
        <f>'Anexo capacidad operativa'!B44</f>
        <v>Empleado de tecnologia</v>
      </c>
      <c r="E96" s="469" t="s">
        <v>58</v>
      </c>
      <c r="F96" s="470"/>
      <c r="G96" s="469" t="s">
        <v>58</v>
      </c>
      <c r="H96" s="470"/>
      <c r="I96" s="469" t="s">
        <v>58</v>
      </c>
      <c r="J96" s="470"/>
      <c r="K96" s="469" t="s">
        <v>58</v>
      </c>
      <c r="L96" s="470"/>
      <c r="M96" s="469" t="s">
        <v>58</v>
      </c>
      <c r="N96" s="470"/>
      <c r="O96" s="469" t="s">
        <v>58</v>
      </c>
      <c r="P96" s="470"/>
      <c r="Q96" s="469" t="s">
        <v>58</v>
      </c>
      <c r="R96" s="470"/>
      <c r="S96" s="469" t="s">
        <v>58</v>
      </c>
      <c r="T96" s="470"/>
      <c r="U96" s="469" t="s">
        <v>58</v>
      </c>
      <c r="V96" s="470"/>
      <c r="W96" s="469" t="s">
        <v>58</v>
      </c>
      <c r="X96" s="470"/>
      <c r="Y96" s="469" t="s">
        <v>58</v>
      </c>
      <c r="Z96" s="470"/>
      <c r="AA96" s="469" t="s">
        <v>58</v>
      </c>
      <c r="AB96" s="470"/>
    </row>
    <row r="97" spans="1:28" ht="15.75" customHeight="1" thickBot="1" x14ac:dyDescent="0.3">
      <c r="A97" s="503"/>
      <c r="B97" s="504"/>
      <c r="C97" s="364">
        <f>'Anexo capacidad operativa'!A45</f>
        <v>3</v>
      </c>
      <c r="D97" s="228" t="str">
        <f>'Anexo capacidad operativa'!B45</f>
        <v>Tester</v>
      </c>
      <c r="E97" s="469" t="s">
        <v>58</v>
      </c>
      <c r="F97" s="470"/>
      <c r="G97" s="469" t="s">
        <v>58</v>
      </c>
      <c r="H97" s="470"/>
      <c r="I97" s="469" t="s">
        <v>58</v>
      </c>
      <c r="J97" s="470"/>
      <c r="K97" s="469" t="s">
        <v>58</v>
      </c>
      <c r="L97" s="470"/>
      <c r="M97" s="469" t="s">
        <v>58</v>
      </c>
      <c r="N97" s="470"/>
      <c r="O97" s="431" t="s">
        <v>157</v>
      </c>
      <c r="P97" s="432"/>
      <c r="Q97" s="469" t="s">
        <v>58</v>
      </c>
      <c r="R97" s="470"/>
      <c r="S97" s="469" t="s">
        <v>58</v>
      </c>
      <c r="T97" s="470"/>
      <c r="U97" s="469" t="s">
        <v>58</v>
      </c>
      <c r="V97" s="470"/>
      <c r="W97" s="469" t="s">
        <v>58</v>
      </c>
      <c r="X97" s="470"/>
      <c r="Y97" s="469" t="s">
        <v>58</v>
      </c>
      <c r="Z97" s="470"/>
      <c r="AA97" s="469" t="s">
        <v>58</v>
      </c>
      <c r="AB97" s="470"/>
    </row>
    <row r="98" spans="1:28" ht="15.75" customHeight="1" thickBot="1" x14ac:dyDescent="0.3">
      <c r="A98" s="503"/>
      <c r="B98" s="504"/>
      <c r="C98" s="226">
        <f>'Anexo capacidad operativa'!A46</f>
        <v>3</v>
      </c>
      <c r="D98" s="228" t="str">
        <f>'Anexo capacidad operativa'!B46</f>
        <v>Empleado administrativo de ventas</v>
      </c>
      <c r="E98" s="469" t="s">
        <v>58</v>
      </c>
      <c r="F98" s="469"/>
      <c r="G98" s="469" t="s">
        <v>58</v>
      </c>
      <c r="H98" s="469"/>
      <c r="I98" s="469" t="s">
        <v>58</v>
      </c>
      <c r="J98" s="469"/>
      <c r="K98" s="469" t="s">
        <v>58</v>
      </c>
      <c r="L98" s="469"/>
      <c r="M98" s="469" t="s">
        <v>58</v>
      </c>
      <c r="N98" s="469"/>
      <c r="O98" s="469" t="s">
        <v>58</v>
      </c>
      <c r="P98" s="469"/>
      <c r="Q98" s="469" t="s">
        <v>58</v>
      </c>
      <c r="R98" s="469"/>
      <c r="S98" s="469" t="s">
        <v>58</v>
      </c>
      <c r="T98" s="469"/>
      <c r="U98" s="469" t="s">
        <v>58</v>
      </c>
      <c r="V98" s="469"/>
      <c r="W98" s="469" t="s">
        <v>58</v>
      </c>
      <c r="X98" s="469"/>
      <c r="Y98" s="469" t="s">
        <v>58</v>
      </c>
      <c r="Z98" s="469"/>
      <c r="AA98" s="469" t="s">
        <v>58</v>
      </c>
      <c r="AB98" s="469"/>
    </row>
    <row r="99" spans="1:28" ht="15.75" thickBot="1" x14ac:dyDescent="0.3">
      <c r="A99" s="420" t="s">
        <v>59</v>
      </c>
      <c r="B99" s="418"/>
      <c r="C99" s="364">
        <v>6</v>
      </c>
      <c r="D99" s="228" t="s">
        <v>60</v>
      </c>
      <c r="E99" s="469" t="s">
        <v>58</v>
      </c>
      <c r="F99" s="470"/>
      <c r="G99" s="469" t="s">
        <v>58</v>
      </c>
      <c r="H99" s="470"/>
      <c r="I99" s="469" t="s">
        <v>58</v>
      </c>
      <c r="J99" s="470"/>
      <c r="K99" s="469" t="s">
        <v>58</v>
      </c>
      <c r="L99" s="470"/>
      <c r="M99" s="431" t="s">
        <v>157</v>
      </c>
      <c r="N99" s="432"/>
      <c r="O99" s="471" t="s">
        <v>58</v>
      </c>
      <c r="P99" s="472"/>
      <c r="Q99" s="471" t="s">
        <v>58</v>
      </c>
      <c r="R99" s="472"/>
      <c r="S99" s="469" t="s">
        <v>58</v>
      </c>
      <c r="T99" s="470"/>
      <c r="U99" s="469" t="s">
        <v>58</v>
      </c>
      <c r="V99" s="470"/>
      <c r="W99" s="469" t="s">
        <v>58</v>
      </c>
      <c r="X99" s="470"/>
      <c r="Y99" s="431" t="s">
        <v>157</v>
      </c>
      <c r="Z99" s="432"/>
      <c r="AA99" s="469" t="s">
        <v>58</v>
      </c>
      <c r="AB99" s="470"/>
    </row>
    <row r="100" spans="1:28" ht="15.75" thickBot="1" x14ac:dyDescent="0.3">
      <c r="A100" s="418"/>
      <c r="B100" s="418"/>
      <c r="C100" s="364">
        <v>6</v>
      </c>
      <c r="D100" s="228" t="s">
        <v>61</v>
      </c>
      <c r="E100" s="469" t="s">
        <v>58</v>
      </c>
      <c r="F100" s="470"/>
      <c r="G100" s="469" t="s">
        <v>58</v>
      </c>
      <c r="H100" s="470"/>
      <c r="I100" s="469" t="s">
        <v>58</v>
      </c>
      <c r="J100" s="470"/>
      <c r="K100" s="469" t="s">
        <v>58</v>
      </c>
      <c r="L100" s="470"/>
      <c r="M100" s="444" t="s">
        <v>157</v>
      </c>
      <c r="N100" s="444"/>
      <c r="O100" s="471" t="s">
        <v>58</v>
      </c>
      <c r="P100" s="472"/>
      <c r="Q100" s="471" t="s">
        <v>58</v>
      </c>
      <c r="R100" s="472"/>
      <c r="S100" s="469" t="s">
        <v>58</v>
      </c>
      <c r="T100" s="470"/>
      <c r="U100" s="469" t="s">
        <v>58</v>
      </c>
      <c r="V100" s="470"/>
      <c r="W100" s="469" t="s">
        <v>58</v>
      </c>
      <c r="X100" s="470"/>
      <c r="Y100" s="431" t="s">
        <v>157</v>
      </c>
      <c r="Z100" s="432"/>
      <c r="AA100" s="469" t="s">
        <v>58</v>
      </c>
      <c r="AB100" s="470"/>
    </row>
    <row r="101" spans="1:28" ht="15.75" thickBot="1" x14ac:dyDescent="0.3">
      <c r="A101" s="418"/>
      <c r="B101" s="418"/>
      <c r="C101" s="364">
        <v>2</v>
      </c>
      <c r="D101" s="228" t="s">
        <v>62</v>
      </c>
      <c r="E101" s="469" t="s">
        <v>58</v>
      </c>
      <c r="F101" s="470"/>
      <c r="G101" s="469" t="s">
        <v>58</v>
      </c>
      <c r="H101" s="470"/>
      <c r="I101" s="469" t="s">
        <v>58</v>
      </c>
      <c r="J101" s="470"/>
      <c r="K101" s="469" t="s">
        <v>58</v>
      </c>
      <c r="L101" s="470"/>
      <c r="M101" s="469" t="s">
        <v>58</v>
      </c>
      <c r="N101" s="470"/>
      <c r="O101" s="444" t="s">
        <v>157</v>
      </c>
      <c r="P101" s="444"/>
      <c r="Q101" s="469" t="s">
        <v>58</v>
      </c>
      <c r="R101" s="470"/>
      <c r="S101" s="469" t="s">
        <v>58</v>
      </c>
      <c r="T101" s="470"/>
      <c r="U101" s="469" t="s">
        <v>58</v>
      </c>
      <c r="V101" s="470"/>
      <c r="W101" s="469" t="s">
        <v>58</v>
      </c>
      <c r="X101" s="470"/>
      <c r="Y101" s="428" t="s">
        <v>58</v>
      </c>
      <c r="Z101" s="429"/>
      <c r="AA101" s="469" t="s">
        <v>58</v>
      </c>
      <c r="AB101" s="470"/>
    </row>
    <row r="102" spans="1:28" ht="15.75" thickBot="1" x14ac:dyDescent="0.3">
      <c r="A102" s="418"/>
      <c r="B102" s="418"/>
      <c r="C102" s="364">
        <v>6</v>
      </c>
      <c r="D102" s="228" t="s">
        <v>63</v>
      </c>
      <c r="E102" s="469" t="s">
        <v>58</v>
      </c>
      <c r="F102" s="470"/>
      <c r="G102" s="469" t="s">
        <v>58</v>
      </c>
      <c r="H102" s="470"/>
      <c r="I102" s="469" t="s">
        <v>58</v>
      </c>
      <c r="J102" s="470"/>
      <c r="K102" s="469" t="s">
        <v>58</v>
      </c>
      <c r="L102" s="470"/>
      <c r="M102" s="431" t="s">
        <v>157</v>
      </c>
      <c r="N102" s="432"/>
      <c r="O102" s="469" t="s">
        <v>58</v>
      </c>
      <c r="P102" s="470"/>
      <c r="Q102" s="469" t="s">
        <v>58</v>
      </c>
      <c r="R102" s="470"/>
      <c r="S102" s="469" t="s">
        <v>58</v>
      </c>
      <c r="T102" s="470"/>
      <c r="U102" s="469" t="s">
        <v>58</v>
      </c>
      <c r="V102" s="470"/>
      <c r="W102" s="469" t="s">
        <v>58</v>
      </c>
      <c r="X102" s="470"/>
      <c r="Y102" s="431" t="s">
        <v>157</v>
      </c>
      <c r="Z102" s="432"/>
      <c r="AA102" s="469" t="s">
        <v>58</v>
      </c>
      <c r="AB102" s="470"/>
    </row>
    <row r="103" spans="1:28" ht="15.75" thickBot="1" x14ac:dyDescent="0.3">
      <c r="A103" s="418"/>
      <c r="B103" s="418"/>
      <c r="C103" s="364">
        <v>3</v>
      </c>
      <c r="D103" s="228" t="s">
        <v>64</v>
      </c>
      <c r="E103" s="469" t="s">
        <v>58</v>
      </c>
      <c r="F103" s="470"/>
      <c r="G103" s="469" t="s">
        <v>58</v>
      </c>
      <c r="H103" s="470"/>
      <c r="I103" s="469" t="s">
        <v>58</v>
      </c>
      <c r="J103" s="470"/>
      <c r="K103" s="469" t="s">
        <v>58</v>
      </c>
      <c r="L103" s="470"/>
      <c r="M103" s="431" t="s">
        <v>157</v>
      </c>
      <c r="N103" s="432"/>
      <c r="O103" s="469" t="s">
        <v>58</v>
      </c>
      <c r="P103" s="470"/>
      <c r="Q103" s="469" t="s">
        <v>58</v>
      </c>
      <c r="R103" s="470"/>
      <c r="S103" s="469" t="s">
        <v>58</v>
      </c>
      <c r="T103" s="470"/>
      <c r="U103" s="469" t="s">
        <v>58</v>
      </c>
      <c r="V103" s="470"/>
      <c r="W103" s="469" t="s">
        <v>58</v>
      </c>
      <c r="X103" s="470"/>
      <c r="Y103" s="428" t="s">
        <v>58</v>
      </c>
      <c r="Z103" s="429"/>
      <c r="AA103" s="469" t="s">
        <v>58</v>
      </c>
      <c r="AB103" s="470"/>
    </row>
    <row r="104" spans="1:28" ht="15.75" thickBot="1" x14ac:dyDescent="0.3">
      <c r="A104" s="418"/>
      <c r="B104" s="418"/>
      <c r="C104" s="364">
        <v>6</v>
      </c>
      <c r="D104" s="228" t="s">
        <v>65</v>
      </c>
      <c r="E104" s="469" t="s">
        <v>58</v>
      </c>
      <c r="F104" s="470"/>
      <c r="G104" s="469" t="s">
        <v>58</v>
      </c>
      <c r="H104" s="470"/>
      <c r="I104" s="469" t="s">
        <v>58</v>
      </c>
      <c r="J104" s="470"/>
      <c r="K104" s="469" t="s">
        <v>58</v>
      </c>
      <c r="L104" s="470"/>
      <c r="M104" s="431" t="s">
        <v>157</v>
      </c>
      <c r="N104" s="432"/>
      <c r="O104" s="469" t="s">
        <v>58</v>
      </c>
      <c r="P104" s="470"/>
      <c r="Q104" s="469" t="s">
        <v>58</v>
      </c>
      <c r="R104" s="470"/>
      <c r="S104" s="469" t="s">
        <v>58</v>
      </c>
      <c r="T104" s="470"/>
      <c r="U104" s="469" t="s">
        <v>58</v>
      </c>
      <c r="V104" s="470"/>
      <c r="W104" s="469" t="s">
        <v>58</v>
      </c>
      <c r="X104" s="470"/>
      <c r="Y104" s="431" t="s">
        <v>157</v>
      </c>
      <c r="Z104" s="432"/>
      <c r="AA104" s="469" t="s">
        <v>58</v>
      </c>
      <c r="AB104" s="470"/>
    </row>
    <row r="105" spans="1:28" ht="25.5" customHeight="1" thickBot="1" x14ac:dyDescent="0.25">
      <c r="A105" s="420" t="s">
        <v>66</v>
      </c>
      <c r="B105" s="420"/>
      <c r="C105" s="364">
        <f>SUM(C94:C98)</f>
        <v>11</v>
      </c>
      <c r="D105" s="229" t="s">
        <v>162</v>
      </c>
      <c r="E105" s="469" t="s">
        <v>58</v>
      </c>
      <c r="F105" s="470"/>
      <c r="G105" s="469" t="s">
        <v>58</v>
      </c>
      <c r="H105" s="470"/>
      <c r="I105" s="469" t="s">
        <v>58</v>
      </c>
      <c r="J105" s="470"/>
      <c r="K105" s="469" t="s">
        <v>58</v>
      </c>
      <c r="L105" s="470"/>
      <c r="M105" s="469" t="s">
        <v>58</v>
      </c>
      <c r="N105" s="470"/>
      <c r="O105" s="444" t="s">
        <v>157</v>
      </c>
      <c r="P105" s="444"/>
      <c r="Q105" s="469" t="s">
        <v>58</v>
      </c>
      <c r="R105" s="470"/>
      <c r="S105" s="469" t="s">
        <v>58</v>
      </c>
      <c r="T105" s="470"/>
      <c r="U105" s="469" t="s">
        <v>58</v>
      </c>
      <c r="V105" s="470"/>
      <c r="W105" s="469" t="s">
        <v>58</v>
      </c>
      <c r="X105" s="470"/>
      <c r="Y105" s="469" t="s">
        <v>58</v>
      </c>
      <c r="Z105" s="470"/>
      <c r="AA105" s="469" t="s">
        <v>58</v>
      </c>
      <c r="AB105" s="470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C79:C80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K96:L96"/>
    <mergeCell ref="M96:N96"/>
    <mergeCell ref="O96:P96"/>
    <mergeCell ref="Q96:R96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63:F63"/>
    <mergeCell ref="G63:H63"/>
    <mergeCell ref="I63:J63"/>
    <mergeCell ref="K63:L63"/>
    <mergeCell ref="M63:N63"/>
    <mergeCell ref="O63:P63"/>
    <mergeCell ref="Q63:R63"/>
    <mergeCell ref="S63:T63"/>
    <mergeCell ref="E93:F93"/>
    <mergeCell ref="G93:H93"/>
    <mergeCell ref="I93:J93"/>
    <mergeCell ref="K93:L93"/>
    <mergeCell ref="M93:N93"/>
    <mergeCell ref="O93:P93"/>
    <mergeCell ref="Q93:R93"/>
    <mergeCell ref="S93:T93"/>
    <mergeCell ref="E66:F66"/>
    <mergeCell ref="G66:H66"/>
    <mergeCell ref="I66:J66"/>
    <mergeCell ref="K66:L66"/>
    <mergeCell ref="M66:N66"/>
    <mergeCell ref="O66:P66"/>
    <mergeCell ref="Q66:R66"/>
    <mergeCell ref="S66:T66"/>
    <mergeCell ref="Y78:Z7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W67:X67"/>
    <mergeCell ref="Y64:Z64"/>
    <mergeCell ref="E67:F67"/>
    <mergeCell ref="G67:H67"/>
    <mergeCell ref="I67:J67"/>
    <mergeCell ref="K67:L67"/>
    <mergeCell ref="M67:N67"/>
    <mergeCell ref="O67:P67"/>
    <mergeCell ref="Q67:R67"/>
    <mergeCell ref="S67:T67"/>
    <mergeCell ref="A61:B62"/>
    <mergeCell ref="C61:D61"/>
    <mergeCell ref="E61:AB61"/>
    <mergeCell ref="E62:F62"/>
    <mergeCell ref="G62:H62"/>
    <mergeCell ref="O48:P48"/>
    <mergeCell ref="Q48:R48"/>
    <mergeCell ref="S48:T48"/>
    <mergeCell ref="Y48:Z48"/>
    <mergeCell ref="I48:J48"/>
    <mergeCell ref="K48:L48"/>
    <mergeCell ref="M48:N48"/>
    <mergeCell ref="Q62:R62"/>
    <mergeCell ref="S62:T62"/>
    <mergeCell ref="U62:V62"/>
    <mergeCell ref="W62:X62"/>
    <mergeCell ref="Y62:Z62"/>
    <mergeCell ref="AA62:AB62"/>
    <mergeCell ref="AA48:AB48"/>
    <mergeCell ref="W48:X48"/>
    <mergeCell ref="U48:V48"/>
    <mergeCell ref="A53:B53"/>
    <mergeCell ref="A57:B57"/>
    <mergeCell ref="E48:F48"/>
    <mergeCell ref="G48:H48"/>
    <mergeCell ref="A47:A49"/>
    <mergeCell ref="B47:B49"/>
    <mergeCell ref="C47:D47"/>
    <mergeCell ref="E47:F47"/>
    <mergeCell ref="G47:H47"/>
    <mergeCell ref="M43:N43"/>
    <mergeCell ref="O43:P43"/>
    <mergeCell ref="I47:J47"/>
    <mergeCell ref="AA78:AB78"/>
    <mergeCell ref="I78:J78"/>
    <mergeCell ref="K78:L78"/>
    <mergeCell ref="AA63:AB63"/>
    <mergeCell ref="C48:C49"/>
    <mergeCell ref="D48:D49"/>
    <mergeCell ref="A46:AB46"/>
    <mergeCell ref="W47:X47"/>
    <mergeCell ref="Y47:Z47"/>
    <mergeCell ref="AA47:AB47"/>
    <mergeCell ref="U47:V47"/>
    <mergeCell ref="K47:L47"/>
    <mergeCell ref="U63:V63"/>
    <mergeCell ref="W63:X63"/>
    <mergeCell ref="Y63:Z63"/>
    <mergeCell ref="E65:F65"/>
    <mergeCell ref="G65:H65"/>
    <mergeCell ref="I65:J65"/>
    <mergeCell ref="K65:L65"/>
    <mergeCell ref="M65:N65"/>
    <mergeCell ref="A63:B67"/>
    <mergeCell ref="Y67:Z67"/>
    <mergeCell ref="AA67:AB67"/>
    <mergeCell ref="W64:X64"/>
    <mergeCell ref="U43:V43"/>
    <mergeCell ref="W43:X43"/>
    <mergeCell ref="Y43:Z43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E43:F43"/>
    <mergeCell ref="S42:T42"/>
    <mergeCell ref="E42:F42"/>
    <mergeCell ref="G42:H42"/>
    <mergeCell ref="I42:J42"/>
    <mergeCell ref="K42:L42"/>
    <mergeCell ref="K43:L43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41:V41"/>
    <mergeCell ref="Y41:Z41"/>
    <mergeCell ref="M42:N42"/>
    <mergeCell ref="O42:P42"/>
    <mergeCell ref="Q42:R42"/>
    <mergeCell ref="Q43:R43"/>
    <mergeCell ref="S43:T43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AA64:AB64"/>
    <mergeCell ref="W65:X65"/>
    <mergeCell ref="Y65:Z65"/>
    <mergeCell ref="AA65:AB65"/>
    <mergeCell ref="W66:X66"/>
    <mergeCell ref="Y66:Z66"/>
    <mergeCell ref="AA66:AB66"/>
    <mergeCell ref="U67:V67"/>
    <mergeCell ref="U66:V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topLeftCell="E1" zoomScale="115" zoomScaleNormal="115" workbookViewId="0">
      <pane ySplit="1" topLeftCell="A22" activePane="bottomLeft" state="frozen"/>
      <selection pane="bottomLeft" activeCell="O26" sqref="O26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8" ht="83.25" customHeight="1" x14ac:dyDescent="0.25">
      <c r="A1" s="111"/>
      <c r="B1" s="134"/>
      <c r="C1" s="135"/>
      <c r="D1" s="111"/>
      <c r="E1" s="135" t="s">
        <v>70</v>
      </c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146"/>
      <c r="AB1" s="146"/>
    </row>
    <row r="2" spans="1:28" ht="15.75" thickBot="1" x14ac:dyDescent="0.3">
      <c r="A2" s="1"/>
      <c r="B2" s="1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46"/>
      <c r="AB2" s="146"/>
    </row>
    <row r="3" spans="1:28" ht="27" thickBot="1" x14ac:dyDescent="0.45">
      <c r="A3" s="526" t="s">
        <v>71</v>
      </c>
      <c r="B3" s="382"/>
      <c r="C3" s="382"/>
      <c r="D3" s="382"/>
      <c r="E3" s="38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46"/>
      <c r="AB3" s="146"/>
    </row>
    <row r="4" spans="1:28" ht="39.75" customHeight="1" thickBot="1" x14ac:dyDescent="0.3">
      <c r="A4" s="527" t="s">
        <v>179</v>
      </c>
      <c r="B4" s="484"/>
      <c r="C4" s="484"/>
      <c r="D4" s="484"/>
      <c r="E4" s="48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46"/>
      <c r="AB4" s="146"/>
    </row>
    <row r="5" spans="1:28" ht="15.75" thickBot="1" x14ac:dyDescent="0.3">
      <c r="A5" s="1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46"/>
      <c r="AB5" s="146"/>
    </row>
    <row r="6" spans="1:28" ht="27" thickBot="1" x14ac:dyDescent="0.45">
      <c r="A6" s="526" t="s">
        <v>72</v>
      </c>
      <c r="B6" s="382"/>
      <c r="C6" s="383"/>
      <c r="D6" s="37"/>
      <c r="E6" s="3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46"/>
      <c r="AB6" s="146"/>
    </row>
    <row r="7" spans="1:28" x14ac:dyDescent="0.25">
      <c r="A7" s="38" t="s">
        <v>73</v>
      </c>
      <c r="B7" s="39">
        <v>52</v>
      </c>
      <c r="C7" s="40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46"/>
      <c r="AB7" s="146"/>
    </row>
    <row r="8" spans="1:28" x14ac:dyDescent="0.25">
      <c r="A8" s="38" t="s">
        <v>75</v>
      </c>
      <c r="B8" s="39">
        <v>2</v>
      </c>
      <c r="C8" s="40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46"/>
      <c r="AB8" s="146"/>
    </row>
    <row r="9" spans="1:28" x14ac:dyDescent="0.25">
      <c r="A9" s="38" t="s">
        <v>77</v>
      </c>
      <c r="B9" s="39">
        <v>10</v>
      </c>
      <c r="C9" s="40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46"/>
      <c r="AB9" s="146"/>
    </row>
    <row r="10" spans="1:28" x14ac:dyDescent="0.25">
      <c r="A10" s="38" t="s">
        <v>79</v>
      </c>
      <c r="B10" s="39">
        <f>(B7-B8)*5.5-B9</f>
        <v>265</v>
      </c>
      <c r="C10" s="40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46"/>
      <c r="AB10" s="146"/>
    </row>
    <row r="11" spans="1:28" x14ac:dyDescent="0.25">
      <c r="A11" s="38" t="s">
        <v>81</v>
      </c>
      <c r="B11" s="39">
        <v>8</v>
      </c>
      <c r="C11" s="40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46"/>
      <c r="AB11" s="146"/>
    </row>
    <row r="12" spans="1:28" ht="30.75" thickBot="1" x14ac:dyDescent="0.3">
      <c r="A12" s="41" t="s">
        <v>83</v>
      </c>
      <c r="B12" s="42">
        <f>B10*B11</f>
        <v>2120</v>
      </c>
      <c r="C12" s="43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46"/>
      <c r="AB12" s="146"/>
    </row>
    <row r="13" spans="1:28" ht="49.5" customHeight="1" thickBot="1" x14ac:dyDescent="0.3">
      <c r="A13" s="528" t="s">
        <v>84</v>
      </c>
      <c r="B13" s="44">
        <f>B12</f>
        <v>2120</v>
      </c>
      <c r="C13" s="45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46"/>
      <c r="AB13" s="146"/>
    </row>
    <row r="14" spans="1:28" ht="69" customHeight="1" thickBot="1" x14ac:dyDescent="0.3">
      <c r="A14" s="529"/>
      <c r="B14" s="46">
        <f>B13/12</f>
        <v>176.66666666666666</v>
      </c>
      <c r="C14" s="47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46"/>
      <c r="AB14" s="146"/>
    </row>
    <row r="15" spans="1:28" x14ac:dyDescent="0.25">
      <c r="A15" s="48"/>
      <c r="B15" s="49"/>
      <c r="C15" s="5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46"/>
      <c r="AB15" s="146"/>
    </row>
    <row r="16" spans="1:28" ht="15" customHeight="1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</row>
    <row r="17" spans="1:28" s="146" customFormat="1" ht="3.75" customHeight="1" x14ac:dyDescent="0.25">
      <c r="A17" s="351"/>
      <c r="B17" s="352"/>
      <c r="C17" s="3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1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46"/>
      <c r="AB18" s="146"/>
    </row>
    <row r="19" spans="1:28" ht="32.25" customHeight="1" thickBot="1" x14ac:dyDescent="0.45">
      <c r="A19" s="517" t="s">
        <v>153</v>
      </c>
      <c r="B19" s="382"/>
      <c r="C19" s="382"/>
      <c r="D19" s="382"/>
      <c r="E19" s="38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16"/>
      <c r="AB19" s="516"/>
    </row>
    <row r="20" spans="1:28" ht="15.75" customHeight="1" x14ac:dyDescent="0.2">
      <c r="A20" s="518" t="s">
        <v>154</v>
      </c>
      <c r="B20" s="519"/>
      <c r="C20" s="522" t="s">
        <v>39</v>
      </c>
      <c r="D20" s="523"/>
      <c r="E20" s="524" t="s">
        <v>40</v>
      </c>
      <c r="F20" s="525"/>
      <c r="G20" s="514" t="s">
        <v>41</v>
      </c>
      <c r="H20" s="515"/>
      <c r="I20" s="514" t="s">
        <v>42</v>
      </c>
      <c r="J20" s="515"/>
      <c r="K20" s="514" t="s">
        <v>43</v>
      </c>
      <c r="L20" s="515"/>
      <c r="M20" s="514" t="s">
        <v>44</v>
      </c>
      <c r="N20" s="515"/>
      <c r="O20" s="514" t="s">
        <v>45</v>
      </c>
      <c r="P20" s="515"/>
      <c r="Q20" s="514" t="s">
        <v>46</v>
      </c>
      <c r="R20" s="515"/>
      <c r="S20" s="514" t="s">
        <v>47</v>
      </c>
      <c r="T20" s="515"/>
      <c r="U20" s="514" t="s">
        <v>48</v>
      </c>
      <c r="V20" s="515"/>
      <c r="W20" s="514" t="s">
        <v>49</v>
      </c>
      <c r="X20" s="515"/>
      <c r="Y20" s="514" t="s">
        <v>50</v>
      </c>
      <c r="Z20" s="515"/>
      <c r="AA20" s="516"/>
      <c r="AB20" s="516"/>
    </row>
    <row r="21" spans="1:28" ht="31.5" customHeight="1" thickBot="1" x14ac:dyDescent="0.25">
      <c r="A21" s="520"/>
      <c r="B21" s="521"/>
      <c r="C21" s="136" t="s">
        <v>152</v>
      </c>
      <c r="D21" s="137" t="s">
        <v>87</v>
      </c>
      <c r="E21" s="136" t="s">
        <v>152</v>
      </c>
      <c r="F21" s="137" t="s">
        <v>87</v>
      </c>
      <c r="G21" s="136" t="s">
        <v>152</v>
      </c>
      <c r="H21" s="137" t="s">
        <v>87</v>
      </c>
      <c r="I21" s="136" t="s">
        <v>152</v>
      </c>
      <c r="J21" s="137" t="s">
        <v>87</v>
      </c>
      <c r="K21" s="136" t="s">
        <v>152</v>
      </c>
      <c r="L21" s="137" t="s">
        <v>87</v>
      </c>
      <c r="M21" s="136" t="s">
        <v>152</v>
      </c>
      <c r="N21" s="137" t="s">
        <v>87</v>
      </c>
      <c r="O21" s="136" t="s">
        <v>152</v>
      </c>
      <c r="P21" s="137" t="s">
        <v>87</v>
      </c>
      <c r="Q21" s="136" t="s">
        <v>152</v>
      </c>
      <c r="R21" s="137" t="s">
        <v>87</v>
      </c>
      <c r="S21" s="136" t="s">
        <v>152</v>
      </c>
      <c r="T21" s="137" t="s">
        <v>87</v>
      </c>
      <c r="U21" s="136" t="s">
        <v>152</v>
      </c>
      <c r="V21" s="137" t="s">
        <v>87</v>
      </c>
      <c r="W21" s="137" t="s">
        <v>152</v>
      </c>
      <c r="X21" s="137" t="s">
        <v>87</v>
      </c>
      <c r="Y21" s="136" t="s">
        <v>152</v>
      </c>
      <c r="Z21" s="137" t="s">
        <v>87</v>
      </c>
      <c r="AA21" s="516"/>
      <c r="AB21" s="516"/>
    </row>
    <row r="22" spans="1:28" x14ac:dyDescent="0.25">
      <c r="A22" s="302">
        <v>2</v>
      </c>
      <c r="B22" s="26" t="s">
        <v>211</v>
      </c>
      <c r="C22" s="95">
        <v>1</v>
      </c>
      <c r="D22" s="95">
        <f>C22*$B$14</f>
        <v>176.66666666666666</v>
      </c>
      <c r="E22" s="95">
        <v>1</v>
      </c>
      <c r="F22" s="95">
        <f>E22*$B$14</f>
        <v>176.66666666666666</v>
      </c>
      <c r="G22" s="95">
        <v>1</v>
      </c>
      <c r="H22" s="95">
        <f>G22*$B$14</f>
        <v>176.66666666666666</v>
      </c>
      <c r="I22" s="95">
        <v>1</v>
      </c>
      <c r="J22" s="95">
        <f>I22*$B$14</f>
        <v>176.66666666666666</v>
      </c>
      <c r="K22" s="97">
        <v>2</v>
      </c>
      <c r="L22" s="97">
        <f>K22*$B$14</f>
        <v>353.33333333333331</v>
      </c>
      <c r="M22" s="97">
        <v>2</v>
      </c>
      <c r="N22" s="97">
        <f>M22*$B$14</f>
        <v>353.33333333333331</v>
      </c>
      <c r="O22" s="97">
        <v>2</v>
      </c>
      <c r="P22" s="97">
        <f>O22*$B$14</f>
        <v>353.33333333333331</v>
      </c>
      <c r="Q22" s="97">
        <v>2</v>
      </c>
      <c r="R22" s="97">
        <f>Q22*$B$14</f>
        <v>353.33333333333331</v>
      </c>
      <c r="S22" s="97">
        <v>2</v>
      </c>
      <c r="T22" s="97">
        <f>S22*$B$14</f>
        <v>353.33333333333331</v>
      </c>
      <c r="U22" s="97">
        <v>2</v>
      </c>
      <c r="V22" s="97">
        <f>U22*$B$14</f>
        <v>353.33333333333331</v>
      </c>
      <c r="W22" s="97">
        <v>2</v>
      </c>
      <c r="X22" s="97">
        <f>W22*$B$14</f>
        <v>353.33333333333331</v>
      </c>
      <c r="Y22" s="97">
        <v>2</v>
      </c>
      <c r="Z22" s="97">
        <f>Y22*$B$14</f>
        <v>353.33333333333331</v>
      </c>
      <c r="AA22" s="516"/>
      <c r="AB22" s="516"/>
    </row>
    <row r="23" spans="1:28" x14ac:dyDescent="0.25">
      <c r="A23" s="27">
        <v>1</v>
      </c>
      <c r="B23" s="28" t="s">
        <v>178</v>
      </c>
      <c r="C23" s="95">
        <v>1</v>
      </c>
      <c r="D23" s="95">
        <f t="shared" ref="D23:D26" si="0">C23*$B$14</f>
        <v>176.66666666666666</v>
      </c>
      <c r="E23" s="95">
        <v>1</v>
      </c>
      <c r="F23" s="95">
        <f t="shared" ref="F23" si="1">E23*$B$14</f>
        <v>176.66666666666666</v>
      </c>
      <c r="G23" s="95">
        <v>1</v>
      </c>
      <c r="H23" s="95">
        <f t="shared" ref="H23" si="2">G23*$B$14</f>
        <v>176.66666666666666</v>
      </c>
      <c r="I23" s="95">
        <v>1</v>
      </c>
      <c r="J23" s="95">
        <f t="shared" ref="J23" si="3">I23*$B$14</f>
        <v>176.66666666666666</v>
      </c>
      <c r="K23" s="95">
        <v>1</v>
      </c>
      <c r="L23" s="95">
        <f t="shared" ref="L23" si="4">K23*$B$14</f>
        <v>176.66666666666666</v>
      </c>
      <c r="M23" s="95">
        <v>1</v>
      </c>
      <c r="N23" s="95">
        <f t="shared" ref="N23" si="5">M23*$B$14</f>
        <v>176.66666666666666</v>
      </c>
      <c r="O23" s="95">
        <v>1</v>
      </c>
      <c r="P23" s="95">
        <f t="shared" ref="P23" si="6">O23*$B$14</f>
        <v>176.66666666666666</v>
      </c>
      <c r="Q23" s="95">
        <v>1</v>
      </c>
      <c r="R23" s="95">
        <f t="shared" ref="R23" si="7">Q23*$B$14</f>
        <v>176.66666666666666</v>
      </c>
      <c r="S23" s="95">
        <v>1</v>
      </c>
      <c r="T23" s="95">
        <f t="shared" ref="T23" si="8">S23*$B$14</f>
        <v>176.66666666666666</v>
      </c>
      <c r="U23" s="95">
        <v>1</v>
      </c>
      <c r="V23" s="95">
        <f t="shared" ref="V23" si="9">U23*$B$14</f>
        <v>176.66666666666666</v>
      </c>
      <c r="W23" s="95">
        <v>1</v>
      </c>
      <c r="X23" s="95">
        <f t="shared" ref="X23" si="10">W23*$B$14</f>
        <v>176.66666666666666</v>
      </c>
      <c r="Y23" s="95">
        <v>1</v>
      </c>
      <c r="Z23" s="95">
        <f t="shared" ref="Z23" si="11">Y23*$B$14</f>
        <v>176.66666666666666</v>
      </c>
      <c r="AA23" s="516"/>
      <c r="AB23" s="516"/>
    </row>
    <row r="24" spans="1:28" x14ac:dyDescent="0.25">
      <c r="A24" s="27">
        <v>1</v>
      </c>
      <c r="B24" s="28" t="s">
        <v>249</v>
      </c>
      <c r="C24" s="95">
        <v>1</v>
      </c>
      <c r="D24" s="95">
        <f t="shared" si="0"/>
        <v>176.66666666666666</v>
      </c>
      <c r="E24" s="95">
        <v>1</v>
      </c>
      <c r="F24" s="95">
        <f t="shared" ref="F24" si="12">E24*$B$14</f>
        <v>176.66666666666666</v>
      </c>
      <c r="G24" s="95">
        <v>1</v>
      </c>
      <c r="H24" s="95">
        <f t="shared" ref="H24" si="13">G24*$B$14</f>
        <v>176.66666666666666</v>
      </c>
      <c r="I24" s="95">
        <v>1</v>
      </c>
      <c r="J24" s="95">
        <f t="shared" ref="J24" si="14">I24*$B$14</f>
        <v>176.66666666666666</v>
      </c>
      <c r="K24" s="95">
        <v>1</v>
      </c>
      <c r="L24" s="95">
        <f t="shared" ref="L24" si="15">K24*$B$14</f>
        <v>176.66666666666666</v>
      </c>
      <c r="M24" s="95">
        <v>1</v>
      </c>
      <c r="N24" s="95">
        <f t="shared" ref="N24" si="16">M24*$B$14</f>
        <v>176.66666666666666</v>
      </c>
      <c r="O24" s="95">
        <v>1</v>
      </c>
      <c r="P24" s="95">
        <f t="shared" ref="P24" si="17">O24*$B$14</f>
        <v>176.66666666666666</v>
      </c>
      <c r="Q24" s="95">
        <v>1</v>
      </c>
      <c r="R24" s="95">
        <f t="shared" ref="R24" si="18">Q24*$B$14</f>
        <v>176.66666666666666</v>
      </c>
      <c r="S24" s="95">
        <v>1</v>
      </c>
      <c r="T24" s="95">
        <f t="shared" ref="T24" si="19">S24*$B$14</f>
        <v>176.66666666666666</v>
      </c>
      <c r="U24" s="95">
        <v>1</v>
      </c>
      <c r="V24" s="95">
        <f t="shared" ref="V24" si="20">U24*$B$14</f>
        <v>176.66666666666666</v>
      </c>
      <c r="W24" s="95">
        <v>1</v>
      </c>
      <c r="X24" s="95">
        <f t="shared" ref="X24" si="21">W24*$B$14</f>
        <v>176.66666666666666</v>
      </c>
      <c r="Y24" s="95">
        <v>1</v>
      </c>
      <c r="Z24" s="95">
        <f t="shared" ref="Z24" si="22">Y24*$B$14</f>
        <v>176.66666666666666</v>
      </c>
      <c r="AA24" s="516"/>
      <c r="AB24" s="516"/>
    </row>
    <row r="25" spans="1:28" x14ac:dyDescent="0.25">
      <c r="A25" s="27">
        <v>1</v>
      </c>
      <c r="B25" s="28" t="s">
        <v>250</v>
      </c>
      <c r="C25" s="95">
        <v>1</v>
      </c>
      <c r="D25" s="95">
        <f t="shared" si="0"/>
        <v>176.66666666666666</v>
      </c>
      <c r="E25" s="95">
        <v>1</v>
      </c>
      <c r="F25" s="95">
        <f t="shared" ref="F25" si="23">E25*$B$14</f>
        <v>176.66666666666666</v>
      </c>
      <c r="G25" s="95">
        <v>1</v>
      </c>
      <c r="H25" s="95">
        <f t="shared" ref="H25" si="24">G25*$B$14</f>
        <v>176.66666666666666</v>
      </c>
      <c r="I25" s="95">
        <v>1</v>
      </c>
      <c r="J25" s="95">
        <f t="shared" ref="J25" si="25">I25*$B$14</f>
        <v>176.66666666666666</v>
      </c>
      <c r="K25" s="95">
        <v>1</v>
      </c>
      <c r="L25" s="95">
        <f t="shared" ref="L25" si="26">K25*$B$14</f>
        <v>176.66666666666666</v>
      </c>
      <c r="M25" s="95">
        <v>1</v>
      </c>
      <c r="N25" s="95">
        <f t="shared" ref="N25" si="27">M25*$B$14</f>
        <v>176.66666666666666</v>
      </c>
      <c r="O25" s="95">
        <v>1</v>
      </c>
      <c r="P25" s="95">
        <f t="shared" ref="P25" si="28">O25*$B$14</f>
        <v>176.66666666666666</v>
      </c>
      <c r="Q25" s="95">
        <v>1</v>
      </c>
      <c r="R25" s="95">
        <f t="shared" ref="R25:R26" si="29">Q25*$B$14</f>
        <v>176.66666666666666</v>
      </c>
      <c r="S25" s="95">
        <v>1</v>
      </c>
      <c r="T25" s="95">
        <f t="shared" ref="T25:T26" si="30">S25*$B$14</f>
        <v>176.66666666666666</v>
      </c>
      <c r="U25" s="95">
        <v>1</v>
      </c>
      <c r="V25" s="95">
        <f t="shared" ref="V25:V26" si="31">U25*$B$14</f>
        <v>176.66666666666666</v>
      </c>
      <c r="W25" s="95">
        <v>1</v>
      </c>
      <c r="X25" s="95">
        <f t="shared" ref="X25:X26" si="32">W25*$B$14</f>
        <v>176.66666666666666</v>
      </c>
      <c r="Y25" s="95">
        <v>1</v>
      </c>
      <c r="Z25" s="95">
        <f t="shared" ref="Z25:Z26" si="33">Y25*$B$14</f>
        <v>176.66666666666666</v>
      </c>
      <c r="AA25" s="516"/>
      <c r="AB25" s="516"/>
    </row>
    <row r="26" spans="1:28" x14ac:dyDescent="0.25">
      <c r="A26" s="94">
        <v>2</v>
      </c>
      <c r="B26" s="28" t="s">
        <v>251</v>
      </c>
      <c r="C26" s="95">
        <v>1</v>
      </c>
      <c r="D26" s="95">
        <f t="shared" si="0"/>
        <v>176.66666666666666</v>
      </c>
      <c r="E26" s="95">
        <v>1</v>
      </c>
      <c r="F26" s="95">
        <f t="shared" ref="F26" si="34">E26*$B$14</f>
        <v>176.66666666666666</v>
      </c>
      <c r="G26" s="95">
        <v>1</v>
      </c>
      <c r="H26" s="95">
        <f t="shared" ref="H26" si="35">G26*$B$14</f>
        <v>176.66666666666666</v>
      </c>
      <c r="I26" s="95">
        <v>1</v>
      </c>
      <c r="J26" s="95">
        <f t="shared" ref="J26" si="36">I26*$B$14</f>
        <v>176.66666666666666</v>
      </c>
      <c r="K26" s="95">
        <v>1</v>
      </c>
      <c r="L26" s="95">
        <f t="shared" ref="L26" si="37">K26*$B$14</f>
        <v>176.66666666666666</v>
      </c>
      <c r="M26" s="95">
        <v>1</v>
      </c>
      <c r="N26" s="95">
        <f t="shared" ref="N26" si="38">M26*$B$14</f>
        <v>176.66666666666666</v>
      </c>
      <c r="O26" s="97">
        <v>2</v>
      </c>
      <c r="P26" s="97">
        <f t="shared" ref="P26" si="39">O26*$B$14</f>
        <v>353.33333333333331</v>
      </c>
      <c r="Q26" s="97">
        <v>2</v>
      </c>
      <c r="R26" s="97">
        <f t="shared" si="29"/>
        <v>353.33333333333331</v>
      </c>
      <c r="S26" s="97">
        <v>2</v>
      </c>
      <c r="T26" s="97">
        <f t="shared" si="30"/>
        <v>353.33333333333331</v>
      </c>
      <c r="U26" s="97">
        <v>2</v>
      </c>
      <c r="V26" s="97">
        <f t="shared" si="31"/>
        <v>353.33333333333331</v>
      </c>
      <c r="W26" s="97">
        <v>2</v>
      </c>
      <c r="X26" s="97">
        <f t="shared" si="32"/>
        <v>353.33333333333331</v>
      </c>
      <c r="Y26" s="97">
        <v>2</v>
      </c>
      <c r="Z26" s="97">
        <f t="shared" si="33"/>
        <v>353.33333333333331</v>
      </c>
      <c r="AA26" s="516"/>
      <c r="AB26" s="516"/>
    </row>
    <row r="27" spans="1:28" ht="9.75" customHeight="1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</row>
    <row r="28" spans="1:28" ht="9" customHeight="1" thickBot="1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</row>
    <row r="29" spans="1:28" ht="27" thickBot="1" x14ac:dyDescent="0.45">
      <c r="A29" s="517" t="s">
        <v>153</v>
      </c>
      <c r="B29" s="382"/>
      <c r="C29" s="382"/>
      <c r="D29" s="382"/>
      <c r="E29" s="383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46"/>
      <c r="AB29" s="146"/>
    </row>
    <row r="30" spans="1:28" ht="12.75" customHeight="1" x14ac:dyDescent="0.2">
      <c r="A30" s="518" t="s">
        <v>155</v>
      </c>
      <c r="B30" s="519"/>
      <c r="C30" s="522" t="s">
        <v>39</v>
      </c>
      <c r="D30" s="523"/>
      <c r="E30" s="524" t="s">
        <v>40</v>
      </c>
      <c r="F30" s="525"/>
      <c r="G30" s="514" t="s">
        <v>41</v>
      </c>
      <c r="H30" s="515"/>
      <c r="I30" s="514" t="s">
        <v>42</v>
      </c>
      <c r="J30" s="515"/>
      <c r="K30" s="514" t="s">
        <v>43</v>
      </c>
      <c r="L30" s="515"/>
      <c r="M30" s="514" t="s">
        <v>44</v>
      </c>
      <c r="N30" s="515"/>
      <c r="O30" s="514" t="s">
        <v>45</v>
      </c>
      <c r="P30" s="515"/>
      <c r="Q30" s="514" t="s">
        <v>46</v>
      </c>
      <c r="R30" s="515"/>
      <c r="S30" s="514" t="s">
        <v>47</v>
      </c>
      <c r="T30" s="515"/>
      <c r="U30" s="514" t="s">
        <v>48</v>
      </c>
      <c r="V30" s="515"/>
      <c r="W30" s="514" t="s">
        <v>49</v>
      </c>
      <c r="X30" s="515"/>
      <c r="Y30" s="514" t="s">
        <v>50</v>
      </c>
      <c r="Z30" s="515"/>
      <c r="AA30" s="146"/>
      <c r="AB30" s="146"/>
    </row>
    <row r="31" spans="1:28" ht="30.75" thickBot="1" x14ac:dyDescent="0.25">
      <c r="A31" s="520"/>
      <c r="B31" s="521"/>
      <c r="C31" s="136" t="s">
        <v>152</v>
      </c>
      <c r="D31" s="137" t="s">
        <v>87</v>
      </c>
      <c r="E31" s="136" t="s">
        <v>152</v>
      </c>
      <c r="F31" s="137" t="s">
        <v>87</v>
      </c>
      <c r="G31" s="136" t="s">
        <v>152</v>
      </c>
      <c r="H31" s="137" t="s">
        <v>87</v>
      </c>
      <c r="I31" s="136" t="s">
        <v>152</v>
      </c>
      <c r="J31" s="137" t="s">
        <v>87</v>
      </c>
      <c r="K31" s="136" t="s">
        <v>152</v>
      </c>
      <c r="L31" s="137" t="s">
        <v>87</v>
      </c>
      <c r="M31" s="136" t="s">
        <v>152</v>
      </c>
      <c r="N31" s="137" t="s">
        <v>87</v>
      </c>
      <c r="O31" s="136" t="s">
        <v>152</v>
      </c>
      <c r="P31" s="137" t="s">
        <v>87</v>
      </c>
      <c r="Q31" s="137" t="s">
        <v>152</v>
      </c>
      <c r="R31" s="137" t="s">
        <v>87</v>
      </c>
      <c r="S31" s="136" t="s">
        <v>152</v>
      </c>
      <c r="T31" s="137" t="s">
        <v>87</v>
      </c>
      <c r="U31" s="136" t="s">
        <v>152</v>
      </c>
      <c r="V31" s="137" t="s">
        <v>87</v>
      </c>
      <c r="W31" s="136" t="s">
        <v>152</v>
      </c>
      <c r="X31" s="137" t="s">
        <v>87</v>
      </c>
      <c r="Y31" s="136" t="s">
        <v>152</v>
      </c>
      <c r="Z31" s="137" t="s">
        <v>87</v>
      </c>
      <c r="AA31" s="146"/>
      <c r="AB31" s="146"/>
    </row>
    <row r="32" spans="1:28" ht="15.75" customHeight="1" x14ac:dyDescent="0.25">
      <c r="A32" s="302">
        <v>3</v>
      </c>
      <c r="B32" s="26" t="s">
        <v>211</v>
      </c>
      <c r="C32" s="95">
        <v>2</v>
      </c>
      <c r="D32" s="95">
        <f>C32*$B$14</f>
        <v>353.33333333333331</v>
      </c>
      <c r="E32" s="95">
        <v>2</v>
      </c>
      <c r="F32" s="95">
        <f t="shared" ref="F32:F36" si="40">E32*$B$14</f>
        <v>353.33333333333331</v>
      </c>
      <c r="G32" s="95">
        <v>2</v>
      </c>
      <c r="H32" s="95">
        <f t="shared" ref="H32:H36" si="41">G32*$B$14</f>
        <v>353.33333333333331</v>
      </c>
      <c r="I32" s="95">
        <v>2</v>
      </c>
      <c r="J32" s="95">
        <f t="shared" ref="J32:J36" si="42">I32*$B$14</f>
        <v>353.33333333333331</v>
      </c>
      <c r="K32" s="97">
        <v>3</v>
      </c>
      <c r="L32" s="97">
        <f t="shared" ref="L32:L36" si="43">K32*$B$14</f>
        <v>530</v>
      </c>
      <c r="M32" s="97">
        <v>3</v>
      </c>
      <c r="N32" s="97">
        <f t="shared" ref="N32:N36" si="44">M32*$B$14</f>
        <v>530</v>
      </c>
      <c r="O32" s="97">
        <v>3</v>
      </c>
      <c r="P32" s="97">
        <f t="shared" ref="P32:P36" si="45">O32*$B$14</f>
        <v>530</v>
      </c>
      <c r="Q32" s="97">
        <v>3</v>
      </c>
      <c r="R32" s="97">
        <f t="shared" ref="R32:R36" si="46">Q32*$B$14</f>
        <v>530</v>
      </c>
      <c r="S32" s="97">
        <v>3</v>
      </c>
      <c r="T32" s="97">
        <f t="shared" ref="T32:T36" si="47">S32*$B$14</f>
        <v>530</v>
      </c>
      <c r="U32" s="97">
        <v>3</v>
      </c>
      <c r="V32" s="97">
        <f t="shared" ref="V32:V36" si="48">U32*$B$14</f>
        <v>530</v>
      </c>
      <c r="W32" s="97">
        <v>3</v>
      </c>
      <c r="X32" s="97">
        <f t="shared" ref="X32:X36" si="49">W32*$B$14</f>
        <v>530</v>
      </c>
      <c r="Y32" s="97">
        <v>3</v>
      </c>
      <c r="Z32" s="97">
        <f t="shared" ref="Z32:Z36" si="50">Y32*$B$14</f>
        <v>530</v>
      </c>
      <c r="AA32" s="146"/>
      <c r="AB32" s="146"/>
    </row>
    <row r="33" spans="1:28" ht="15.75" customHeight="1" x14ac:dyDescent="0.25">
      <c r="A33" s="27">
        <v>1</v>
      </c>
      <c r="B33" s="28" t="s">
        <v>178</v>
      </c>
      <c r="C33" s="95">
        <v>1</v>
      </c>
      <c r="D33" s="95">
        <f t="shared" ref="D33:D36" si="51">C33*$B$14</f>
        <v>176.66666666666666</v>
      </c>
      <c r="E33" s="95">
        <v>1</v>
      </c>
      <c r="F33" s="95">
        <f t="shared" si="40"/>
        <v>176.66666666666666</v>
      </c>
      <c r="G33" s="95">
        <v>1</v>
      </c>
      <c r="H33" s="95">
        <f t="shared" si="41"/>
        <v>176.66666666666666</v>
      </c>
      <c r="I33" s="95">
        <v>1</v>
      </c>
      <c r="J33" s="95">
        <f t="shared" si="42"/>
        <v>176.66666666666666</v>
      </c>
      <c r="K33" s="95">
        <v>1</v>
      </c>
      <c r="L33" s="95">
        <f t="shared" si="43"/>
        <v>176.66666666666666</v>
      </c>
      <c r="M33" s="95">
        <v>1</v>
      </c>
      <c r="N33" s="95">
        <f t="shared" si="44"/>
        <v>176.66666666666666</v>
      </c>
      <c r="O33" s="95">
        <v>1</v>
      </c>
      <c r="P33" s="95">
        <f t="shared" si="45"/>
        <v>176.66666666666666</v>
      </c>
      <c r="Q33" s="95">
        <v>1</v>
      </c>
      <c r="R33" s="95">
        <f t="shared" si="46"/>
        <v>176.66666666666666</v>
      </c>
      <c r="S33" s="95">
        <v>1</v>
      </c>
      <c r="T33" s="95">
        <f t="shared" si="47"/>
        <v>176.66666666666666</v>
      </c>
      <c r="U33" s="95">
        <v>1</v>
      </c>
      <c r="V33" s="95">
        <f t="shared" si="48"/>
        <v>176.66666666666666</v>
      </c>
      <c r="W33" s="95">
        <v>1</v>
      </c>
      <c r="X33" s="95">
        <f t="shared" si="49"/>
        <v>176.66666666666666</v>
      </c>
      <c r="Y33" s="95">
        <v>1</v>
      </c>
      <c r="Z33" s="95">
        <f t="shared" si="50"/>
        <v>176.66666666666666</v>
      </c>
      <c r="AA33" s="146"/>
      <c r="AB33" s="146"/>
    </row>
    <row r="34" spans="1:28" ht="14.25" customHeight="1" x14ac:dyDescent="0.25">
      <c r="A34" s="27">
        <v>1</v>
      </c>
      <c r="B34" s="28" t="s">
        <v>249</v>
      </c>
      <c r="C34" s="95">
        <v>1</v>
      </c>
      <c r="D34" s="95">
        <f t="shared" si="51"/>
        <v>176.66666666666666</v>
      </c>
      <c r="E34" s="95">
        <v>1</v>
      </c>
      <c r="F34" s="95">
        <f t="shared" si="40"/>
        <v>176.66666666666666</v>
      </c>
      <c r="G34" s="95">
        <v>1</v>
      </c>
      <c r="H34" s="95">
        <f t="shared" si="41"/>
        <v>176.66666666666666</v>
      </c>
      <c r="I34" s="95">
        <v>1</v>
      </c>
      <c r="J34" s="95">
        <f t="shared" si="42"/>
        <v>176.66666666666666</v>
      </c>
      <c r="K34" s="95">
        <v>1</v>
      </c>
      <c r="L34" s="95">
        <f t="shared" si="43"/>
        <v>176.66666666666666</v>
      </c>
      <c r="M34" s="95">
        <v>1</v>
      </c>
      <c r="N34" s="95">
        <f t="shared" si="44"/>
        <v>176.66666666666666</v>
      </c>
      <c r="O34" s="95">
        <v>1</v>
      </c>
      <c r="P34" s="95">
        <f t="shared" si="45"/>
        <v>176.66666666666666</v>
      </c>
      <c r="Q34" s="95">
        <v>1</v>
      </c>
      <c r="R34" s="95">
        <f t="shared" si="46"/>
        <v>176.66666666666666</v>
      </c>
      <c r="S34" s="95">
        <v>1</v>
      </c>
      <c r="T34" s="95">
        <f t="shared" si="47"/>
        <v>176.66666666666666</v>
      </c>
      <c r="U34" s="95">
        <v>1</v>
      </c>
      <c r="V34" s="95">
        <f t="shared" si="48"/>
        <v>176.66666666666666</v>
      </c>
      <c r="W34" s="95">
        <v>1</v>
      </c>
      <c r="X34" s="95">
        <f t="shared" si="49"/>
        <v>176.66666666666666</v>
      </c>
      <c r="Y34" s="95">
        <v>1</v>
      </c>
      <c r="Z34" s="95">
        <f t="shared" si="50"/>
        <v>176.66666666666666</v>
      </c>
      <c r="AA34" s="146"/>
      <c r="AB34" s="146"/>
    </row>
    <row r="35" spans="1:28" ht="15.75" customHeight="1" x14ac:dyDescent="0.25">
      <c r="A35" s="94">
        <v>2</v>
      </c>
      <c r="B35" s="28" t="s">
        <v>250</v>
      </c>
      <c r="C35" s="95">
        <v>1</v>
      </c>
      <c r="D35" s="95">
        <f t="shared" si="51"/>
        <v>176.66666666666666</v>
      </c>
      <c r="E35" s="95">
        <v>1</v>
      </c>
      <c r="F35" s="95">
        <f t="shared" si="40"/>
        <v>176.66666666666666</v>
      </c>
      <c r="G35" s="95">
        <v>1</v>
      </c>
      <c r="H35" s="95">
        <f t="shared" si="41"/>
        <v>176.66666666666666</v>
      </c>
      <c r="I35" s="95">
        <v>1</v>
      </c>
      <c r="J35" s="95">
        <f t="shared" si="42"/>
        <v>176.66666666666666</v>
      </c>
      <c r="K35" s="97">
        <v>2</v>
      </c>
      <c r="L35" s="97">
        <f t="shared" si="43"/>
        <v>353.33333333333331</v>
      </c>
      <c r="M35" s="97">
        <v>2</v>
      </c>
      <c r="N35" s="97">
        <f t="shared" si="44"/>
        <v>353.33333333333331</v>
      </c>
      <c r="O35" s="97">
        <v>2</v>
      </c>
      <c r="P35" s="97">
        <f t="shared" si="45"/>
        <v>353.33333333333331</v>
      </c>
      <c r="Q35" s="97">
        <v>2</v>
      </c>
      <c r="R35" s="97">
        <f t="shared" si="46"/>
        <v>353.33333333333331</v>
      </c>
      <c r="S35" s="97">
        <v>2</v>
      </c>
      <c r="T35" s="97">
        <f t="shared" si="47"/>
        <v>353.33333333333331</v>
      </c>
      <c r="U35" s="97">
        <v>2</v>
      </c>
      <c r="V35" s="97">
        <f t="shared" si="48"/>
        <v>353.33333333333331</v>
      </c>
      <c r="W35" s="97">
        <v>2</v>
      </c>
      <c r="X35" s="97">
        <f t="shared" si="49"/>
        <v>353.33333333333331</v>
      </c>
      <c r="Y35" s="97">
        <v>2</v>
      </c>
      <c r="Z35" s="97">
        <f t="shared" si="50"/>
        <v>353.33333333333331</v>
      </c>
      <c r="AA35" s="146"/>
      <c r="AB35" s="146"/>
    </row>
    <row r="36" spans="1:28" ht="15.75" customHeight="1" x14ac:dyDescent="0.25">
      <c r="A36" s="94">
        <v>3</v>
      </c>
      <c r="B36" s="28" t="s">
        <v>251</v>
      </c>
      <c r="C36" s="95">
        <v>2</v>
      </c>
      <c r="D36" s="95">
        <f t="shared" si="51"/>
        <v>353.33333333333331</v>
      </c>
      <c r="E36" s="95">
        <v>2</v>
      </c>
      <c r="F36" s="95">
        <f t="shared" si="40"/>
        <v>353.33333333333331</v>
      </c>
      <c r="G36" s="95">
        <v>2</v>
      </c>
      <c r="H36" s="95">
        <f t="shared" si="41"/>
        <v>353.33333333333331</v>
      </c>
      <c r="I36" s="95">
        <v>2</v>
      </c>
      <c r="J36" s="95">
        <f t="shared" si="42"/>
        <v>353.33333333333331</v>
      </c>
      <c r="K36" s="97">
        <v>3</v>
      </c>
      <c r="L36" s="97">
        <f t="shared" si="43"/>
        <v>530</v>
      </c>
      <c r="M36" s="97">
        <v>3</v>
      </c>
      <c r="N36" s="97">
        <f t="shared" si="44"/>
        <v>530</v>
      </c>
      <c r="O36" s="97">
        <v>3</v>
      </c>
      <c r="P36" s="97">
        <f t="shared" si="45"/>
        <v>530</v>
      </c>
      <c r="Q36" s="97">
        <v>3</v>
      </c>
      <c r="R36" s="97">
        <f t="shared" si="46"/>
        <v>530</v>
      </c>
      <c r="S36" s="97">
        <v>3</v>
      </c>
      <c r="T36" s="97">
        <f t="shared" si="47"/>
        <v>530</v>
      </c>
      <c r="U36" s="97">
        <v>3</v>
      </c>
      <c r="V36" s="97">
        <f t="shared" si="48"/>
        <v>530</v>
      </c>
      <c r="W36" s="97">
        <v>3</v>
      </c>
      <c r="X36" s="97">
        <f t="shared" si="49"/>
        <v>530</v>
      </c>
      <c r="Y36" s="97">
        <v>3</v>
      </c>
      <c r="Z36" s="97">
        <f t="shared" si="50"/>
        <v>530</v>
      </c>
      <c r="AA36" s="146"/>
      <c r="AB36" s="146"/>
    </row>
    <row r="37" spans="1:28" x14ac:dyDescent="0.25">
      <c r="A37" s="147"/>
      <c r="B37" s="350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</row>
    <row r="38" spans="1:28" ht="15.75" thickBot="1" x14ac:dyDescent="0.3">
      <c r="A38" s="147"/>
      <c r="B38" s="350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/>
      <c r="AB38" s="146"/>
    </row>
    <row r="39" spans="1:28" ht="27" thickBot="1" x14ac:dyDescent="0.45">
      <c r="A39" s="517" t="s">
        <v>153</v>
      </c>
      <c r="B39" s="382"/>
      <c r="C39" s="382"/>
      <c r="D39" s="382"/>
      <c r="E39" s="38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46"/>
      <c r="AB39" s="146"/>
    </row>
    <row r="40" spans="1:28" ht="15" customHeight="1" x14ac:dyDescent="0.2">
      <c r="A40" s="518" t="s">
        <v>183</v>
      </c>
      <c r="B40" s="519"/>
      <c r="C40" s="522" t="s">
        <v>39</v>
      </c>
      <c r="D40" s="523"/>
      <c r="E40" s="524" t="s">
        <v>40</v>
      </c>
      <c r="F40" s="525"/>
      <c r="G40" s="514" t="s">
        <v>41</v>
      </c>
      <c r="H40" s="515"/>
      <c r="I40" s="514" t="s">
        <v>42</v>
      </c>
      <c r="J40" s="515"/>
      <c r="K40" s="514" t="s">
        <v>43</v>
      </c>
      <c r="L40" s="515"/>
      <c r="M40" s="514" t="s">
        <v>44</v>
      </c>
      <c r="N40" s="515"/>
      <c r="O40" s="514" t="s">
        <v>45</v>
      </c>
      <c r="P40" s="515"/>
      <c r="Q40" s="514" t="s">
        <v>46</v>
      </c>
      <c r="R40" s="515"/>
      <c r="S40" s="514" t="s">
        <v>47</v>
      </c>
      <c r="T40" s="515"/>
      <c r="U40" s="514" t="s">
        <v>48</v>
      </c>
      <c r="V40" s="515"/>
      <c r="W40" s="514" t="s">
        <v>49</v>
      </c>
      <c r="X40" s="515"/>
      <c r="Y40" s="514" t="s">
        <v>50</v>
      </c>
      <c r="Z40" s="515"/>
      <c r="AA40" s="146"/>
      <c r="AB40" s="146"/>
    </row>
    <row r="41" spans="1:28" ht="30.75" thickBot="1" x14ac:dyDescent="0.25">
      <c r="A41" s="520"/>
      <c r="B41" s="521"/>
      <c r="C41" s="136" t="s">
        <v>152</v>
      </c>
      <c r="D41" s="137" t="s">
        <v>87</v>
      </c>
      <c r="E41" s="136" t="s">
        <v>152</v>
      </c>
      <c r="F41" s="137" t="s">
        <v>87</v>
      </c>
      <c r="G41" s="136" t="s">
        <v>152</v>
      </c>
      <c r="H41" s="137" t="s">
        <v>87</v>
      </c>
      <c r="I41" s="136" t="s">
        <v>152</v>
      </c>
      <c r="J41" s="137" t="s">
        <v>87</v>
      </c>
      <c r="K41" s="136" t="s">
        <v>152</v>
      </c>
      <c r="L41" s="137" t="s">
        <v>87</v>
      </c>
      <c r="M41" s="136" t="s">
        <v>152</v>
      </c>
      <c r="N41" s="137" t="s">
        <v>87</v>
      </c>
      <c r="O41" s="136" t="s">
        <v>152</v>
      </c>
      <c r="P41" s="137" t="s">
        <v>87</v>
      </c>
      <c r="Q41" s="136" t="s">
        <v>152</v>
      </c>
      <c r="R41" s="137" t="s">
        <v>87</v>
      </c>
      <c r="S41" s="136" t="s">
        <v>152</v>
      </c>
      <c r="T41" s="137" t="s">
        <v>87</v>
      </c>
      <c r="U41" s="136" t="s">
        <v>152</v>
      </c>
      <c r="V41" s="137" t="s">
        <v>87</v>
      </c>
      <c r="W41" s="136" t="s">
        <v>152</v>
      </c>
      <c r="X41" s="137" t="s">
        <v>87</v>
      </c>
      <c r="Y41" s="136" t="s">
        <v>152</v>
      </c>
      <c r="Z41" s="137" t="s">
        <v>87</v>
      </c>
      <c r="AA41" s="146"/>
      <c r="AB41" s="146"/>
    </row>
    <row r="42" spans="1:28" ht="15.75" customHeight="1" x14ac:dyDescent="0.25">
      <c r="A42" s="303">
        <v>3</v>
      </c>
      <c r="B42" s="26" t="s">
        <v>211</v>
      </c>
      <c r="C42" s="95">
        <v>3</v>
      </c>
      <c r="D42" s="95">
        <f t="shared" ref="D42" si="52">C42*$B$14</f>
        <v>530</v>
      </c>
      <c r="E42" s="95">
        <v>3</v>
      </c>
      <c r="F42" s="95">
        <f t="shared" ref="F42" si="53">E42*$B$14</f>
        <v>530</v>
      </c>
      <c r="G42" s="95">
        <v>3</v>
      </c>
      <c r="H42" s="95">
        <f t="shared" ref="H42" si="54">G42*$B$14</f>
        <v>530</v>
      </c>
      <c r="I42" s="95">
        <v>3</v>
      </c>
      <c r="J42" s="95">
        <f t="shared" ref="J42" si="55">I42*$B$14</f>
        <v>530</v>
      </c>
      <c r="K42" s="95">
        <v>3</v>
      </c>
      <c r="L42" s="95">
        <f t="shared" ref="L42" si="56">K42*$B$14</f>
        <v>530</v>
      </c>
      <c r="M42" s="95">
        <v>3</v>
      </c>
      <c r="N42" s="95">
        <f t="shared" ref="N42" si="57">M42*$B$14</f>
        <v>530</v>
      </c>
      <c r="O42" s="95">
        <v>3</v>
      </c>
      <c r="P42" s="95">
        <f t="shared" ref="P42" si="58">O42*$B$14</f>
        <v>530</v>
      </c>
      <c r="Q42" s="95">
        <v>3</v>
      </c>
      <c r="R42" s="95">
        <f t="shared" ref="R42:R46" si="59">Q42*$B$14</f>
        <v>530</v>
      </c>
      <c r="S42" s="95">
        <v>3</v>
      </c>
      <c r="T42" s="95">
        <f t="shared" ref="T42:T46" si="60">S42*$B$14</f>
        <v>530</v>
      </c>
      <c r="U42" s="95">
        <v>3</v>
      </c>
      <c r="V42" s="95">
        <f t="shared" ref="V42:V46" si="61">U42*$B$14</f>
        <v>530</v>
      </c>
      <c r="W42" s="95">
        <v>3</v>
      </c>
      <c r="X42" s="95">
        <f t="shared" ref="X42:X46" si="62">W42*$B$14</f>
        <v>530</v>
      </c>
      <c r="Y42" s="95">
        <v>3</v>
      </c>
      <c r="Z42" s="95">
        <f t="shared" ref="Z42:Z46" si="63">Y42*$B$14</f>
        <v>530</v>
      </c>
      <c r="AA42" s="146"/>
      <c r="AB42" s="146"/>
    </row>
    <row r="43" spans="1:28" ht="15.75" customHeight="1" x14ac:dyDescent="0.25">
      <c r="A43" s="27">
        <v>1</v>
      </c>
      <c r="B43" s="28" t="s">
        <v>178</v>
      </c>
      <c r="C43" s="95">
        <v>1</v>
      </c>
      <c r="D43" s="95">
        <f t="shared" ref="D43:D46" si="64">C43*$B$14</f>
        <v>176.66666666666666</v>
      </c>
      <c r="E43" s="95">
        <v>1</v>
      </c>
      <c r="F43" s="95">
        <f t="shared" ref="F43:F46" si="65">E43*$B$14</f>
        <v>176.66666666666666</v>
      </c>
      <c r="G43" s="95">
        <v>1</v>
      </c>
      <c r="H43" s="95">
        <f t="shared" ref="H43:H46" si="66">G43*$B$14</f>
        <v>176.66666666666666</v>
      </c>
      <c r="I43" s="95">
        <v>1</v>
      </c>
      <c r="J43" s="95">
        <f t="shared" ref="J43:J46" si="67">I43*$B$14</f>
        <v>176.66666666666666</v>
      </c>
      <c r="K43" s="95">
        <v>1</v>
      </c>
      <c r="L43" s="95">
        <f t="shared" ref="L43:L46" si="68">K43*$B$14</f>
        <v>176.66666666666666</v>
      </c>
      <c r="M43" s="95">
        <v>1</v>
      </c>
      <c r="N43" s="95">
        <f t="shared" ref="N43:N46" si="69">M43*$B$14</f>
        <v>176.66666666666666</v>
      </c>
      <c r="O43" s="95">
        <v>1</v>
      </c>
      <c r="P43" s="95">
        <f t="shared" ref="P43:P46" si="70">O43*$B$14</f>
        <v>176.66666666666666</v>
      </c>
      <c r="Q43" s="95">
        <v>1</v>
      </c>
      <c r="R43" s="95">
        <f t="shared" si="59"/>
        <v>176.66666666666666</v>
      </c>
      <c r="S43" s="95">
        <v>1</v>
      </c>
      <c r="T43" s="95">
        <f t="shared" si="60"/>
        <v>176.66666666666666</v>
      </c>
      <c r="U43" s="95">
        <v>1</v>
      </c>
      <c r="V43" s="95">
        <f t="shared" si="61"/>
        <v>176.66666666666666</v>
      </c>
      <c r="W43" s="95">
        <v>1</v>
      </c>
      <c r="X43" s="95">
        <f t="shared" si="62"/>
        <v>176.66666666666666</v>
      </c>
      <c r="Y43" s="95">
        <v>1</v>
      </c>
      <c r="Z43" s="95">
        <f t="shared" si="63"/>
        <v>176.66666666666666</v>
      </c>
      <c r="AA43" s="146"/>
      <c r="AB43" s="146"/>
    </row>
    <row r="44" spans="1:28" ht="14.25" customHeight="1" x14ac:dyDescent="0.25">
      <c r="A44" s="27">
        <v>1</v>
      </c>
      <c r="B44" s="28" t="s">
        <v>249</v>
      </c>
      <c r="C44" s="95">
        <v>1</v>
      </c>
      <c r="D44" s="95">
        <f t="shared" si="64"/>
        <v>176.66666666666666</v>
      </c>
      <c r="E44" s="95">
        <v>1</v>
      </c>
      <c r="F44" s="95">
        <f t="shared" si="65"/>
        <v>176.66666666666666</v>
      </c>
      <c r="G44" s="95">
        <v>1</v>
      </c>
      <c r="H44" s="95">
        <f t="shared" si="66"/>
        <v>176.66666666666666</v>
      </c>
      <c r="I44" s="95">
        <v>1</v>
      </c>
      <c r="J44" s="95">
        <f t="shared" si="67"/>
        <v>176.66666666666666</v>
      </c>
      <c r="K44" s="95">
        <v>1</v>
      </c>
      <c r="L44" s="95">
        <f t="shared" si="68"/>
        <v>176.66666666666666</v>
      </c>
      <c r="M44" s="95">
        <v>1</v>
      </c>
      <c r="N44" s="95">
        <f t="shared" si="69"/>
        <v>176.66666666666666</v>
      </c>
      <c r="O44" s="95">
        <v>1</v>
      </c>
      <c r="P44" s="95">
        <f t="shared" si="70"/>
        <v>176.66666666666666</v>
      </c>
      <c r="Q44" s="95">
        <v>1</v>
      </c>
      <c r="R44" s="95">
        <f t="shared" si="59"/>
        <v>176.66666666666666</v>
      </c>
      <c r="S44" s="95">
        <v>1</v>
      </c>
      <c r="T44" s="95">
        <f t="shared" si="60"/>
        <v>176.66666666666666</v>
      </c>
      <c r="U44" s="95">
        <v>1</v>
      </c>
      <c r="V44" s="95">
        <f t="shared" si="61"/>
        <v>176.66666666666666</v>
      </c>
      <c r="W44" s="95">
        <v>1</v>
      </c>
      <c r="X44" s="95">
        <f t="shared" si="62"/>
        <v>176.66666666666666</v>
      </c>
      <c r="Y44" s="95">
        <v>1</v>
      </c>
      <c r="Z44" s="95">
        <f t="shared" si="63"/>
        <v>176.66666666666666</v>
      </c>
      <c r="AA44" s="146"/>
      <c r="AB44" s="146"/>
    </row>
    <row r="45" spans="1:28" ht="15.75" customHeight="1" x14ac:dyDescent="0.25">
      <c r="A45" s="94">
        <v>3</v>
      </c>
      <c r="B45" s="28" t="s">
        <v>250</v>
      </c>
      <c r="C45" s="95">
        <v>2</v>
      </c>
      <c r="D45" s="95">
        <f t="shared" si="64"/>
        <v>353.33333333333331</v>
      </c>
      <c r="E45" s="95">
        <v>2</v>
      </c>
      <c r="F45" s="95">
        <f t="shared" si="65"/>
        <v>353.33333333333331</v>
      </c>
      <c r="G45" s="95">
        <v>2</v>
      </c>
      <c r="H45" s="95">
        <f t="shared" si="66"/>
        <v>353.33333333333331</v>
      </c>
      <c r="I45" s="95">
        <v>2</v>
      </c>
      <c r="J45" s="95">
        <f t="shared" si="67"/>
        <v>353.33333333333331</v>
      </c>
      <c r="K45" s="97">
        <v>3</v>
      </c>
      <c r="L45" s="97">
        <f t="shared" si="68"/>
        <v>530</v>
      </c>
      <c r="M45" s="97">
        <v>3</v>
      </c>
      <c r="N45" s="97">
        <f t="shared" si="69"/>
        <v>530</v>
      </c>
      <c r="O45" s="97">
        <v>3</v>
      </c>
      <c r="P45" s="97">
        <f t="shared" si="70"/>
        <v>530</v>
      </c>
      <c r="Q45" s="97">
        <v>3</v>
      </c>
      <c r="R45" s="97">
        <f t="shared" si="59"/>
        <v>530</v>
      </c>
      <c r="S45" s="97">
        <v>3</v>
      </c>
      <c r="T45" s="97">
        <f t="shared" si="60"/>
        <v>530</v>
      </c>
      <c r="U45" s="97">
        <v>3</v>
      </c>
      <c r="V45" s="97">
        <f t="shared" si="61"/>
        <v>530</v>
      </c>
      <c r="W45" s="97">
        <v>3</v>
      </c>
      <c r="X45" s="97">
        <f t="shared" si="62"/>
        <v>530</v>
      </c>
      <c r="Y45" s="97">
        <v>3</v>
      </c>
      <c r="Z45" s="97">
        <f t="shared" si="63"/>
        <v>530</v>
      </c>
      <c r="AA45" s="146"/>
      <c r="AB45" s="146"/>
    </row>
    <row r="46" spans="1:28" ht="15.75" customHeight="1" x14ac:dyDescent="0.25">
      <c r="A46" s="27">
        <v>3</v>
      </c>
      <c r="B46" s="28" t="s">
        <v>251</v>
      </c>
      <c r="C46" s="95">
        <v>3</v>
      </c>
      <c r="D46" s="95">
        <f t="shared" si="64"/>
        <v>530</v>
      </c>
      <c r="E46" s="95">
        <v>3</v>
      </c>
      <c r="F46" s="95">
        <f t="shared" si="65"/>
        <v>530</v>
      </c>
      <c r="G46" s="95">
        <v>3</v>
      </c>
      <c r="H46" s="95">
        <f t="shared" si="66"/>
        <v>530</v>
      </c>
      <c r="I46" s="95">
        <v>3</v>
      </c>
      <c r="J46" s="95">
        <f t="shared" si="67"/>
        <v>530</v>
      </c>
      <c r="K46" s="95">
        <v>3</v>
      </c>
      <c r="L46" s="95">
        <f t="shared" si="68"/>
        <v>530</v>
      </c>
      <c r="M46" s="95">
        <v>3</v>
      </c>
      <c r="N46" s="95">
        <f t="shared" si="69"/>
        <v>530</v>
      </c>
      <c r="O46" s="95">
        <v>3</v>
      </c>
      <c r="P46" s="95">
        <f t="shared" si="70"/>
        <v>530</v>
      </c>
      <c r="Q46" s="95">
        <v>3</v>
      </c>
      <c r="R46" s="95">
        <f t="shared" si="59"/>
        <v>530</v>
      </c>
      <c r="S46" s="95">
        <v>3</v>
      </c>
      <c r="T46" s="95">
        <f t="shared" si="60"/>
        <v>530</v>
      </c>
      <c r="U46" s="95">
        <v>3</v>
      </c>
      <c r="V46" s="95">
        <f t="shared" si="61"/>
        <v>530</v>
      </c>
      <c r="W46" s="95">
        <v>3</v>
      </c>
      <c r="X46" s="95">
        <f t="shared" si="62"/>
        <v>530</v>
      </c>
      <c r="Y46" s="95">
        <v>3</v>
      </c>
      <c r="Z46" s="95">
        <f t="shared" si="63"/>
        <v>530</v>
      </c>
      <c r="AA46" s="146"/>
      <c r="AB46" s="146"/>
    </row>
    <row r="47" spans="1:28" ht="15.75" customHeight="1" x14ac:dyDescent="0.2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  <c r="AA47" s="146"/>
      <c r="AB47" s="146"/>
    </row>
    <row r="48" spans="1:28" ht="15.75" customHeight="1" x14ac:dyDescent="0.2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A48" s="146"/>
      <c r="AB48" s="146"/>
    </row>
    <row r="49" spans="1:28" ht="15.75" customHeight="1" x14ac:dyDescent="0.2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</row>
    <row r="50" spans="1:28" ht="15.75" customHeight="1" x14ac:dyDescent="0.2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</row>
    <row r="51" spans="1:28" ht="15.75" customHeight="1" x14ac:dyDescent="0.2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</row>
    <row r="52" spans="1:28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46"/>
      <c r="V52" s="146"/>
      <c r="W52" s="146"/>
      <c r="X52" s="146"/>
      <c r="Y52" s="146"/>
      <c r="Z52" s="146"/>
      <c r="AA52" s="146"/>
      <c r="AB52" s="146"/>
    </row>
    <row r="53" spans="1:28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46"/>
      <c r="V53" s="146"/>
      <c r="W53" s="146"/>
      <c r="X53" s="146"/>
      <c r="Y53" s="146"/>
      <c r="Z53" s="146"/>
      <c r="AA53" s="146"/>
      <c r="AB53" s="146"/>
    </row>
    <row r="54" spans="1:28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46"/>
      <c r="V54" s="146"/>
      <c r="W54" s="146"/>
      <c r="X54" s="146"/>
      <c r="Y54" s="146"/>
      <c r="Z54" s="146"/>
      <c r="AA54" s="146"/>
      <c r="AB54" s="146"/>
    </row>
    <row r="55" spans="1:2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46"/>
      <c r="V55" s="146"/>
      <c r="W55" s="146"/>
      <c r="X55" s="146"/>
      <c r="Y55" s="146"/>
      <c r="Z55" s="146"/>
      <c r="AA55" s="146"/>
      <c r="AB55" s="146"/>
    </row>
    <row r="56" spans="1:2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46"/>
      <c r="V56" s="146"/>
      <c r="W56" s="146"/>
      <c r="X56" s="146"/>
      <c r="Y56" s="146"/>
      <c r="Z56" s="146"/>
      <c r="AA56" s="146"/>
      <c r="AB56" s="146"/>
    </row>
    <row r="57" spans="1:2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46"/>
      <c r="V57" s="146"/>
      <c r="W57" s="146"/>
      <c r="X57" s="146"/>
      <c r="Y57" s="146"/>
      <c r="Z57" s="146"/>
      <c r="AA57" s="146"/>
      <c r="AB57" s="146"/>
    </row>
    <row r="58" spans="1:2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46"/>
      <c r="V58" s="146"/>
      <c r="W58" s="146"/>
      <c r="X58" s="146"/>
      <c r="Y58" s="146"/>
      <c r="Z58" s="146"/>
      <c r="AA58" s="146"/>
      <c r="AB58" s="146"/>
    </row>
    <row r="59" spans="1:28" ht="15.75" customHeight="1" x14ac:dyDescent="0.2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</row>
    <row r="60" spans="1:28" ht="15.75" customHeight="1" x14ac:dyDescent="0.2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</row>
    <row r="61" spans="1:28" ht="15.75" customHeight="1" x14ac:dyDescent="0.2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</row>
    <row r="62" spans="1:28" ht="15.75" customHeight="1" x14ac:dyDescent="0.2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</row>
    <row r="63" spans="1:28" ht="15.75" customHeight="1" x14ac:dyDescent="0.2"/>
    <row r="64" spans="1:28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1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C20" sqref="C2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49"/>
      <c r="B1" s="149"/>
      <c r="C1" s="149"/>
      <c r="D1" s="149"/>
      <c r="E1" s="150" t="s">
        <v>12</v>
      </c>
      <c r="F1" s="149"/>
      <c r="G1" s="151"/>
      <c r="H1" s="151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30" t="s">
        <v>187</v>
      </c>
      <c r="C15" s="531"/>
      <c r="D15" s="531"/>
      <c r="E15" s="532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68" t="s">
        <v>32</v>
      </c>
      <c r="C16" s="169" t="s">
        <v>90</v>
      </c>
      <c r="D16" s="169" t="s">
        <v>91</v>
      </c>
      <c r="E16" s="170" t="s">
        <v>224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65" t="str">
        <f>Hipótesis!B37</f>
        <v>Inicial</v>
      </c>
      <c r="C17" s="166">
        <f>'Proy. ventas'!D23</f>
        <v>5940000</v>
      </c>
      <c r="D17" s="166">
        <f>'Proy. ventas'!D54</f>
        <v>15120000</v>
      </c>
      <c r="E17" s="167">
        <f>'Proy. ventas'!D85</f>
        <v>31230000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52" t="str">
        <f>Hipótesis!B38</f>
        <v>Normal</v>
      </c>
      <c r="C18" s="53">
        <f>'Proy. ventas'!D24</f>
        <v>11800000</v>
      </c>
      <c r="D18" s="161">
        <f>'Proy. ventas'!D55</f>
        <v>34400000</v>
      </c>
      <c r="E18" s="163">
        <f>'Proy. ventas'!D86</f>
        <v>56000000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54" t="str">
        <f>Hipótesis!B39</f>
        <v>Premium</v>
      </c>
      <c r="C19" s="55">
        <f>'Proy. ventas'!D25</f>
        <v>9460000</v>
      </c>
      <c r="D19" s="162">
        <f>'Proy. ventas'!D56</f>
        <v>27940000</v>
      </c>
      <c r="E19" s="16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56" t="s">
        <v>88</v>
      </c>
      <c r="C20" s="57">
        <f>SUM(C17:C19)</f>
        <v>27200000</v>
      </c>
      <c r="D20" s="57">
        <f>SUM(D17:D19)</f>
        <v>77460000</v>
      </c>
      <c r="E20" s="58">
        <f>SUM(E17:E19)</f>
        <v>133650000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" activePane="bottomLeft" state="frozen"/>
      <selection pane="bottomLeft" activeCell="H33" sqref="H33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9" customWidth="1"/>
    <col min="6" max="6" width="22.375" customWidth="1"/>
    <col min="7" max="7" width="19" customWidth="1"/>
    <col min="8" max="8" width="18.625" customWidth="1"/>
    <col min="9" max="9" width="19" customWidth="1"/>
    <col min="10" max="10" width="19.875" customWidth="1"/>
    <col min="11" max="11" width="18.125" customWidth="1"/>
    <col min="12" max="12" width="20" customWidth="1"/>
    <col min="13" max="13" width="19.75" customWidth="1"/>
    <col min="14" max="14" width="20.25" customWidth="1"/>
    <col min="15" max="15" width="18.5" customWidth="1"/>
    <col min="16" max="16" width="20.625" customWidth="1"/>
    <col min="17" max="17" width="108.375" customWidth="1"/>
    <col min="18" max="26" width="10" customWidth="1"/>
  </cols>
  <sheetData>
    <row r="1" spans="1:26" ht="83.25" customHeight="1" x14ac:dyDescent="0.25">
      <c r="A1" s="171"/>
      <c r="B1" s="171"/>
      <c r="C1" s="171"/>
      <c r="D1" s="171"/>
      <c r="E1" s="171"/>
      <c r="F1" s="172" t="s">
        <v>13</v>
      </c>
      <c r="G1" s="173"/>
      <c r="H1" s="173"/>
      <c r="I1" s="171"/>
      <c r="J1" s="171"/>
      <c r="K1" s="171"/>
      <c r="L1" s="171"/>
      <c r="M1" s="171"/>
      <c r="N1" s="171"/>
      <c r="O1" s="171"/>
      <c r="P1" s="171"/>
      <c r="Q1" s="171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35" t="s">
        <v>92</v>
      </c>
      <c r="E3" s="482"/>
      <c r="F3" s="45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1"/>
      <c r="C4" s="1"/>
      <c r="D4" s="174">
        <v>2022</v>
      </c>
      <c r="E4" s="152">
        <v>2023</v>
      </c>
      <c r="F4" s="17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1"/>
      <c r="C5" s="1"/>
      <c r="D5" s="20">
        <f>P15</f>
        <v>5450400</v>
      </c>
      <c r="E5" s="21">
        <f>P24</f>
        <v>15530400</v>
      </c>
      <c r="F5" s="22">
        <f>P33</f>
        <v>26604000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1"/>
      <c r="C6" s="1"/>
      <c r="D6" s="59"/>
      <c r="E6" s="59"/>
      <c r="F6" s="5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33" t="s">
        <v>97</v>
      </c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8"/>
      <c r="Q9" s="418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34" t="s">
        <v>93</v>
      </c>
      <c r="C10" s="418"/>
      <c r="D10" s="176" t="s">
        <v>39</v>
      </c>
      <c r="E10" s="176" t="s">
        <v>40</v>
      </c>
      <c r="F10" s="176" t="s">
        <v>41</v>
      </c>
      <c r="G10" s="176" t="s">
        <v>42</v>
      </c>
      <c r="H10" s="176" t="s">
        <v>43</v>
      </c>
      <c r="I10" s="176" t="s">
        <v>44</v>
      </c>
      <c r="J10" s="176" t="s">
        <v>45</v>
      </c>
      <c r="K10" s="176" t="s">
        <v>46</v>
      </c>
      <c r="L10" s="176" t="s">
        <v>47</v>
      </c>
      <c r="M10" s="176" t="s">
        <v>48</v>
      </c>
      <c r="N10" s="176" t="s">
        <v>49</v>
      </c>
      <c r="O10" s="176" t="s">
        <v>50</v>
      </c>
      <c r="P10" s="176" t="s">
        <v>94</v>
      </c>
      <c r="Q10" s="17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78" t="s">
        <v>240</v>
      </c>
      <c r="C11" s="179" t="s">
        <v>158</v>
      </c>
      <c r="D11" s="62">
        <f>$C$37</f>
        <v>4200</v>
      </c>
      <c r="E11" s="62">
        <f t="shared" ref="E11:O11" si="0">$C$37</f>
        <v>4200</v>
      </c>
      <c r="F11" s="62">
        <f t="shared" si="0"/>
        <v>4200</v>
      </c>
      <c r="G11" s="62">
        <f t="shared" si="0"/>
        <v>4200</v>
      </c>
      <c r="H11" s="62">
        <f t="shared" si="0"/>
        <v>4200</v>
      </c>
      <c r="I11" s="62">
        <f t="shared" si="0"/>
        <v>4200</v>
      </c>
      <c r="J11" s="62">
        <f t="shared" si="0"/>
        <v>4200</v>
      </c>
      <c r="K11" s="62">
        <f t="shared" si="0"/>
        <v>4200</v>
      </c>
      <c r="L11" s="62">
        <f t="shared" si="0"/>
        <v>4200</v>
      </c>
      <c r="M11" s="62">
        <f t="shared" si="0"/>
        <v>4200</v>
      </c>
      <c r="N11" s="62">
        <f t="shared" si="0"/>
        <v>4200</v>
      </c>
      <c r="O11" s="62">
        <f t="shared" si="0"/>
        <v>4200</v>
      </c>
      <c r="P11" s="177">
        <f t="shared" ref="P11:P14" si="1">SUM(D11:O11)</f>
        <v>50400</v>
      </c>
      <c r="Q11" s="18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93"/>
      <c r="B12" s="178" t="s">
        <v>241</v>
      </c>
      <c r="C12" s="179" t="s">
        <v>242</v>
      </c>
      <c r="D12" s="62">
        <f t="shared" ref="D12:O12" si="2">$C$38</f>
        <v>70000</v>
      </c>
      <c r="E12" s="62">
        <f t="shared" si="2"/>
        <v>70000</v>
      </c>
      <c r="F12" s="62">
        <f t="shared" si="2"/>
        <v>70000</v>
      </c>
      <c r="G12" s="62">
        <f t="shared" si="2"/>
        <v>70000</v>
      </c>
      <c r="H12" s="62">
        <f t="shared" si="2"/>
        <v>70000</v>
      </c>
      <c r="I12" s="62">
        <f t="shared" si="2"/>
        <v>70000</v>
      </c>
      <c r="J12" s="62">
        <f t="shared" si="2"/>
        <v>70000</v>
      </c>
      <c r="K12" s="62">
        <f t="shared" si="2"/>
        <v>70000</v>
      </c>
      <c r="L12" s="62">
        <f t="shared" si="2"/>
        <v>70000</v>
      </c>
      <c r="M12" s="62">
        <f t="shared" si="2"/>
        <v>70000</v>
      </c>
      <c r="N12" s="62">
        <f t="shared" si="2"/>
        <v>70000</v>
      </c>
      <c r="O12" s="62">
        <f t="shared" si="2"/>
        <v>70000</v>
      </c>
      <c r="P12" s="177">
        <f>SUM(D12:O12)</f>
        <v>840000</v>
      </c>
      <c r="Q12" s="182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25.5" customHeight="1" thickBot="1" x14ac:dyDescent="0.3">
      <c r="A13" s="1"/>
      <c r="B13" s="181" t="s">
        <v>231</v>
      </c>
      <c r="C13" s="179" t="s">
        <v>160</v>
      </c>
      <c r="D13" s="62">
        <f>$C$41</f>
        <v>200000</v>
      </c>
      <c r="E13" s="62">
        <f t="shared" ref="E13:O13" si="3">$C$41</f>
        <v>200000</v>
      </c>
      <c r="F13" s="62">
        <f t="shared" si="3"/>
        <v>200000</v>
      </c>
      <c r="G13" s="62">
        <f t="shared" si="3"/>
        <v>200000</v>
      </c>
      <c r="H13" s="62">
        <f t="shared" si="3"/>
        <v>200000</v>
      </c>
      <c r="I13" s="62">
        <f t="shared" si="3"/>
        <v>200000</v>
      </c>
      <c r="J13" s="62">
        <f t="shared" si="3"/>
        <v>200000</v>
      </c>
      <c r="K13" s="62">
        <f t="shared" si="3"/>
        <v>200000</v>
      </c>
      <c r="L13" s="62">
        <f t="shared" si="3"/>
        <v>200000</v>
      </c>
      <c r="M13" s="62">
        <f t="shared" si="3"/>
        <v>200000</v>
      </c>
      <c r="N13" s="62">
        <f t="shared" si="3"/>
        <v>200000</v>
      </c>
      <c r="O13" s="62">
        <f t="shared" si="3"/>
        <v>200000</v>
      </c>
      <c r="P13" s="177">
        <f t="shared" ref="P13" si="4">SUM(D13:O13)</f>
        <v>2400000</v>
      </c>
      <c r="Q13" s="18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81" t="s">
        <v>96</v>
      </c>
      <c r="C14" s="179" t="s">
        <v>159</v>
      </c>
      <c r="D14" s="62">
        <f>$C$44</f>
        <v>180000</v>
      </c>
      <c r="E14" s="62">
        <f t="shared" ref="E14:O14" si="5">$C$44</f>
        <v>180000</v>
      </c>
      <c r="F14" s="62">
        <f t="shared" si="5"/>
        <v>180000</v>
      </c>
      <c r="G14" s="62">
        <f t="shared" si="5"/>
        <v>180000</v>
      </c>
      <c r="H14" s="62">
        <f t="shared" si="5"/>
        <v>180000</v>
      </c>
      <c r="I14" s="62">
        <f t="shared" si="5"/>
        <v>180000</v>
      </c>
      <c r="J14" s="62">
        <f t="shared" si="5"/>
        <v>180000</v>
      </c>
      <c r="K14" s="62">
        <f t="shared" si="5"/>
        <v>180000</v>
      </c>
      <c r="L14" s="62">
        <f t="shared" si="5"/>
        <v>180000</v>
      </c>
      <c r="M14" s="62">
        <f t="shared" si="5"/>
        <v>180000</v>
      </c>
      <c r="N14" s="62">
        <f t="shared" si="5"/>
        <v>180000</v>
      </c>
      <c r="O14" s="62">
        <f t="shared" si="5"/>
        <v>180000</v>
      </c>
      <c r="P14" s="177">
        <f t="shared" si="1"/>
        <v>2160000</v>
      </c>
      <c r="Q14" s="18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79"/>
      <c r="C15" s="183" t="s">
        <v>30</v>
      </c>
      <c r="D15" s="177">
        <f t="shared" ref="D15:P15" si="6">SUM(D11:D14)</f>
        <v>454200</v>
      </c>
      <c r="E15" s="177">
        <f t="shared" si="6"/>
        <v>454200</v>
      </c>
      <c r="F15" s="177">
        <f t="shared" si="6"/>
        <v>454200</v>
      </c>
      <c r="G15" s="177">
        <f t="shared" si="6"/>
        <v>454200</v>
      </c>
      <c r="H15" s="177">
        <f t="shared" si="6"/>
        <v>454200</v>
      </c>
      <c r="I15" s="177">
        <f t="shared" si="6"/>
        <v>454200</v>
      </c>
      <c r="J15" s="177">
        <f t="shared" si="6"/>
        <v>454200</v>
      </c>
      <c r="K15" s="177">
        <f t="shared" si="6"/>
        <v>454200</v>
      </c>
      <c r="L15" s="177">
        <f t="shared" si="6"/>
        <v>454200</v>
      </c>
      <c r="M15" s="177">
        <f t="shared" si="6"/>
        <v>454200</v>
      </c>
      <c r="N15" s="177">
        <f t="shared" si="6"/>
        <v>454200</v>
      </c>
      <c r="O15" s="177">
        <f t="shared" si="6"/>
        <v>454200</v>
      </c>
      <c r="P15" s="60">
        <f t="shared" si="6"/>
        <v>5450400</v>
      </c>
      <c r="Q15" s="17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33" t="s">
        <v>98</v>
      </c>
      <c r="C18" s="418"/>
      <c r="D18" s="418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8"/>
      <c r="Q18" s="418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34" t="s">
        <v>93</v>
      </c>
      <c r="C19" s="418"/>
      <c r="D19" s="176" t="s">
        <v>39</v>
      </c>
      <c r="E19" s="176" t="s">
        <v>40</v>
      </c>
      <c r="F19" s="176" t="s">
        <v>41</v>
      </c>
      <c r="G19" s="176" t="s">
        <v>42</v>
      </c>
      <c r="H19" s="176" t="s">
        <v>43</v>
      </c>
      <c r="I19" s="176" t="s">
        <v>44</v>
      </c>
      <c r="J19" s="176" t="s">
        <v>45</v>
      </c>
      <c r="K19" s="176" t="s">
        <v>46</v>
      </c>
      <c r="L19" s="176" t="s">
        <v>47</v>
      </c>
      <c r="M19" s="176" t="s">
        <v>48</v>
      </c>
      <c r="N19" s="176" t="s">
        <v>49</v>
      </c>
      <c r="O19" s="176" t="s">
        <v>50</v>
      </c>
      <c r="P19" s="176" t="s">
        <v>94</v>
      </c>
      <c r="Q19" s="176" t="s">
        <v>95</v>
      </c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5.75" customHeight="1" thickBot="1" x14ac:dyDescent="0.3">
      <c r="A20" s="1"/>
      <c r="B20" s="178" t="s">
        <v>240</v>
      </c>
      <c r="C20" s="179" t="s">
        <v>158</v>
      </c>
      <c r="D20" s="62">
        <f>$C$37</f>
        <v>4200</v>
      </c>
      <c r="E20" s="62">
        <f t="shared" ref="E20:O20" si="7">$C$37</f>
        <v>4200</v>
      </c>
      <c r="F20" s="62">
        <f t="shared" si="7"/>
        <v>4200</v>
      </c>
      <c r="G20" s="62">
        <f t="shared" si="7"/>
        <v>4200</v>
      </c>
      <c r="H20" s="62">
        <f t="shared" si="7"/>
        <v>4200</v>
      </c>
      <c r="I20" s="62">
        <f t="shared" si="7"/>
        <v>4200</v>
      </c>
      <c r="J20" s="62">
        <f t="shared" si="7"/>
        <v>4200</v>
      </c>
      <c r="K20" s="62">
        <f t="shared" si="7"/>
        <v>4200</v>
      </c>
      <c r="L20" s="62">
        <f t="shared" si="7"/>
        <v>4200</v>
      </c>
      <c r="M20" s="62">
        <f t="shared" si="7"/>
        <v>4200</v>
      </c>
      <c r="N20" s="62">
        <f t="shared" si="7"/>
        <v>4200</v>
      </c>
      <c r="O20" s="62">
        <f t="shared" si="7"/>
        <v>4200</v>
      </c>
      <c r="P20" s="177">
        <f t="shared" ref="P20" si="8">SUM(D20:O20)</f>
        <v>50400</v>
      </c>
      <c r="Q20" s="180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 thickBot="1" x14ac:dyDescent="0.3">
      <c r="A21" s="1"/>
      <c r="B21" s="178" t="s">
        <v>241</v>
      </c>
      <c r="C21" s="179" t="s">
        <v>242</v>
      </c>
      <c r="D21" s="299">
        <f>$C$39</f>
        <v>90000</v>
      </c>
      <c r="E21" s="62">
        <f t="shared" ref="E21:O21" si="9">$C$39</f>
        <v>90000</v>
      </c>
      <c r="F21" s="62">
        <f t="shared" si="9"/>
        <v>90000</v>
      </c>
      <c r="G21" s="62">
        <f t="shared" si="9"/>
        <v>90000</v>
      </c>
      <c r="H21" s="62">
        <f t="shared" si="9"/>
        <v>90000</v>
      </c>
      <c r="I21" s="62">
        <f t="shared" si="9"/>
        <v>90000</v>
      </c>
      <c r="J21" s="62">
        <f t="shared" si="9"/>
        <v>90000</v>
      </c>
      <c r="K21" s="62">
        <f t="shared" si="9"/>
        <v>90000</v>
      </c>
      <c r="L21" s="62">
        <f t="shared" si="9"/>
        <v>90000</v>
      </c>
      <c r="M21" s="62">
        <f t="shared" si="9"/>
        <v>90000</v>
      </c>
      <c r="N21" s="62">
        <f t="shared" si="9"/>
        <v>90000</v>
      </c>
      <c r="O21" s="62">
        <f t="shared" si="9"/>
        <v>90000</v>
      </c>
      <c r="P21" s="177">
        <f>SUM(D21:O21)</f>
        <v>1080000</v>
      </c>
      <c r="Q21" s="182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 thickBot="1" x14ac:dyDescent="0.3">
      <c r="A22" s="1"/>
      <c r="B22" s="181" t="s">
        <v>231</v>
      </c>
      <c r="C22" s="179" t="s">
        <v>160</v>
      </c>
      <c r="D22" s="299">
        <f>$C$42</f>
        <v>700000</v>
      </c>
      <c r="E22" s="62">
        <f t="shared" ref="E22:O22" si="10">$C$42</f>
        <v>700000</v>
      </c>
      <c r="F22" s="62">
        <f t="shared" si="10"/>
        <v>700000</v>
      </c>
      <c r="G22" s="62">
        <f t="shared" si="10"/>
        <v>700000</v>
      </c>
      <c r="H22" s="62">
        <f t="shared" si="10"/>
        <v>700000</v>
      </c>
      <c r="I22" s="62">
        <f t="shared" si="10"/>
        <v>700000</v>
      </c>
      <c r="J22" s="62">
        <f t="shared" si="10"/>
        <v>700000</v>
      </c>
      <c r="K22" s="62">
        <f t="shared" si="10"/>
        <v>700000</v>
      </c>
      <c r="L22" s="62">
        <f t="shared" si="10"/>
        <v>700000</v>
      </c>
      <c r="M22" s="62">
        <f t="shared" si="10"/>
        <v>700000</v>
      </c>
      <c r="N22" s="62">
        <f t="shared" si="10"/>
        <v>700000</v>
      </c>
      <c r="O22" s="62">
        <f t="shared" si="10"/>
        <v>700000</v>
      </c>
      <c r="P22" s="177">
        <f t="shared" ref="P22:P23" si="11">SUM(D22:O22)</f>
        <v>8400000</v>
      </c>
      <c r="Q22" s="182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 thickBot="1" x14ac:dyDescent="0.3">
      <c r="A23" s="1"/>
      <c r="B23" s="181" t="s">
        <v>96</v>
      </c>
      <c r="C23" s="179" t="s">
        <v>159</v>
      </c>
      <c r="D23" s="299">
        <f>$C$45</f>
        <v>500000</v>
      </c>
      <c r="E23" s="62">
        <f t="shared" ref="E23:O23" si="12">$C$45</f>
        <v>500000</v>
      </c>
      <c r="F23" s="62">
        <f t="shared" si="12"/>
        <v>500000</v>
      </c>
      <c r="G23" s="62">
        <f t="shared" si="12"/>
        <v>500000</v>
      </c>
      <c r="H23" s="62">
        <f t="shared" si="12"/>
        <v>500000</v>
      </c>
      <c r="I23" s="62">
        <f t="shared" si="12"/>
        <v>500000</v>
      </c>
      <c r="J23" s="62">
        <f t="shared" si="12"/>
        <v>500000</v>
      </c>
      <c r="K23" s="62">
        <f t="shared" si="12"/>
        <v>500000</v>
      </c>
      <c r="L23" s="62">
        <f t="shared" si="12"/>
        <v>500000</v>
      </c>
      <c r="M23" s="62">
        <f t="shared" si="12"/>
        <v>500000</v>
      </c>
      <c r="N23" s="62">
        <f t="shared" si="12"/>
        <v>500000</v>
      </c>
      <c r="O23" s="62">
        <f t="shared" si="12"/>
        <v>500000</v>
      </c>
      <c r="P23" s="177">
        <f t="shared" si="11"/>
        <v>6000000</v>
      </c>
      <c r="Q23" s="182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 thickBot="1" x14ac:dyDescent="0.3">
      <c r="A24" s="1"/>
      <c r="B24" s="179"/>
      <c r="C24" s="183" t="s">
        <v>30</v>
      </c>
      <c r="D24" s="177">
        <f t="shared" ref="D24:P24" si="13">SUM(D20:D23)</f>
        <v>1294200</v>
      </c>
      <c r="E24" s="177">
        <f t="shared" si="13"/>
        <v>1294200</v>
      </c>
      <c r="F24" s="177">
        <f t="shared" si="13"/>
        <v>1294200</v>
      </c>
      <c r="G24" s="177">
        <f t="shared" si="13"/>
        <v>1294200</v>
      </c>
      <c r="H24" s="177">
        <f t="shared" si="13"/>
        <v>1294200</v>
      </c>
      <c r="I24" s="177">
        <f t="shared" si="13"/>
        <v>1294200</v>
      </c>
      <c r="J24" s="177">
        <f t="shared" si="13"/>
        <v>1294200</v>
      </c>
      <c r="K24" s="177">
        <f t="shared" si="13"/>
        <v>1294200</v>
      </c>
      <c r="L24" s="177">
        <f t="shared" si="13"/>
        <v>1294200</v>
      </c>
      <c r="M24" s="177">
        <f t="shared" si="13"/>
        <v>1294200</v>
      </c>
      <c r="N24" s="177">
        <f t="shared" si="13"/>
        <v>1294200</v>
      </c>
      <c r="O24" s="177">
        <f t="shared" si="13"/>
        <v>1294200</v>
      </c>
      <c r="P24" s="60">
        <f t="shared" si="13"/>
        <v>15530400</v>
      </c>
      <c r="Q24" s="179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30.75" customHeight="1" thickBot="1" x14ac:dyDescent="0.45">
      <c r="A27" s="1"/>
      <c r="B27" s="533" t="s">
        <v>188</v>
      </c>
      <c r="C27" s="418"/>
      <c r="D27" s="418"/>
      <c r="E27" s="418"/>
      <c r="F27" s="418"/>
      <c r="G27" s="418"/>
      <c r="H27" s="418"/>
      <c r="I27" s="418"/>
      <c r="J27" s="418"/>
      <c r="K27" s="418"/>
      <c r="L27" s="418"/>
      <c r="M27" s="418"/>
      <c r="N27" s="418"/>
      <c r="O27" s="418"/>
      <c r="P27" s="418"/>
      <c r="Q27" s="418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thickBot="1" x14ac:dyDescent="0.3">
      <c r="A28" s="1"/>
      <c r="B28" s="534" t="s">
        <v>93</v>
      </c>
      <c r="C28" s="418"/>
      <c r="D28" s="176" t="s">
        <v>39</v>
      </c>
      <c r="E28" s="176" t="s">
        <v>40</v>
      </c>
      <c r="F28" s="176" t="s">
        <v>41</v>
      </c>
      <c r="G28" s="176" t="s">
        <v>42</v>
      </c>
      <c r="H28" s="176" t="s">
        <v>43</v>
      </c>
      <c r="I28" s="176" t="s">
        <v>44</v>
      </c>
      <c r="J28" s="176" t="s">
        <v>45</v>
      </c>
      <c r="K28" s="176" t="s">
        <v>46</v>
      </c>
      <c r="L28" s="176" t="s">
        <v>47</v>
      </c>
      <c r="M28" s="176" t="s">
        <v>48</v>
      </c>
      <c r="N28" s="176" t="s">
        <v>49</v>
      </c>
      <c r="O28" s="176" t="s">
        <v>50</v>
      </c>
      <c r="P28" s="176" t="s">
        <v>94</v>
      </c>
      <c r="Q28" s="176" t="s">
        <v>95</v>
      </c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178" t="s">
        <v>240</v>
      </c>
      <c r="C29" s="179" t="s">
        <v>158</v>
      </c>
      <c r="D29" s="62">
        <f>$C$37</f>
        <v>4200</v>
      </c>
      <c r="E29" s="62">
        <f t="shared" ref="E29:G29" si="14">$C$37</f>
        <v>4200</v>
      </c>
      <c r="F29" s="62">
        <f t="shared" si="14"/>
        <v>4200</v>
      </c>
      <c r="G29" s="62">
        <f t="shared" si="14"/>
        <v>4200</v>
      </c>
      <c r="H29" s="299">
        <f t="shared" ref="H29:O29" si="15">$C$37 * 2</f>
        <v>8400</v>
      </c>
      <c r="I29" s="62">
        <f t="shared" si="15"/>
        <v>8400</v>
      </c>
      <c r="J29" s="62">
        <f t="shared" si="15"/>
        <v>8400</v>
      </c>
      <c r="K29" s="62">
        <f t="shared" si="15"/>
        <v>8400</v>
      </c>
      <c r="L29" s="62">
        <f t="shared" si="15"/>
        <v>8400</v>
      </c>
      <c r="M29" s="62">
        <f t="shared" si="15"/>
        <v>8400</v>
      </c>
      <c r="N29" s="62">
        <f t="shared" si="15"/>
        <v>8400</v>
      </c>
      <c r="O29" s="62">
        <f t="shared" si="15"/>
        <v>8400</v>
      </c>
      <c r="P29" s="177">
        <f t="shared" ref="P29" si="16">SUM(D29:O29)</f>
        <v>84000</v>
      </c>
      <c r="Q29" s="180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21" customHeight="1" thickBot="1" x14ac:dyDescent="0.3">
      <c r="A30" s="146"/>
      <c r="B30" s="178" t="s">
        <v>241</v>
      </c>
      <c r="C30" s="179" t="s">
        <v>242</v>
      </c>
      <c r="D30" s="299">
        <f>$C$40</f>
        <v>110000</v>
      </c>
      <c r="E30" s="62">
        <f t="shared" ref="E30:O30" si="17">$C$40</f>
        <v>110000</v>
      </c>
      <c r="F30" s="62">
        <f t="shared" si="17"/>
        <v>110000</v>
      </c>
      <c r="G30" s="62">
        <f t="shared" si="17"/>
        <v>110000</v>
      </c>
      <c r="H30" s="62">
        <f t="shared" si="17"/>
        <v>110000</v>
      </c>
      <c r="I30" s="62">
        <f t="shared" si="17"/>
        <v>110000</v>
      </c>
      <c r="J30" s="62">
        <f t="shared" si="17"/>
        <v>110000</v>
      </c>
      <c r="K30" s="62">
        <f t="shared" si="17"/>
        <v>110000</v>
      </c>
      <c r="L30" s="62">
        <f t="shared" si="17"/>
        <v>110000</v>
      </c>
      <c r="M30" s="62">
        <f t="shared" si="17"/>
        <v>110000</v>
      </c>
      <c r="N30" s="62">
        <f t="shared" si="17"/>
        <v>110000</v>
      </c>
      <c r="O30" s="62">
        <f t="shared" si="17"/>
        <v>110000</v>
      </c>
      <c r="P30" s="177">
        <f>SUM(D30:O30)</f>
        <v>1320000</v>
      </c>
      <c r="Q30" s="18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46"/>
      <c r="B31" s="181" t="s">
        <v>231</v>
      </c>
      <c r="C31" s="179" t="s">
        <v>160</v>
      </c>
      <c r="D31" s="299">
        <f>$C$43</f>
        <v>1200000</v>
      </c>
      <c r="E31" s="62">
        <f t="shared" ref="E31:O31" si="18">$C$43</f>
        <v>1200000</v>
      </c>
      <c r="F31" s="62">
        <f t="shared" si="18"/>
        <v>1200000</v>
      </c>
      <c r="G31" s="62">
        <f t="shared" si="18"/>
        <v>1200000</v>
      </c>
      <c r="H31" s="62">
        <f t="shared" si="18"/>
        <v>1200000</v>
      </c>
      <c r="I31" s="62">
        <f t="shared" si="18"/>
        <v>1200000</v>
      </c>
      <c r="J31" s="62">
        <f t="shared" si="18"/>
        <v>1200000</v>
      </c>
      <c r="K31" s="62">
        <f t="shared" si="18"/>
        <v>1200000</v>
      </c>
      <c r="L31" s="62">
        <f t="shared" si="18"/>
        <v>1200000</v>
      </c>
      <c r="M31" s="62">
        <f t="shared" si="18"/>
        <v>1200000</v>
      </c>
      <c r="N31" s="62">
        <f t="shared" si="18"/>
        <v>1200000</v>
      </c>
      <c r="O31" s="62">
        <f t="shared" si="18"/>
        <v>1200000</v>
      </c>
      <c r="P31" s="177">
        <f t="shared" ref="P31:P32" si="19">SUM(D31:O31)</f>
        <v>14400000</v>
      </c>
      <c r="Q31" s="18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46"/>
      <c r="B32" s="181" t="s">
        <v>96</v>
      </c>
      <c r="C32" s="179" t="s">
        <v>159</v>
      </c>
      <c r="D32" s="299">
        <f>$C$46</f>
        <v>900000</v>
      </c>
      <c r="E32" s="62">
        <f t="shared" ref="E32:O32" si="20">$C$46</f>
        <v>900000</v>
      </c>
      <c r="F32" s="62">
        <f t="shared" si="20"/>
        <v>900000</v>
      </c>
      <c r="G32" s="62">
        <f t="shared" si="20"/>
        <v>900000</v>
      </c>
      <c r="H32" s="62">
        <f t="shared" si="20"/>
        <v>900000</v>
      </c>
      <c r="I32" s="62">
        <f t="shared" si="20"/>
        <v>900000</v>
      </c>
      <c r="J32" s="62">
        <f t="shared" si="20"/>
        <v>900000</v>
      </c>
      <c r="K32" s="62">
        <f t="shared" si="20"/>
        <v>900000</v>
      </c>
      <c r="L32" s="62">
        <f t="shared" si="20"/>
        <v>900000</v>
      </c>
      <c r="M32" s="62">
        <f t="shared" si="20"/>
        <v>900000</v>
      </c>
      <c r="N32" s="62">
        <f t="shared" si="20"/>
        <v>900000</v>
      </c>
      <c r="O32" s="62">
        <f t="shared" si="20"/>
        <v>900000</v>
      </c>
      <c r="P32" s="177">
        <f t="shared" si="19"/>
        <v>10800000</v>
      </c>
      <c r="Q32" s="18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46"/>
      <c r="B33" s="179"/>
      <c r="C33" s="183" t="s">
        <v>30</v>
      </c>
      <c r="D33" s="177">
        <f t="shared" ref="D33:P33" si="21">SUM(D29:D32)</f>
        <v>2214200</v>
      </c>
      <c r="E33" s="177">
        <f t="shared" si="21"/>
        <v>2214200</v>
      </c>
      <c r="F33" s="177">
        <f t="shared" si="21"/>
        <v>2214200</v>
      </c>
      <c r="G33" s="177">
        <f t="shared" si="21"/>
        <v>2214200</v>
      </c>
      <c r="H33" s="177">
        <f t="shared" si="21"/>
        <v>2218400</v>
      </c>
      <c r="I33" s="177">
        <f t="shared" si="21"/>
        <v>2218400</v>
      </c>
      <c r="J33" s="177">
        <f t="shared" si="21"/>
        <v>2218400</v>
      </c>
      <c r="K33" s="177">
        <f t="shared" si="21"/>
        <v>2218400</v>
      </c>
      <c r="L33" s="177">
        <f t="shared" si="21"/>
        <v>2218400</v>
      </c>
      <c r="M33" s="177">
        <f t="shared" si="21"/>
        <v>2218400</v>
      </c>
      <c r="N33" s="177">
        <f t="shared" si="21"/>
        <v>2218400</v>
      </c>
      <c r="O33" s="177">
        <f t="shared" si="21"/>
        <v>2218400</v>
      </c>
      <c r="P33" s="60">
        <f t="shared" si="21"/>
        <v>26604000</v>
      </c>
      <c r="Q33" s="17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5.75" customHeight="1" x14ac:dyDescent="0.25">
      <c r="A36" s="146"/>
      <c r="B36" s="284" t="s">
        <v>209</v>
      </c>
      <c r="C36" s="284" t="s">
        <v>100</v>
      </c>
      <c r="D36" s="146"/>
      <c r="E36" s="146"/>
      <c r="F36" s="146"/>
      <c r="G36" s="146"/>
      <c r="H36" s="146"/>
      <c r="I36" s="146"/>
      <c r="J36" s="146"/>
      <c r="K36" s="146"/>
      <c r="L36" s="146"/>
      <c r="M36" s="1"/>
      <c r="N36" s="1"/>
      <c r="O36" s="1"/>
      <c r="P36" s="1"/>
      <c r="Q36" s="1"/>
      <c r="R36" s="1"/>
      <c r="S36" s="1"/>
      <c r="T36" s="1"/>
      <c r="U36" s="1"/>
      <c r="V36" s="146"/>
      <c r="W36" s="146"/>
      <c r="X36" s="146"/>
      <c r="Y36" s="146"/>
      <c r="Z36" s="146"/>
    </row>
    <row r="37" spans="1:26" ht="15.75" customHeight="1" x14ac:dyDescent="0.25">
      <c r="A37" s="146"/>
      <c r="B37" s="230" t="s">
        <v>243</v>
      </c>
      <c r="C37" s="231">
        <v>4200</v>
      </c>
      <c r="D37" s="146"/>
      <c r="E37" s="146"/>
      <c r="F37" s="146"/>
      <c r="G37" s="146"/>
      <c r="H37" s="146"/>
      <c r="I37" s="146"/>
      <c r="J37" s="146"/>
      <c r="K37" s="146"/>
      <c r="L37" s="146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46"/>
      <c r="B38" s="230" t="s">
        <v>246</v>
      </c>
      <c r="C38" s="231">
        <v>70000</v>
      </c>
      <c r="D38" s="146"/>
      <c r="E38" s="146"/>
      <c r="F38" s="146"/>
      <c r="G38" s="146"/>
      <c r="H38" s="93"/>
      <c r="I38" s="93"/>
      <c r="J38" s="93"/>
      <c r="K38" s="93"/>
      <c r="L38" s="93"/>
      <c r="M38" s="93"/>
      <c r="N38" s="93"/>
      <c r="O38" s="93"/>
      <c r="P38" s="93"/>
      <c r="Q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 x14ac:dyDescent="0.25">
      <c r="A39" s="146"/>
      <c r="B39" s="230" t="s">
        <v>244</v>
      </c>
      <c r="C39" s="231">
        <v>90000</v>
      </c>
      <c r="D39" s="146"/>
      <c r="E39" s="146"/>
      <c r="F39" s="146"/>
      <c r="G39" s="146"/>
      <c r="H39" s="146"/>
      <c r="I39" s="146"/>
      <c r="J39" s="146"/>
      <c r="K39" s="146"/>
      <c r="L39" s="146"/>
      <c r="M39" s="1"/>
      <c r="N39" s="1"/>
      <c r="O39" s="1"/>
      <c r="P39" s="1"/>
      <c r="Q39" s="1"/>
      <c r="R39" s="1"/>
      <c r="S39" s="1"/>
      <c r="T39" s="1"/>
      <c r="U39" s="1"/>
      <c r="V39" s="146"/>
      <c r="W39" s="146"/>
      <c r="X39" s="146"/>
      <c r="Y39" s="146"/>
      <c r="Z39" s="146"/>
    </row>
    <row r="40" spans="1:26" ht="15.75" customHeight="1" x14ac:dyDescent="0.25">
      <c r="A40" s="146"/>
      <c r="B40" s="230" t="s">
        <v>245</v>
      </c>
      <c r="C40" s="231">
        <v>110000</v>
      </c>
      <c r="D40" s="146"/>
      <c r="E40" s="146"/>
      <c r="F40" s="146"/>
      <c r="G40" s="146"/>
      <c r="H40" s="146"/>
      <c r="I40" s="146"/>
      <c r="J40" s="146"/>
      <c r="K40" s="146"/>
      <c r="L40" s="1"/>
      <c r="M40" s="1"/>
      <c r="N40" s="1"/>
      <c r="O40" s="1"/>
      <c r="P40" s="1"/>
      <c r="Q40" s="1"/>
      <c r="R40" s="1"/>
      <c r="S40" s="1"/>
      <c r="T40" s="1"/>
      <c r="U40" s="146"/>
      <c r="V40" s="146"/>
      <c r="W40" s="146"/>
      <c r="X40" s="146"/>
      <c r="Y40" s="146"/>
      <c r="Z40" s="146"/>
    </row>
    <row r="41" spans="1:26" ht="15.75" customHeight="1" x14ac:dyDescent="0.25">
      <c r="A41" s="146"/>
      <c r="B41" s="230" t="s">
        <v>321</v>
      </c>
      <c r="C41" s="231">
        <v>200000</v>
      </c>
      <c r="D41" s="146"/>
      <c r="E41" s="146"/>
      <c r="F41" s="146"/>
      <c r="G41" s="146"/>
      <c r="H41" s="146"/>
      <c r="I41" s="146"/>
      <c r="J41" s="146"/>
      <c r="K41" s="146"/>
      <c r="L41" s="1"/>
      <c r="M41" s="1"/>
      <c r="N41" s="1"/>
      <c r="O41" s="1"/>
      <c r="P41" s="1"/>
      <c r="Q41" s="1"/>
      <c r="R41" s="1"/>
      <c r="S41" s="1"/>
      <c r="T41" s="1"/>
      <c r="U41" s="146"/>
      <c r="V41" s="146"/>
      <c r="W41" s="146"/>
      <c r="X41" s="146"/>
      <c r="Y41" s="146"/>
      <c r="Z41" s="146"/>
    </row>
    <row r="42" spans="1:26" ht="15.75" customHeight="1" x14ac:dyDescent="0.25">
      <c r="A42" s="146"/>
      <c r="B42" s="230" t="s">
        <v>322</v>
      </c>
      <c r="C42" s="231">
        <v>700000</v>
      </c>
      <c r="D42" s="146"/>
      <c r="E42" s="146"/>
      <c r="F42" s="146"/>
      <c r="G42" s="146"/>
      <c r="H42" s="146"/>
      <c r="I42" s="146"/>
      <c r="J42" s="146"/>
      <c r="K42" s="146"/>
      <c r="L42" s="146"/>
      <c r="M42" s="1"/>
      <c r="N42" s="1"/>
      <c r="O42" s="1"/>
      <c r="P42" s="1"/>
      <c r="Q42" s="1"/>
      <c r="R42" s="1"/>
      <c r="S42" s="1"/>
      <c r="T42" s="1"/>
      <c r="U42" s="1"/>
      <c r="V42" s="146"/>
      <c r="W42" s="146"/>
      <c r="X42" s="146"/>
      <c r="Y42" s="146"/>
      <c r="Z42" s="146"/>
    </row>
    <row r="43" spans="1:26" ht="15.75" customHeight="1" x14ac:dyDescent="0.25">
      <c r="A43" s="146"/>
      <c r="B43" s="230" t="s">
        <v>323</v>
      </c>
      <c r="C43" s="231">
        <v>1200000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46"/>
      <c r="B44" s="230" t="s">
        <v>317</v>
      </c>
      <c r="C44" s="231">
        <v>180000</v>
      </c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46"/>
      <c r="B45" s="230" t="s">
        <v>318</v>
      </c>
      <c r="C45" s="231">
        <v>500000</v>
      </c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230" t="s">
        <v>319</v>
      </c>
      <c r="C46" s="231">
        <v>900000</v>
      </c>
      <c r="D46" s="146"/>
      <c r="E46" s="146"/>
      <c r="F46" s="146"/>
      <c r="G46" s="146"/>
      <c r="H46" s="14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31"/>
  <sheetViews>
    <sheetView zoomScale="70" zoomScaleNormal="70" workbookViewId="0">
      <pane ySplit="1" topLeftCell="A2" activePane="bottomLeft" state="frozen"/>
      <selection pane="bottomLeft" activeCell="I26" sqref="I26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9.5" customWidth="1"/>
    <col min="7" max="7" width="20.625" customWidth="1"/>
    <col min="8" max="8" width="18.62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71"/>
      <c r="B1" s="294"/>
      <c r="C1" s="171"/>
      <c r="D1" s="171"/>
      <c r="E1" s="171"/>
      <c r="F1" s="171"/>
      <c r="G1" s="172" t="s">
        <v>248</v>
      </c>
      <c r="H1" s="173"/>
      <c r="I1" s="173"/>
      <c r="J1" s="171"/>
      <c r="K1" s="171"/>
      <c r="L1" s="171"/>
      <c r="M1" s="171"/>
      <c r="N1" s="171"/>
      <c r="O1" s="171"/>
      <c r="P1" s="171"/>
      <c r="Q1" s="171"/>
      <c r="R1" s="171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5.75" thickBot="1" x14ac:dyDescent="0.3">
      <c r="A2" s="1"/>
      <c r="B2" s="9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93"/>
      <c r="C3" s="1"/>
      <c r="D3" s="1"/>
      <c r="E3" s="535" t="s">
        <v>92</v>
      </c>
      <c r="F3" s="482"/>
      <c r="G3" s="45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355"/>
      <c r="X3" s="355"/>
      <c r="Y3" s="320"/>
      <c r="Z3" s="320"/>
      <c r="AA3" s="320"/>
    </row>
    <row r="4" spans="1:27" x14ac:dyDescent="0.25">
      <c r="A4" s="1"/>
      <c r="B4" s="93"/>
      <c r="C4" s="1"/>
      <c r="D4" s="1"/>
      <c r="E4" s="174">
        <v>2022</v>
      </c>
      <c r="F4" s="152">
        <v>2023</v>
      </c>
      <c r="G4" s="17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355"/>
      <c r="X4" s="355"/>
      <c r="Y4" s="320"/>
      <c r="Z4" s="320"/>
      <c r="AA4" s="320"/>
    </row>
    <row r="5" spans="1:27" ht="15.75" thickBot="1" x14ac:dyDescent="0.3">
      <c r="A5" s="1"/>
      <c r="B5" s="93"/>
      <c r="C5" s="1"/>
      <c r="D5" s="1"/>
      <c r="E5" s="20">
        <f>Q17</f>
        <v>8630000</v>
      </c>
      <c r="F5" s="21">
        <f>Q28</f>
        <v>14410000</v>
      </c>
      <c r="G5" s="22">
        <f>Q39</f>
        <v>17780000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355"/>
      <c r="X5" s="355"/>
      <c r="Y5" s="320"/>
      <c r="Z5" s="320"/>
      <c r="AA5" s="320"/>
    </row>
    <row r="6" spans="1:27" x14ac:dyDescent="0.25">
      <c r="A6" s="1"/>
      <c r="B6" s="93"/>
      <c r="C6" s="1"/>
      <c r="D6" s="1"/>
      <c r="E6" s="59"/>
      <c r="F6" s="59"/>
      <c r="G6" s="5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355"/>
      <c r="X6" s="355"/>
      <c r="Y6" s="320"/>
      <c r="Z6" s="320"/>
      <c r="AA6" s="320"/>
    </row>
    <row r="7" spans="1:27" x14ac:dyDescent="0.25">
      <c r="A7" s="1"/>
      <c r="B7" s="9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355"/>
      <c r="X7" s="355"/>
      <c r="Y7" s="355"/>
      <c r="Z7" s="355"/>
      <c r="AA7" s="355"/>
    </row>
    <row r="8" spans="1:27" ht="15.75" thickBot="1" x14ac:dyDescent="0.3">
      <c r="A8" s="1"/>
      <c r="B8" s="9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355"/>
      <c r="X8" s="355"/>
      <c r="Y8" s="355"/>
      <c r="Z8" s="355"/>
      <c r="AA8" s="355"/>
    </row>
    <row r="9" spans="1:27" ht="27" thickBot="1" x14ac:dyDescent="0.45">
      <c r="A9" s="1"/>
      <c r="B9" s="540" t="s">
        <v>314</v>
      </c>
      <c r="C9" s="541"/>
      <c r="D9" s="541"/>
      <c r="E9" s="541"/>
      <c r="F9" s="541"/>
      <c r="G9" s="541"/>
      <c r="H9" s="541"/>
      <c r="I9" s="541"/>
      <c r="J9" s="541"/>
      <c r="K9" s="541"/>
      <c r="L9" s="541"/>
      <c r="M9" s="541"/>
      <c r="N9" s="541"/>
      <c r="O9" s="541"/>
      <c r="P9" s="541"/>
      <c r="Q9" s="541"/>
      <c r="R9" s="542"/>
      <c r="S9" s="1"/>
      <c r="T9" s="1"/>
      <c r="U9" s="1"/>
      <c r="V9" s="1"/>
      <c r="W9" s="355"/>
      <c r="X9" s="355"/>
      <c r="Y9" s="355"/>
      <c r="Z9" s="355"/>
      <c r="AA9" s="355"/>
    </row>
    <row r="10" spans="1:27" ht="19.5" thickBot="1" x14ac:dyDescent="0.3">
      <c r="A10" s="1"/>
      <c r="B10" s="178" t="s">
        <v>52</v>
      </c>
      <c r="C10" s="536" t="s">
        <v>93</v>
      </c>
      <c r="D10" s="537"/>
      <c r="E10" s="295" t="s">
        <v>39</v>
      </c>
      <c r="F10" s="295" t="s">
        <v>40</v>
      </c>
      <c r="G10" s="295" t="s">
        <v>41</v>
      </c>
      <c r="H10" s="295" t="s">
        <v>42</v>
      </c>
      <c r="I10" s="295" t="s">
        <v>43</v>
      </c>
      <c r="J10" s="295" t="s">
        <v>44</v>
      </c>
      <c r="K10" s="295" t="s">
        <v>45</v>
      </c>
      <c r="L10" s="295" t="s">
        <v>46</v>
      </c>
      <c r="M10" s="295" t="s">
        <v>47</v>
      </c>
      <c r="N10" s="295" t="s">
        <v>48</v>
      </c>
      <c r="O10" s="295" t="s">
        <v>49</v>
      </c>
      <c r="P10" s="295" t="s">
        <v>50</v>
      </c>
      <c r="Q10" s="295" t="s">
        <v>94</v>
      </c>
      <c r="R10" s="295" t="s">
        <v>95</v>
      </c>
      <c r="S10" s="1"/>
      <c r="T10" s="1"/>
      <c r="U10" s="1"/>
      <c r="V10" s="1"/>
      <c r="W10" s="355"/>
      <c r="X10" s="355"/>
      <c r="Y10" s="355"/>
      <c r="Z10" s="355"/>
      <c r="AA10" s="355"/>
    </row>
    <row r="11" spans="1:27" ht="17.25" customHeight="1" thickBot="1" x14ac:dyDescent="0.3">
      <c r="A11" s="93"/>
      <c r="B11" s="298">
        <v>2</v>
      </c>
      <c r="C11" s="178" t="s">
        <v>189</v>
      </c>
      <c r="D11" s="179" t="s">
        <v>194</v>
      </c>
      <c r="E11" s="62">
        <f t="shared" ref="E11:J11" si="0">$D$46</f>
        <v>60000</v>
      </c>
      <c r="F11" s="62">
        <f t="shared" si="0"/>
        <v>60000</v>
      </c>
      <c r="G11" s="62">
        <f t="shared" si="0"/>
        <v>60000</v>
      </c>
      <c r="H11" s="62">
        <f t="shared" si="0"/>
        <v>60000</v>
      </c>
      <c r="I11" s="62">
        <f t="shared" si="0"/>
        <v>60000</v>
      </c>
      <c r="J11" s="62">
        <f t="shared" si="0"/>
        <v>60000</v>
      </c>
      <c r="K11" s="299">
        <f>$D$46 * 2</f>
        <v>120000</v>
      </c>
      <c r="L11" s="310">
        <f t="shared" ref="L11:P11" si="1">$D$46 * 2</f>
        <v>120000</v>
      </c>
      <c r="M11" s="310">
        <f t="shared" si="1"/>
        <v>120000</v>
      </c>
      <c r="N11" s="310">
        <f t="shared" si="1"/>
        <v>120000</v>
      </c>
      <c r="O11" s="310">
        <f t="shared" si="1"/>
        <v>120000</v>
      </c>
      <c r="P11" s="310">
        <f t="shared" si="1"/>
        <v>120000</v>
      </c>
      <c r="Q11" s="177">
        <f t="shared" ref="Q11:Q16" si="2">SUM(E11:P11)</f>
        <v>1080000</v>
      </c>
      <c r="R11" s="179" t="s">
        <v>263</v>
      </c>
      <c r="S11" s="93"/>
      <c r="T11" s="93"/>
      <c r="U11" s="93"/>
      <c r="V11" s="93"/>
      <c r="W11" s="356"/>
      <c r="X11" s="356"/>
      <c r="Y11" s="356"/>
      <c r="Z11" s="356"/>
      <c r="AA11" s="356"/>
    </row>
    <row r="12" spans="1:27" ht="17.25" customHeight="1" thickBot="1" x14ac:dyDescent="0.3">
      <c r="A12" s="93"/>
      <c r="B12" s="298">
        <v>2</v>
      </c>
      <c r="C12" s="178" t="s">
        <v>190</v>
      </c>
      <c r="D12" s="179" t="s">
        <v>195</v>
      </c>
      <c r="E12" s="62">
        <f t="shared" ref="E12:J12" si="3">$D$47</f>
        <v>20000</v>
      </c>
      <c r="F12" s="62">
        <f t="shared" si="3"/>
        <v>20000</v>
      </c>
      <c r="G12" s="62">
        <f t="shared" si="3"/>
        <v>20000</v>
      </c>
      <c r="H12" s="62">
        <f t="shared" si="3"/>
        <v>20000</v>
      </c>
      <c r="I12" s="62">
        <f t="shared" si="3"/>
        <v>20000</v>
      </c>
      <c r="J12" s="62">
        <f t="shared" si="3"/>
        <v>20000</v>
      </c>
      <c r="K12" s="299">
        <f>$D$47 * 2</f>
        <v>40000</v>
      </c>
      <c r="L12" s="300">
        <f t="shared" ref="L12:P12" si="4">$D$47 * 2</f>
        <v>40000</v>
      </c>
      <c r="M12" s="300">
        <f t="shared" si="4"/>
        <v>40000</v>
      </c>
      <c r="N12" s="300">
        <f t="shared" si="4"/>
        <v>40000</v>
      </c>
      <c r="O12" s="300">
        <f t="shared" si="4"/>
        <v>40000</v>
      </c>
      <c r="P12" s="300">
        <f t="shared" si="4"/>
        <v>40000</v>
      </c>
      <c r="Q12" s="177">
        <f t="shared" si="2"/>
        <v>360000</v>
      </c>
      <c r="R12" s="179" t="s">
        <v>262</v>
      </c>
      <c r="S12" s="93"/>
      <c r="T12" s="93"/>
      <c r="U12" s="93"/>
      <c r="V12" s="93"/>
      <c r="W12" s="356"/>
      <c r="X12" s="356"/>
      <c r="Y12" s="356"/>
      <c r="Z12" s="356"/>
      <c r="AA12" s="356"/>
    </row>
    <row r="13" spans="1:27" ht="15.75" customHeight="1" thickBot="1" x14ac:dyDescent="0.3">
      <c r="A13" s="93"/>
      <c r="B13" s="298">
        <v>2</v>
      </c>
      <c r="C13" s="178" t="s">
        <v>191</v>
      </c>
      <c r="D13" s="179" t="s">
        <v>196</v>
      </c>
      <c r="E13" s="62">
        <f t="shared" ref="E13:J13" si="5">$D$48</f>
        <v>40000</v>
      </c>
      <c r="F13" s="62">
        <f t="shared" si="5"/>
        <v>40000</v>
      </c>
      <c r="G13" s="62">
        <f t="shared" si="5"/>
        <v>40000</v>
      </c>
      <c r="H13" s="62">
        <f t="shared" si="5"/>
        <v>40000</v>
      </c>
      <c r="I13" s="62">
        <f t="shared" si="5"/>
        <v>40000</v>
      </c>
      <c r="J13" s="62">
        <f t="shared" si="5"/>
        <v>40000</v>
      </c>
      <c r="K13" s="299">
        <f>$D$48 * 2</f>
        <v>80000</v>
      </c>
      <c r="L13" s="62">
        <f t="shared" ref="L13:P13" si="6">$D$48 * 2</f>
        <v>80000</v>
      </c>
      <c r="M13" s="62">
        <f t="shared" si="6"/>
        <v>80000</v>
      </c>
      <c r="N13" s="62">
        <f t="shared" si="6"/>
        <v>80000</v>
      </c>
      <c r="O13" s="62">
        <f t="shared" si="6"/>
        <v>80000</v>
      </c>
      <c r="P13" s="62">
        <f t="shared" si="6"/>
        <v>80000</v>
      </c>
      <c r="Q13" s="177">
        <f t="shared" si="2"/>
        <v>720000</v>
      </c>
      <c r="R13" s="179" t="s">
        <v>261</v>
      </c>
      <c r="S13" s="93"/>
      <c r="T13" s="93"/>
      <c r="U13" s="93"/>
      <c r="V13" s="93"/>
      <c r="W13" s="356"/>
      <c r="X13" s="356"/>
      <c r="Y13" s="356"/>
      <c r="Z13" s="356"/>
      <c r="AA13" s="356"/>
    </row>
    <row r="14" spans="1:27" ht="15.75" customHeight="1" thickBot="1" x14ac:dyDescent="0.3">
      <c r="A14" s="93"/>
      <c r="B14" s="298">
        <v>1</v>
      </c>
      <c r="C14" s="178" t="s">
        <v>192</v>
      </c>
      <c r="D14" s="179" t="s">
        <v>197</v>
      </c>
      <c r="E14" s="62">
        <f t="shared" ref="E14:P14" si="7">$D$49</f>
        <v>20000</v>
      </c>
      <c r="F14" s="62">
        <f t="shared" si="7"/>
        <v>20000</v>
      </c>
      <c r="G14" s="62">
        <f t="shared" si="7"/>
        <v>20000</v>
      </c>
      <c r="H14" s="62">
        <f t="shared" si="7"/>
        <v>20000</v>
      </c>
      <c r="I14" s="62">
        <f t="shared" si="7"/>
        <v>20000</v>
      </c>
      <c r="J14" s="62">
        <f t="shared" si="7"/>
        <v>20000</v>
      </c>
      <c r="K14" s="62">
        <f t="shared" si="7"/>
        <v>20000</v>
      </c>
      <c r="L14" s="62">
        <f t="shared" si="7"/>
        <v>20000</v>
      </c>
      <c r="M14" s="62">
        <f t="shared" si="7"/>
        <v>20000</v>
      </c>
      <c r="N14" s="62">
        <f t="shared" si="7"/>
        <v>20000</v>
      </c>
      <c r="O14" s="62">
        <f t="shared" si="7"/>
        <v>20000</v>
      </c>
      <c r="P14" s="62">
        <f t="shared" si="7"/>
        <v>20000</v>
      </c>
      <c r="Q14" s="177">
        <f t="shared" si="2"/>
        <v>240000</v>
      </c>
      <c r="R14" s="179" t="s">
        <v>264</v>
      </c>
      <c r="S14" s="93"/>
      <c r="T14" s="93"/>
      <c r="U14" s="93"/>
      <c r="V14" s="93"/>
      <c r="W14" s="356"/>
      <c r="X14" s="356"/>
      <c r="Y14" s="356"/>
      <c r="Z14" s="356"/>
      <c r="AA14" s="356"/>
    </row>
    <row r="15" spans="1:27" ht="15.75" customHeight="1" thickBot="1" x14ac:dyDescent="0.3">
      <c r="A15" s="93"/>
      <c r="B15" s="298">
        <v>2</v>
      </c>
      <c r="C15" s="178" t="s">
        <v>193</v>
      </c>
      <c r="D15" s="179" t="s">
        <v>198</v>
      </c>
      <c r="E15" s="62">
        <f t="shared" ref="E15:J15" si="8">$D$50</f>
        <v>100000</v>
      </c>
      <c r="F15" s="62">
        <f t="shared" si="8"/>
        <v>100000</v>
      </c>
      <c r="G15" s="62">
        <f t="shared" si="8"/>
        <v>100000</v>
      </c>
      <c r="H15" s="62">
        <f t="shared" si="8"/>
        <v>100000</v>
      </c>
      <c r="I15" s="62">
        <f t="shared" si="8"/>
        <v>100000</v>
      </c>
      <c r="J15" s="62">
        <f t="shared" si="8"/>
        <v>100000</v>
      </c>
      <c r="K15" s="299">
        <f>$D$50 * 2</f>
        <v>200000</v>
      </c>
      <c r="L15" s="300">
        <f t="shared" ref="L15:P15" si="9">$D$50 * 2</f>
        <v>200000</v>
      </c>
      <c r="M15" s="300">
        <f t="shared" si="9"/>
        <v>200000</v>
      </c>
      <c r="N15" s="300">
        <f t="shared" si="9"/>
        <v>200000</v>
      </c>
      <c r="O15" s="300">
        <f t="shared" si="9"/>
        <v>200000</v>
      </c>
      <c r="P15" s="300">
        <f t="shared" si="9"/>
        <v>200000</v>
      </c>
      <c r="Q15" s="177">
        <f t="shared" si="2"/>
        <v>1800000</v>
      </c>
      <c r="R15" s="179" t="s">
        <v>265</v>
      </c>
      <c r="S15" s="93"/>
      <c r="T15" s="93"/>
      <c r="U15" s="93"/>
      <c r="V15" s="93"/>
      <c r="W15" s="356"/>
      <c r="X15" s="356"/>
      <c r="Y15" s="356"/>
      <c r="Z15" s="356"/>
      <c r="AA15" s="356"/>
    </row>
    <row r="16" spans="1:27" ht="15.75" customHeight="1" thickBot="1" x14ac:dyDescent="0.3">
      <c r="A16" s="93"/>
      <c r="B16" s="298">
        <f>'Proy. ventas'!C22</f>
        <v>44</v>
      </c>
      <c r="C16" s="178" t="s">
        <v>311</v>
      </c>
      <c r="D16" s="179" t="s">
        <v>313</v>
      </c>
      <c r="E16" s="299">
        <f>'Proy. ventas'!F22</f>
        <v>310000</v>
      </c>
      <c r="F16" s="299">
        <f>'Proy. ventas'!H22</f>
        <v>300000</v>
      </c>
      <c r="G16" s="299">
        <f>'Proy. ventas'!H22</f>
        <v>300000</v>
      </c>
      <c r="H16" s="299">
        <f>'Proy. ventas'!J22</f>
        <v>300000</v>
      </c>
      <c r="I16" s="299">
        <f>'Proy. ventas'!J22</f>
        <v>300000</v>
      </c>
      <c r="J16" s="299">
        <f>'Proy. ventas'!L22</f>
        <v>300000</v>
      </c>
      <c r="K16" s="299">
        <f>'Proy. ventas'!L22</f>
        <v>300000</v>
      </c>
      <c r="L16" s="299">
        <f>'Proy. ventas'!N22</f>
        <v>400000</v>
      </c>
      <c r="M16" s="299">
        <f>'Proy. ventas'!N22</f>
        <v>400000</v>
      </c>
      <c r="N16" s="299">
        <f>'Proy. ventas'!P22</f>
        <v>610000</v>
      </c>
      <c r="O16" s="299">
        <f>'Proy. ventas'!P22</f>
        <v>610000</v>
      </c>
      <c r="P16" s="299">
        <f>'Proy. ventas'!R22</f>
        <v>300000</v>
      </c>
      <c r="Q16" s="177">
        <f t="shared" si="2"/>
        <v>4430000</v>
      </c>
      <c r="R16" s="179" t="s">
        <v>312</v>
      </c>
      <c r="S16" s="93"/>
      <c r="T16" s="93"/>
      <c r="U16" s="93"/>
      <c r="V16" s="93"/>
      <c r="W16" s="356"/>
      <c r="X16" s="356"/>
      <c r="Y16" s="356"/>
      <c r="Z16" s="356"/>
      <c r="AA16" s="356"/>
    </row>
    <row r="17" spans="1:27" ht="15.75" customHeight="1" thickBot="1" x14ac:dyDescent="0.3">
      <c r="A17" s="1"/>
      <c r="B17" s="93"/>
      <c r="C17" s="359"/>
      <c r="D17" s="360" t="s">
        <v>30</v>
      </c>
      <c r="E17" s="177">
        <f>SUM(E11:E16)</f>
        <v>550000</v>
      </c>
      <c r="F17" s="177">
        <f t="shared" ref="F17:Q17" si="10">SUM(F11:F16)</f>
        <v>540000</v>
      </c>
      <c r="G17" s="177">
        <f t="shared" si="10"/>
        <v>540000</v>
      </c>
      <c r="H17" s="177">
        <f t="shared" si="10"/>
        <v>540000</v>
      </c>
      <c r="I17" s="177">
        <f t="shared" si="10"/>
        <v>540000</v>
      </c>
      <c r="J17" s="177">
        <f t="shared" si="10"/>
        <v>540000</v>
      </c>
      <c r="K17" s="177">
        <f t="shared" si="10"/>
        <v>760000</v>
      </c>
      <c r="L17" s="177">
        <f t="shared" si="10"/>
        <v>860000</v>
      </c>
      <c r="M17" s="177">
        <f t="shared" si="10"/>
        <v>860000</v>
      </c>
      <c r="N17" s="177">
        <f t="shared" si="10"/>
        <v>1070000</v>
      </c>
      <c r="O17" s="177">
        <f t="shared" si="10"/>
        <v>1070000</v>
      </c>
      <c r="P17" s="177">
        <f t="shared" si="10"/>
        <v>760000</v>
      </c>
      <c r="Q17" s="361">
        <f t="shared" si="10"/>
        <v>8630000</v>
      </c>
      <c r="R17" s="179"/>
      <c r="S17" s="1"/>
      <c r="T17" s="1"/>
      <c r="U17" s="1"/>
      <c r="V17" s="1"/>
      <c r="W17" s="355"/>
      <c r="X17" s="355"/>
      <c r="Y17" s="355"/>
      <c r="Z17" s="355"/>
      <c r="AA17" s="355"/>
    </row>
    <row r="18" spans="1:27" ht="15.75" customHeight="1" x14ac:dyDescent="0.25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"/>
      <c r="T18" s="1"/>
      <c r="U18" s="1"/>
      <c r="V18" s="1"/>
      <c r="W18" s="355"/>
      <c r="X18" s="355"/>
      <c r="Y18" s="355"/>
      <c r="Z18" s="355"/>
      <c r="AA18" s="355"/>
    </row>
    <row r="19" spans="1:27" ht="15.75" thickBot="1" x14ac:dyDescent="0.3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"/>
      <c r="T19" s="1"/>
      <c r="U19" s="1"/>
      <c r="V19" s="1"/>
      <c r="W19" s="355"/>
      <c r="X19" s="355"/>
      <c r="Y19" s="355"/>
      <c r="Z19" s="355"/>
      <c r="AA19" s="355"/>
    </row>
    <row r="20" spans="1:27" ht="27" thickBot="1" x14ac:dyDescent="0.45">
      <c r="A20" s="146"/>
      <c r="B20" s="543" t="s">
        <v>315</v>
      </c>
      <c r="C20" s="544"/>
      <c r="D20" s="544"/>
      <c r="E20" s="544"/>
      <c r="F20" s="544"/>
      <c r="G20" s="544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5"/>
      <c r="S20" s="1"/>
      <c r="T20" s="1"/>
      <c r="U20" s="1"/>
      <c r="V20" s="1"/>
      <c r="W20" s="355"/>
      <c r="X20" s="355"/>
      <c r="Y20" s="355"/>
      <c r="Z20" s="355"/>
      <c r="AA20" s="355"/>
    </row>
    <row r="21" spans="1:27" ht="19.5" thickBot="1" x14ac:dyDescent="0.3">
      <c r="A21" s="1"/>
      <c r="B21" s="178" t="s">
        <v>52</v>
      </c>
      <c r="C21" s="536" t="s">
        <v>93</v>
      </c>
      <c r="D21" s="537"/>
      <c r="E21" s="295" t="s">
        <v>39</v>
      </c>
      <c r="F21" s="295" t="s">
        <v>40</v>
      </c>
      <c r="G21" s="295" t="s">
        <v>41</v>
      </c>
      <c r="H21" s="295" t="s">
        <v>42</v>
      </c>
      <c r="I21" s="295" t="s">
        <v>43</v>
      </c>
      <c r="J21" s="295" t="s">
        <v>44</v>
      </c>
      <c r="K21" s="295" t="s">
        <v>45</v>
      </c>
      <c r="L21" s="295" t="s">
        <v>46</v>
      </c>
      <c r="M21" s="295" t="s">
        <v>47</v>
      </c>
      <c r="N21" s="295" t="s">
        <v>48</v>
      </c>
      <c r="O21" s="295" t="s">
        <v>49</v>
      </c>
      <c r="P21" s="295" t="s">
        <v>50</v>
      </c>
      <c r="Q21" s="295" t="s">
        <v>94</v>
      </c>
      <c r="R21" s="295" t="s">
        <v>95</v>
      </c>
      <c r="S21" s="1"/>
      <c r="T21" s="1"/>
      <c r="U21" s="1"/>
      <c r="V21" s="1"/>
      <c r="W21" s="355"/>
      <c r="X21" s="355"/>
      <c r="Y21" s="355"/>
      <c r="Z21" s="355"/>
      <c r="AA21" s="355"/>
    </row>
    <row r="22" spans="1:27" ht="15.75" customHeight="1" thickBot="1" x14ac:dyDescent="0.3">
      <c r="A22" s="1"/>
      <c r="B22" s="298">
        <v>4</v>
      </c>
      <c r="C22" s="178" t="s">
        <v>189</v>
      </c>
      <c r="D22" s="179" t="s">
        <v>194</v>
      </c>
      <c r="E22" s="299">
        <f>$D$46 * 3</f>
        <v>180000</v>
      </c>
      <c r="F22" s="300">
        <f t="shared" ref="F22:H22" si="11">$D$46 * 3</f>
        <v>180000</v>
      </c>
      <c r="G22" s="300">
        <f t="shared" si="11"/>
        <v>180000</v>
      </c>
      <c r="H22" s="300">
        <f t="shared" si="11"/>
        <v>180000</v>
      </c>
      <c r="I22" s="311">
        <f>$D$46 * 4</f>
        <v>240000</v>
      </c>
      <c r="J22" s="312">
        <f t="shared" ref="J22:P22" si="12">$D$46 * 4</f>
        <v>240000</v>
      </c>
      <c r="K22" s="312">
        <f t="shared" si="12"/>
        <v>240000</v>
      </c>
      <c r="L22" s="312">
        <f t="shared" si="12"/>
        <v>240000</v>
      </c>
      <c r="M22" s="312">
        <f t="shared" si="12"/>
        <v>240000</v>
      </c>
      <c r="N22" s="312">
        <f t="shared" si="12"/>
        <v>240000</v>
      </c>
      <c r="O22" s="312">
        <f t="shared" si="12"/>
        <v>240000</v>
      </c>
      <c r="P22" s="312">
        <f t="shared" si="12"/>
        <v>240000</v>
      </c>
      <c r="Q22" s="177">
        <f t="shared" ref="Q22:Q27" si="13">SUM(E22:P22)</f>
        <v>2640000</v>
      </c>
      <c r="R22" s="179" t="s">
        <v>263</v>
      </c>
      <c r="S22" s="146"/>
      <c r="T22" s="146"/>
      <c r="U22" s="146"/>
      <c r="V22" s="146"/>
      <c r="W22" s="320"/>
      <c r="X22" s="320"/>
      <c r="Y22" s="320"/>
      <c r="Z22" s="320"/>
      <c r="AA22" s="320"/>
    </row>
    <row r="23" spans="1:27" ht="15.75" customHeight="1" thickBot="1" x14ac:dyDescent="0.3">
      <c r="A23" s="1"/>
      <c r="B23" s="298">
        <v>4</v>
      </c>
      <c r="C23" s="178" t="s">
        <v>190</v>
      </c>
      <c r="D23" s="179" t="s">
        <v>195</v>
      </c>
      <c r="E23" s="299">
        <f>$D$47 * 3</f>
        <v>60000</v>
      </c>
      <c r="F23" s="300">
        <f t="shared" ref="F23:H23" si="14">$D$47 * 3</f>
        <v>60000</v>
      </c>
      <c r="G23" s="300">
        <f t="shared" si="14"/>
        <v>60000</v>
      </c>
      <c r="H23" s="300">
        <f t="shared" si="14"/>
        <v>60000</v>
      </c>
      <c r="I23" s="299">
        <f>$D$47 * 4</f>
        <v>80000</v>
      </c>
      <c r="J23" s="300">
        <f t="shared" ref="J23:K23" si="15">$D$47 * 4</f>
        <v>80000</v>
      </c>
      <c r="K23" s="300">
        <f t="shared" si="15"/>
        <v>80000</v>
      </c>
      <c r="L23" s="300">
        <f>$D$47 * 4</f>
        <v>80000</v>
      </c>
      <c r="M23" s="300">
        <f t="shared" ref="M23:P23" si="16">$D$47 * 4</f>
        <v>80000</v>
      </c>
      <c r="N23" s="300">
        <f t="shared" si="16"/>
        <v>80000</v>
      </c>
      <c r="O23" s="300">
        <f t="shared" si="16"/>
        <v>80000</v>
      </c>
      <c r="P23" s="300">
        <f t="shared" si="16"/>
        <v>80000</v>
      </c>
      <c r="Q23" s="177">
        <f t="shared" si="13"/>
        <v>880000</v>
      </c>
      <c r="R23" s="179" t="s">
        <v>262</v>
      </c>
      <c r="S23" s="146"/>
      <c r="T23" s="146"/>
      <c r="U23" s="146"/>
      <c r="V23" s="146"/>
      <c r="W23" s="320"/>
      <c r="X23" s="320"/>
      <c r="Y23" s="320"/>
      <c r="Z23" s="320"/>
      <c r="AA23" s="320"/>
    </row>
    <row r="24" spans="1:27" ht="15.75" customHeight="1" thickBot="1" x14ac:dyDescent="0.3">
      <c r="A24" s="1"/>
      <c r="B24" s="298">
        <v>4</v>
      </c>
      <c r="C24" s="178" t="s">
        <v>191</v>
      </c>
      <c r="D24" s="179" t="s">
        <v>196</v>
      </c>
      <c r="E24" s="299">
        <f>$D$48 * 3</f>
        <v>120000</v>
      </c>
      <c r="F24" s="62">
        <f t="shared" ref="F24:H24" si="17">$D$48 * 3</f>
        <v>120000</v>
      </c>
      <c r="G24" s="62">
        <f t="shared" si="17"/>
        <v>120000</v>
      </c>
      <c r="H24" s="62">
        <f t="shared" si="17"/>
        <v>120000</v>
      </c>
      <c r="I24" s="299">
        <f>$D$48 * 4</f>
        <v>160000</v>
      </c>
      <c r="J24" s="309">
        <f t="shared" ref="J24:P24" si="18">$D$48 * 4</f>
        <v>160000</v>
      </c>
      <c r="K24" s="309">
        <f t="shared" si="18"/>
        <v>160000</v>
      </c>
      <c r="L24" s="309">
        <f t="shared" si="18"/>
        <v>160000</v>
      </c>
      <c r="M24" s="309">
        <f t="shared" si="18"/>
        <v>160000</v>
      </c>
      <c r="N24" s="309">
        <f t="shared" si="18"/>
        <v>160000</v>
      </c>
      <c r="O24" s="309">
        <f t="shared" si="18"/>
        <v>160000</v>
      </c>
      <c r="P24" s="309">
        <f t="shared" si="18"/>
        <v>160000</v>
      </c>
      <c r="Q24" s="177">
        <f t="shared" si="13"/>
        <v>1760000</v>
      </c>
      <c r="R24" s="179" t="s">
        <v>261</v>
      </c>
      <c r="S24" s="146"/>
      <c r="T24" s="146"/>
      <c r="U24" s="146"/>
      <c r="V24" s="146"/>
      <c r="W24" s="320"/>
      <c r="X24" s="320"/>
      <c r="Y24" s="320"/>
      <c r="Z24" s="320"/>
      <c r="AA24" s="320"/>
    </row>
    <row r="25" spans="1:27" ht="15.75" customHeight="1" thickBot="1" x14ac:dyDescent="0.3">
      <c r="A25" s="146"/>
      <c r="B25" s="297">
        <v>2</v>
      </c>
      <c r="C25" s="178" t="s">
        <v>192</v>
      </c>
      <c r="D25" s="179" t="s">
        <v>197</v>
      </c>
      <c r="E25" s="299">
        <f>$D$49 * 2</f>
        <v>40000</v>
      </c>
      <c r="F25" s="310">
        <f t="shared" ref="F25:I25" si="19">$D$49 * 2</f>
        <v>40000</v>
      </c>
      <c r="G25" s="310">
        <f t="shared" si="19"/>
        <v>40000</v>
      </c>
      <c r="H25" s="310">
        <f t="shared" si="19"/>
        <v>40000</v>
      </c>
      <c r="I25" s="310">
        <f t="shared" si="19"/>
        <v>40000</v>
      </c>
      <c r="J25" s="62">
        <f t="shared" ref="J25:P25" si="20">$D$49 * 2</f>
        <v>40000</v>
      </c>
      <c r="K25" s="62">
        <f t="shared" si="20"/>
        <v>40000</v>
      </c>
      <c r="L25" s="62">
        <f t="shared" si="20"/>
        <v>40000</v>
      </c>
      <c r="M25" s="62">
        <f t="shared" si="20"/>
        <v>40000</v>
      </c>
      <c r="N25" s="62">
        <f t="shared" si="20"/>
        <v>40000</v>
      </c>
      <c r="O25" s="62">
        <f t="shared" si="20"/>
        <v>40000</v>
      </c>
      <c r="P25" s="62">
        <f t="shared" si="20"/>
        <v>40000</v>
      </c>
      <c r="Q25" s="177">
        <f t="shared" si="13"/>
        <v>480000</v>
      </c>
      <c r="R25" s="179" t="s">
        <v>264</v>
      </c>
      <c r="S25" s="146"/>
      <c r="T25" s="146"/>
      <c r="U25" s="146"/>
      <c r="V25" s="146"/>
      <c r="W25" s="320"/>
      <c r="X25" s="320"/>
      <c r="Y25" s="320"/>
      <c r="Z25" s="320"/>
      <c r="AA25" s="320"/>
    </row>
    <row r="26" spans="1:27" ht="15.75" customHeight="1" thickBot="1" x14ac:dyDescent="0.3">
      <c r="A26" s="146"/>
      <c r="B26" s="297">
        <v>4</v>
      </c>
      <c r="C26" s="178" t="s">
        <v>193</v>
      </c>
      <c r="D26" s="179" t="s">
        <v>198</v>
      </c>
      <c r="E26" s="299">
        <f>$D$50 * 3</f>
        <v>300000</v>
      </c>
      <c r="F26" s="300">
        <f t="shared" ref="F26:H26" si="21">$D$50 * 3</f>
        <v>300000</v>
      </c>
      <c r="G26" s="300">
        <f t="shared" si="21"/>
        <v>300000</v>
      </c>
      <c r="H26" s="300">
        <f t="shared" si="21"/>
        <v>300000</v>
      </c>
      <c r="I26" s="299">
        <f>$D$50 * 4</f>
        <v>400000</v>
      </c>
      <c r="J26" s="300">
        <f t="shared" ref="J26:K26" si="22">$D$50 * 4</f>
        <v>400000</v>
      </c>
      <c r="K26" s="300">
        <f t="shared" si="22"/>
        <v>400000</v>
      </c>
      <c r="L26" s="300">
        <f>$D$50 * 4</f>
        <v>400000</v>
      </c>
      <c r="M26" s="300">
        <f t="shared" ref="M26:P26" si="23">$D$50 * 4</f>
        <v>400000</v>
      </c>
      <c r="N26" s="300">
        <f t="shared" si="23"/>
        <v>400000</v>
      </c>
      <c r="O26" s="300">
        <f t="shared" si="23"/>
        <v>400000</v>
      </c>
      <c r="P26" s="300">
        <f t="shared" si="23"/>
        <v>400000</v>
      </c>
      <c r="Q26" s="177">
        <f t="shared" si="13"/>
        <v>4400000</v>
      </c>
      <c r="R26" s="179" t="s">
        <v>265</v>
      </c>
      <c r="S26" s="146"/>
      <c r="T26" s="146"/>
      <c r="U26" s="146"/>
      <c r="V26" s="146"/>
      <c r="W26" s="320"/>
      <c r="X26" s="320"/>
      <c r="Y26" s="320"/>
      <c r="Z26" s="320"/>
      <c r="AA26" s="320"/>
    </row>
    <row r="27" spans="1:27" ht="15.75" customHeight="1" thickBot="1" x14ac:dyDescent="0.3">
      <c r="A27" s="146"/>
      <c r="B27" s="297">
        <f>'Proy. ventas'!C53</f>
        <v>44</v>
      </c>
      <c r="C27" s="178" t="s">
        <v>311</v>
      </c>
      <c r="D27" s="179" t="s">
        <v>313</v>
      </c>
      <c r="E27" s="299">
        <f>'Proy. ventas'!F53</f>
        <v>310000</v>
      </c>
      <c r="F27" s="299">
        <f>'Proy. ventas'!H53</f>
        <v>300000</v>
      </c>
      <c r="G27" s="299">
        <f>'Proy. ventas'!H53</f>
        <v>300000</v>
      </c>
      <c r="H27" s="299">
        <f>'Proy. ventas'!J53</f>
        <v>210000</v>
      </c>
      <c r="I27" s="299">
        <f>'Proy. ventas'!J53</f>
        <v>210000</v>
      </c>
      <c r="J27" s="299">
        <f>'Proy. ventas'!L53</f>
        <v>300000</v>
      </c>
      <c r="K27" s="299">
        <f>'Proy. ventas'!L53</f>
        <v>300000</v>
      </c>
      <c r="L27" s="299">
        <f>'Proy. ventas'!N53</f>
        <v>400000</v>
      </c>
      <c r="M27" s="299">
        <f>'Proy. ventas'!N53</f>
        <v>400000</v>
      </c>
      <c r="N27" s="299">
        <f>'Proy. ventas'!P53</f>
        <v>610000</v>
      </c>
      <c r="O27" s="299">
        <f>'Proy. ventas'!P53</f>
        <v>610000</v>
      </c>
      <c r="P27" s="299">
        <f>'Proy. ventas'!R53</f>
        <v>300000</v>
      </c>
      <c r="Q27" s="177">
        <f t="shared" si="13"/>
        <v>4250000</v>
      </c>
      <c r="R27" s="179" t="s">
        <v>312</v>
      </c>
      <c r="S27" s="146"/>
      <c r="T27" s="146"/>
      <c r="U27" s="146"/>
      <c r="V27" s="146"/>
      <c r="W27" s="320"/>
      <c r="X27" s="320"/>
      <c r="Y27" s="320"/>
      <c r="Z27" s="320"/>
      <c r="AA27" s="320"/>
    </row>
    <row r="28" spans="1:27" ht="15.75" thickBot="1" x14ac:dyDescent="0.3">
      <c r="A28" s="1"/>
      <c r="B28" s="93"/>
      <c r="C28" s="296"/>
      <c r="D28" s="183" t="s">
        <v>30</v>
      </c>
      <c r="E28" s="177">
        <f>SUM(E22:E27)</f>
        <v>1010000</v>
      </c>
      <c r="F28" s="177">
        <f t="shared" ref="F28:P28" si="24">SUM(F22:F27)</f>
        <v>1000000</v>
      </c>
      <c r="G28" s="177">
        <f t="shared" si="24"/>
        <v>1000000</v>
      </c>
      <c r="H28" s="177">
        <f t="shared" si="24"/>
        <v>910000</v>
      </c>
      <c r="I28" s="177">
        <f t="shared" si="24"/>
        <v>1130000</v>
      </c>
      <c r="J28" s="177">
        <f t="shared" si="24"/>
        <v>1220000</v>
      </c>
      <c r="K28" s="177">
        <f t="shared" si="24"/>
        <v>1220000</v>
      </c>
      <c r="L28" s="177">
        <f t="shared" si="24"/>
        <v>1320000</v>
      </c>
      <c r="M28" s="177">
        <f t="shared" si="24"/>
        <v>1320000</v>
      </c>
      <c r="N28" s="177">
        <f t="shared" si="24"/>
        <v>1530000</v>
      </c>
      <c r="O28" s="177">
        <f t="shared" si="24"/>
        <v>1530000</v>
      </c>
      <c r="P28" s="177">
        <f t="shared" si="24"/>
        <v>1220000</v>
      </c>
      <c r="Q28" s="60">
        <f>SUM(Q22:Q27)</f>
        <v>14410000</v>
      </c>
      <c r="R28" s="179"/>
      <c r="S28" s="146"/>
      <c r="T28" s="146"/>
      <c r="U28" s="146"/>
      <c r="V28" s="146"/>
      <c r="W28" s="320"/>
      <c r="X28" s="320"/>
      <c r="Y28" s="320"/>
      <c r="Z28" s="320"/>
      <c r="AA28" s="320"/>
    </row>
    <row r="29" spans="1:27" ht="15.75" customHeight="1" x14ac:dyDescent="0.25">
      <c r="A29" s="1"/>
      <c r="B29" s="93"/>
      <c r="C29" s="1"/>
      <c r="D29" s="1"/>
      <c r="E29" s="1"/>
      <c r="F29" s="1"/>
      <c r="G29" s="1"/>
      <c r="H29" s="1"/>
      <c r="I29" s="1"/>
      <c r="J29" s="1"/>
      <c r="K29" s="1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320"/>
      <c r="X29" s="320"/>
      <c r="Y29" s="320"/>
      <c r="Z29" s="320"/>
      <c r="AA29" s="320"/>
    </row>
    <row r="30" spans="1:27" ht="15.75" customHeight="1" thickBot="1" x14ac:dyDescent="0.3">
      <c r="A30" s="1"/>
      <c r="B30" s="93"/>
      <c r="C30" s="1"/>
      <c r="D30" s="1"/>
      <c r="E30" s="1"/>
      <c r="F30" s="1"/>
      <c r="G30" s="1"/>
      <c r="H30" s="1"/>
      <c r="I30" s="1"/>
      <c r="J30" s="1"/>
      <c r="K30" s="1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320"/>
      <c r="X30" s="320"/>
      <c r="Y30" s="320"/>
      <c r="Z30" s="320"/>
      <c r="AA30" s="320"/>
    </row>
    <row r="31" spans="1:27" ht="30.75" customHeight="1" thickBot="1" x14ac:dyDescent="0.45">
      <c r="A31" s="1"/>
      <c r="B31" s="540" t="s">
        <v>316</v>
      </c>
      <c r="C31" s="541"/>
      <c r="D31" s="541"/>
      <c r="E31" s="541"/>
      <c r="F31" s="541"/>
      <c r="G31" s="541"/>
      <c r="H31" s="541"/>
      <c r="I31" s="541"/>
      <c r="J31" s="541"/>
      <c r="K31" s="541"/>
      <c r="L31" s="541"/>
      <c r="M31" s="541"/>
      <c r="N31" s="541"/>
      <c r="O31" s="541"/>
      <c r="P31" s="541"/>
      <c r="Q31" s="541"/>
      <c r="R31" s="542"/>
      <c r="S31" s="146"/>
      <c r="T31" s="146"/>
      <c r="U31" s="146"/>
      <c r="V31" s="146"/>
      <c r="W31" s="320"/>
      <c r="X31" s="320"/>
      <c r="Y31" s="320"/>
      <c r="Z31" s="320"/>
      <c r="AA31" s="320"/>
    </row>
    <row r="32" spans="1:27" ht="15.75" customHeight="1" thickBot="1" x14ac:dyDescent="0.3">
      <c r="A32" s="1"/>
      <c r="B32" s="178" t="s">
        <v>52</v>
      </c>
      <c r="C32" s="536" t="s">
        <v>93</v>
      </c>
      <c r="D32" s="537"/>
      <c r="E32" s="295" t="s">
        <v>39</v>
      </c>
      <c r="F32" s="295" t="s">
        <v>40</v>
      </c>
      <c r="G32" s="295" t="s">
        <v>41</v>
      </c>
      <c r="H32" s="295" t="s">
        <v>42</v>
      </c>
      <c r="I32" s="295" t="s">
        <v>43</v>
      </c>
      <c r="J32" s="295" t="s">
        <v>44</v>
      </c>
      <c r="K32" s="295" t="s">
        <v>45</v>
      </c>
      <c r="L32" s="295" t="s">
        <v>46</v>
      </c>
      <c r="M32" s="295" t="s">
        <v>47</v>
      </c>
      <c r="N32" s="295" t="s">
        <v>48</v>
      </c>
      <c r="O32" s="295" t="s">
        <v>49</v>
      </c>
      <c r="P32" s="295" t="s">
        <v>50</v>
      </c>
      <c r="Q32" s="295" t="s">
        <v>94</v>
      </c>
      <c r="R32" s="295" t="s">
        <v>95</v>
      </c>
      <c r="S32" s="146"/>
      <c r="T32" s="146"/>
      <c r="U32" s="146"/>
      <c r="V32" s="146"/>
      <c r="W32" s="320"/>
      <c r="X32" s="320"/>
      <c r="Y32" s="320"/>
      <c r="Z32" s="320"/>
      <c r="AA32" s="320"/>
    </row>
    <row r="33" spans="1:27" ht="15.75" customHeight="1" thickBot="1" x14ac:dyDescent="0.3">
      <c r="A33" s="146"/>
      <c r="B33" s="297">
        <v>6</v>
      </c>
      <c r="C33" s="178" t="s">
        <v>189</v>
      </c>
      <c r="D33" s="179" t="s">
        <v>194</v>
      </c>
      <c r="E33" s="62">
        <f>$D$46 * 4</f>
        <v>240000</v>
      </c>
      <c r="F33" s="62">
        <f t="shared" ref="F33:H33" si="25">$D$46 * 4</f>
        <v>240000</v>
      </c>
      <c r="G33" s="62">
        <f t="shared" si="25"/>
        <v>240000</v>
      </c>
      <c r="H33" s="62">
        <f t="shared" si="25"/>
        <v>240000</v>
      </c>
      <c r="I33" s="299">
        <f>$D$46 * 5</f>
        <v>300000</v>
      </c>
      <c r="J33" s="310">
        <f t="shared" ref="J33:N33" si="26">$D$46 * 5</f>
        <v>300000</v>
      </c>
      <c r="K33" s="310">
        <f t="shared" si="26"/>
        <v>300000</v>
      </c>
      <c r="L33" s="310">
        <f t="shared" si="26"/>
        <v>300000</v>
      </c>
      <c r="M33" s="310">
        <f t="shared" si="26"/>
        <v>300000</v>
      </c>
      <c r="N33" s="310">
        <f t="shared" si="26"/>
        <v>300000</v>
      </c>
      <c r="O33" s="299">
        <f>$D$46 * 6</f>
        <v>360000</v>
      </c>
      <c r="P33" s="310">
        <f>$D$46 * 6</f>
        <v>360000</v>
      </c>
      <c r="Q33" s="177">
        <f t="shared" ref="Q33:Q38" si="27">SUM(E33:P33)</f>
        <v>3480000</v>
      </c>
      <c r="R33" s="179" t="s">
        <v>263</v>
      </c>
      <c r="S33" s="1"/>
      <c r="T33" s="1"/>
      <c r="U33" s="1"/>
      <c r="V33" s="1"/>
      <c r="W33" s="355"/>
      <c r="X33" s="355"/>
      <c r="Y33" s="355"/>
      <c r="Z33" s="355"/>
      <c r="AA33" s="355"/>
    </row>
    <row r="34" spans="1:27" ht="15.75" customHeight="1" thickBot="1" x14ac:dyDescent="0.3">
      <c r="A34" s="146"/>
      <c r="B34" s="297">
        <v>6</v>
      </c>
      <c r="C34" s="178" t="s">
        <v>190</v>
      </c>
      <c r="D34" s="179" t="s">
        <v>195</v>
      </c>
      <c r="E34" s="300">
        <f>$D$47 * 4</f>
        <v>80000</v>
      </c>
      <c r="F34" s="300">
        <f t="shared" ref="F34:H34" si="28">$D$47 * 4</f>
        <v>80000</v>
      </c>
      <c r="G34" s="300">
        <f t="shared" si="28"/>
        <v>80000</v>
      </c>
      <c r="H34" s="300">
        <f t="shared" si="28"/>
        <v>80000</v>
      </c>
      <c r="I34" s="299">
        <f>$D$47 * 5</f>
        <v>100000</v>
      </c>
      <c r="J34" s="300">
        <f t="shared" ref="J34:N34" si="29">$D$47 * 5</f>
        <v>100000</v>
      </c>
      <c r="K34" s="300">
        <f t="shared" si="29"/>
        <v>100000</v>
      </c>
      <c r="L34" s="300">
        <f t="shared" si="29"/>
        <v>100000</v>
      </c>
      <c r="M34" s="300">
        <f t="shared" si="29"/>
        <v>100000</v>
      </c>
      <c r="N34" s="300">
        <f t="shared" si="29"/>
        <v>100000</v>
      </c>
      <c r="O34" s="299">
        <f>$D$47 * 6</f>
        <v>120000</v>
      </c>
      <c r="P34" s="300">
        <f>$D$47 * 6</f>
        <v>120000</v>
      </c>
      <c r="Q34" s="177">
        <f t="shared" si="27"/>
        <v>1160000</v>
      </c>
      <c r="R34" s="179" t="s">
        <v>262</v>
      </c>
      <c r="S34" s="1"/>
      <c r="T34" s="1"/>
      <c r="U34" s="1"/>
      <c r="V34" s="1"/>
      <c r="W34" s="355"/>
      <c r="X34" s="355"/>
      <c r="Y34" s="355"/>
      <c r="Z34" s="355"/>
      <c r="AA34" s="355"/>
    </row>
    <row r="35" spans="1:27" ht="15.75" customHeight="1" thickBot="1" x14ac:dyDescent="0.3">
      <c r="A35" s="146"/>
      <c r="B35" s="297">
        <v>6</v>
      </c>
      <c r="C35" s="178" t="s">
        <v>191</v>
      </c>
      <c r="D35" s="179" t="s">
        <v>196</v>
      </c>
      <c r="E35" s="62">
        <f>$P$24</f>
        <v>160000</v>
      </c>
      <c r="F35" s="62">
        <f t="shared" ref="F35:H35" si="30">$P$24</f>
        <v>160000</v>
      </c>
      <c r="G35" s="62">
        <f t="shared" si="30"/>
        <v>160000</v>
      </c>
      <c r="H35" s="62">
        <f t="shared" si="30"/>
        <v>160000</v>
      </c>
      <c r="I35" s="299">
        <f>$D$48 * 5</f>
        <v>200000</v>
      </c>
      <c r="J35" s="310">
        <f t="shared" ref="J35:P35" si="31">$D$48 * 5</f>
        <v>200000</v>
      </c>
      <c r="K35" s="310">
        <f t="shared" si="31"/>
        <v>200000</v>
      </c>
      <c r="L35" s="310">
        <f t="shared" si="31"/>
        <v>200000</v>
      </c>
      <c r="M35" s="310">
        <f t="shared" si="31"/>
        <v>200000</v>
      </c>
      <c r="N35" s="310">
        <f t="shared" si="31"/>
        <v>200000</v>
      </c>
      <c r="O35" s="299">
        <f>$D$48 * 6</f>
        <v>240000</v>
      </c>
      <c r="P35" s="310">
        <f t="shared" si="31"/>
        <v>200000</v>
      </c>
      <c r="Q35" s="177">
        <f t="shared" si="27"/>
        <v>2280000</v>
      </c>
      <c r="R35" s="179" t="s">
        <v>261</v>
      </c>
      <c r="S35" s="1"/>
      <c r="T35" s="1"/>
      <c r="U35" s="1"/>
      <c r="V35" s="1"/>
      <c r="W35" s="355"/>
      <c r="X35" s="355"/>
      <c r="Y35" s="355"/>
      <c r="Z35" s="355"/>
      <c r="AA35" s="355"/>
    </row>
    <row r="36" spans="1:27" ht="15.75" customHeight="1" thickBot="1" x14ac:dyDescent="0.3">
      <c r="A36" s="146"/>
      <c r="B36" s="297">
        <v>3</v>
      </c>
      <c r="C36" s="178" t="s">
        <v>192</v>
      </c>
      <c r="D36" s="179" t="s">
        <v>197</v>
      </c>
      <c r="E36" s="62">
        <f>$D$49 * 2</f>
        <v>40000</v>
      </c>
      <c r="F36" s="62">
        <f t="shared" ref="F36:H36" si="32">$D$49 * 2</f>
        <v>40000</v>
      </c>
      <c r="G36" s="62">
        <f t="shared" si="32"/>
        <v>40000</v>
      </c>
      <c r="H36" s="62">
        <f t="shared" si="32"/>
        <v>40000</v>
      </c>
      <c r="I36" s="299">
        <f>$D$49 * 3</f>
        <v>60000</v>
      </c>
      <c r="J36" s="310">
        <f t="shared" ref="J36:P36" si="33">$D$49 * 3</f>
        <v>60000</v>
      </c>
      <c r="K36" s="310">
        <f t="shared" si="33"/>
        <v>60000</v>
      </c>
      <c r="L36" s="310">
        <f t="shared" si="33"/>
        <v>60000</v>
      </c>
      <c r="M36" s="310">
        <f t="shared" si="33"/>
        <v>60000</v>
      </c>
      <c r="N36" s="310">
        <f t="shared" si="33"/>
        <v>60000</v>
      </c>
      <c r="O36" s="310">
        <f t="shared" si="33"/>
        <v>60000</v>
      </c>
      <c r="P36" s="310">
        <f t="shared" si="33"/>
        <v>60000</v>
      </c>
      <c r="Q36" s="177">
        <f t="shared" si="27"/>
        <v>640000</v>
      </c>
      <c r="R36" s="179" t="s">
        <v>264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thickBot="1" x14ac:dyDescent="0.3">
      <c r="A37" s="146"/>
      <c r="B37" s="297">
        <v>6</v>
      </c>
      <c r="C37" s="178" t="s">
        <v>193</v>
      </c>
      <c r="D37" s="179" t="s">
        <v>198</v>
      </c>
      <c r="E37" s="300">
        <f>$D$50 * 4</f>
        <v>400000</v>
      </c>
      <c r="F37" s="300">
        <f t="shared" ref="F37:H37" si="34">$D$50 *4</f>
        <v>400000</v>
      </c>
      <c r="G37" s="300">
        <f t="shared" si="34"/>
        <v>400000</v>
      </c>
      <c r="H37" s="300">
        <f t="shared" si="34"/>
        <v>400000</v>
      </c>
      <c r="I37" s="299">
        <f>$D$50 *5</f>
        <v>500000</v>
      </c>
      <c r="J37" s="300">
        <f t="shared" ref="J37:N37" si="35">$D$50 *5</f>
        <v>500000</v>
      </c>
      <c r="K37" s="300">
        <f t="shared" si="35"/>
        <v>500000</v>
      </c>
      <c r="L37" s="300">
        <f t="shared" si="35"/>
        <v>500000</v>
      </c>
      <c r="M37" s="300">
        <f t="shared" si="35"/>
        <v>500000</v>
      </c>
      <c r="N37" s="300">
        <f t="shared" si="35"/>
        <v>500000</v>
      </c>
      <c r="O37" s="299">
        <f>$D$50 *6</f>
        <v>600000</v>
      </c>
      <c r="P37" s="300">
        <f>$D$50 *6</f>
        <v>600000</v>
      </c>
      <c r="Q37" s="177">
        <f t="shared" si="27"/>
        <v>5800000</v>
      </c>
      <c r="R37" s="179" t="s">
        <v>265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thickBot="1" x14ac:dyDescent="0.3">
      <c r="A38" s="146"/>
      <c r="B38" s="297">
        <f>'Proy. ventas'!C84</f>
        <v>44</v>
      </c>
      <c r="C38" s="178" t="s">
        <v>311</v>
      </c>
      <c r="D38" s="179" t="s">
        <v>313</v>
      </c>
      <c r="E38" s="299">
        <f>'Proy. ventas'!F84</f>
        <v>300000</v>
      </c>
      <c r="F38" s="299">
        <f>'Proy. ventas'!H84</f>
        <v>300000</v>
      </c>
      <c r="G38" s="299">
        <f>'Proy. ventas'!H84</f>
        <v>300000</v>
      </c>
      <c r="H38" s="299">
        <f>'Proy. ventas'!J84</f>
        <v>300000</v>
      </c>
      <c r="I38" s="299">
        <f>'Proy. ventas'!J84</f>
        <v>300000</v>
      </c>
      <c r="J38" s="299">
        <f>'Proy. ventas'!L84</f>
        <v>300000</v>
      </c>
      <c r="K38" s="299">
        <f>'Proy. ventas'!L84</f>
        <v>300000</v>
      </c>
      <c r="L38" s="299">
        <f>'Proy. ventas'!N84</f>
        <v>400000</v>
      </c>
      <c r="M38" s="299">
        <f>'Proy. ventas'!N84</f>
        <v>400000</v>
      </c>
      <c r="N38" s="299">
        <f>'Proy. ventas'!P84</f>
        <v>610000</v>
      </c>
      <c r="O38" s="299">
        <f>'Proy. ventas'!P84</f>
        <v>610000</v>
      </c>
      <c r="P38" s="299">
        <f>'Proy. ventas'!R84</f>
        <v>300000</v>
      </c>
      <c r="Q38" s="177">
        <f t="shared" si="27"/>
        <v>4420000</v>
      </c>
      <c r="R38" s="179" t="s">
        <v>312</v>
      </c>
      <c r="S38" s="93"/>
      <c r="T38" s="93"/>
      <c r="U38" s="93"/>
      <c r="V38" s="93"/>
      <c r="W38" s="93"/>
      <c r="X38" s="93"/>
      <c r="Y38" s="93"/>
      <c r="Z38" s="93"/>
      <c r="AA38" s="93"/>
    </row>
    <row r="39" spans="1:27" ht="15.75" customHeight="1" thickBot="1" x14ac:dyDescent="0.3">
      <c r="A39" s="146"/>
      <c r="B39" s="325"/>
      <c r="C39" s="322"/>
      <c r="D39" s="360" t="s">
        <v>30</v>
      </c>
      <c r="E39" s="177">
        <f>SUM(E33:E38)</f>
        <v>1220000</v>
      </c>
      <c r="F39" s="177">
        <f t="shared" ref="F39:P39" si="36">SUM(F33:F38)</f>
        <v>1220000</v>
      </c>
      <c r="G39" s="177">
        <f t="shared" si="36"/>
        <v>1220000</v>
      </c>
      <c r="H39" s="177">
        <f t="shared" si="36"/>
        <v>1220000</v>
      </c>
      <c r="I39" s="177">
        <f t="shared" si="36"/>
        <v>1460000</v>
      </c>
      <c r="J39" s="177">
        <f t="shared" si="36"/>
        <v>1460000</v>
      </c>
      <c r="K39" s="177">
        <f t="shared" si="36"/>
        <v>1460000</v>
      </c>
      <c r="L39" s="177">
        <f t="shared" si="36"/>
        <v>1560000</v>
      </c>
      <c r="M39" s="177">
        <f t="shared" si="36"/>
        <v>1560000</v>
      </c>
      <c r="N39" s="177">
        <f t="shared" si="36"/>
        <v>1770000</v>
      </c>
      <c r="O39" s="177">
        <f t="shared" si="36"/>
        <v>1990000</v>
      </c>
      <c r="P39" s="177">
        <f t="shared" si="36"/>
        <v>1640000</v>
      </c>
      <c r="Q39" s="60">
        <f>SUM(Q33:Q38)</f>
        <v>17780000</v>
      </c>
      <c r="R39" s="179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93"/>
      <c r="T41" s="93"/>
      <c r="U41" s="93"/>
      <c r="V41" s="93"/>
      <c r="W41" s="93"/>
      <c r="X41" s="93"/>
      <c r="Y41" s="93"/>
      <c r="Z41" s="93"/>
      <c r="AA41" s="93"/>
    </row>
    <row r="42" spans="1:27" ht="15.75" customHeight="1" x14ac:dyDescent="0.25">
      <c r="A42" s="146"/>
      <c r="B42" s="146"/>
      <c r="C42" s="284" t="s">
        <v>209</v>
      </c>
      <c r="D42" s="284" t="s">
        <v>100</v>
      </c>
      <c r="E42" s="546" t="s">
        <v>210</v>
      </c>
      <c r="F42" s="546"/>
      <c r="G42" s="546"/>
      <c r="H42" s="546"/>
      <c r="I42" s="546"/>
      <c r="J42" s="146"/>
      <c r="K42" s="146"/>
      <c r="L42" s="146"/>
      <c r="M42" s="146"/>
      <c r="N42" s="146"/>
      <c r="O42" s="146"/>
      <c r="P42" s="146"/>
      <c r="Q42" s="146"/>
      <c r="R42" s="146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46"/>
      <c r="B43" s="146"/>
      <c r="C43" s="230" t="s">
        <v>228</v>
      </c>
      <c r="D43" s="323">
        <v>5000</v>
      </c>
      <c r="E43" s="538" t="s">
        <v>207</v>
      </c>
      <c r="F43" s="538"/>
      <c r="G43" s="538"/>
      <c r="H43" s="538"/>
      <c r="I43" s="538"/>
      <c r="J43" s="146"/>
      <c r="K43" s="146"/>
      <c r="L43" s="146"/>
      <c r="M43" s="146"/>
      <c r="N43" s="146"/>
      <c r="O43" s="146"/>
      <c r="P43" s="146"/>
      <c r="Q43" s="146"/>
      <c r="R43" s="146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46"/>
      <c r="B44" s="146"/>
      <c r="C44" s="230" t="s">
        <v>229</v>
      </c>
      <c r="D44" s="324">
        <v>9</v>
      </c>
      <c r="E44" s="538"/>
      <c r="F44" s="538"/>
      <c r="G44" s="538"/>
      <c r="H44" s="538"/>
      <c r="I44" s="538"/>
      <c r="J44" s="146"/>
      <c r="K44" s="146"/>
      <c r="L44" s="146"/>
      <c r="M44" s="146"/>
      <c r="N44" s="146"/>
      <c r="O44" s="146"/>
      <c r="P44" s="146"/>
      <c r="Q44" s="146"/>
      <c r="R44" s="146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46"/>
      <c r="B45" s="146"/>
      <c r="C45" s="230" t="s">
        <v>230</v>
      </c>
      <c r="D45" s="324">
        <v>3</v>
      </c>
      <c r="E45" s="538"/>
      <c r="F45" s="538"/>
      <c r="G45" s="538"/>
      <c r="H45" s="538"/>
      <c r="I45" s="538"/>
      <c r="J45" s="146"/>
      <c r="K45" s="146"/>
      <c r="L45" s="146"/>
      <c r="M45" s="146"/>
      <c r="N45" s="146"/>
      <c r="O45" s="146"/>
      <c r="P45" s="146"/>
      <c r="Q45" s="146"/>
      <c r="R45" s="146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46"/>
      <c r="B46" s="146"/>
      <c r="C46" s="230" t="s">
        <v>202</v>
      </c>
      <c r="D46" s="323">
        <f>(D44+D45)*D43</f>
        <v>60000</v>
      </c>
      <c r="E46" s="538"/>
      <c r="F46" s="538"/>
      <c r="G46" s="538"/>
      <c r="H46" s="538"/>
      <c r="I46" s="538"/>
      <c r="J46" s="146"/>
      <c r="K46" s="146"/>
      <c r="L46" s="146"/>
      <c r="M46" s="146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46"/>
      <c r="B47" s="146"/>
      <c r="C47" s="230" t="s">
        <v>203</v>
      </c>
      <c r="D47" s="323">
        <v>20000</v>
      </c>
      <c r="E47" s="538" t="s">
        <v>208</v>
      </c>
      <c r="F47" s="538"/>
      <c r="G47" s="538"/>
      <c r="H47" s="538"/>
      <c r="I47" s="538"/>
      <c r="J47" s="146"/>
      <c r="K47" s="146"/>
      <c r="L47" s="146"/>
      <c r="M47" s="146"/>
      <c r="N47" s="1"/>
      <c r="O47" s="1"/>
      <c r="P47" s="1"/>
      <c r="Q47" s="1"/>
      <c r="R47" s="1"/>
      <c r="S47" s="1"/>
      <c r="T47" s="1"/>
      <c r="U47" s="1"/>
      <c r="V47" s="1"/>
    </row>
    <row r="48" spans="1:27" ht="15.75" customHeight="1" x14ac:dyDescent="0.25">
      <c r="A48" s="146"/>
      <c r="B48" s="146"/>
      <c r="C48" s="230" t="s">
        <v>204</v>
      </c>
      <c r="D48" s="323">
        <v>40000</v>
      </c>
      <c r="E48" s="539" t="s">
        <v>213</v>
      </c>
      <c r="F48" s="539"/>
      <c r="G48" s="539"/>
      <c r="H48" s="539"/>
      <c r="I48" s="539"/>
      <c r="J48" s="146"/>
      <c r="K48" s="146"/>
      <c r="L48" s="146"/>
      <c r="M48" s="146"/>
      <c r="N48" s="1"/>
      <c r="O48" s="1"/>
      <c r="P48" s="1"/>
      <c r="Q48" s="1"/>
      <c r="R48" s="1"/>
      <c r="S48" s="1"/>
      <c r="T48" s="1"/>
      <c r="U48" s="1"/>
      <c r="V48" s="1"/>
    </row>
    <row r="49" spans="1:27" ht="15.75" customHeight="1" x14ac:dyDescent="0.25">
      <c r="A49" s="146"/>
      <c r="B49" s="146"/>
      <c r="C49" s="230" t="s">
        <v>205</v>
      </c>
      <c r="D49" s="323">
        <v>20000</v>
      </c>
      <c r="E49" s="538" t="s">
        <v>208</v>
      </c>
      <c r="F49" s="538"/>
      <c r="G49" s="538"/>
      <c r="H49" s="538"/>
      <c r="I49" s="538"/>
      <c r="J49" s="146"/>
      <c r="K49" s="146"/>
      <c r="L49" s="146"/>
      <c r="M49" s="146"/>
      <c r="N49" s="1"/>
      <c r="O49" s="1"/>
      <c r="P49" s="1"/>
      <c r="Q49" s="1"/>
      <c r="R49" s="1"/>
      <c r="S49" s="1"/>
      <c r="T49" s="1"/>
      <c r="U49" s="1"/>
      <c r="V49" s="1"/>
    </row>
    <row r="50" spans="1:27" ht="15.75" customHeight="1" x14ac:dyDescent="0.25">
      <c r="A50" s="146"/>
      <c r="B50" s="146"/>
      <c r="C50" s="230" t="s">
        <v>206</v>
      </c>
      <c r="D50" s="323">
        <v>100000</v>
      </c>
      <c r="E50" s="538"/>
      <c r="F50" s="538"/>
      <c r="G50" s="538"/>
      <c r="H50" s="538"/>
      <c r="I50" s="538"/>
      <c r="J50" s="146"/>
      <c r="K50" s="146"/>
      <c r="L50" s="146"/>
      <c r="M50" s="146"/>
      <c r="N50" s="146"/>
      <c r="O50" s="146"/>
      <c r="P50" s="146"/>
      <c r="Q50" s="146"/>
      <c r="R50" s="146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93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9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9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9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9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9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9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9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9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9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9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9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9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9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9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9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9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9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9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9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9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9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9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9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9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9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9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9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9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9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9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9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9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9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9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9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9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9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9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9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9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9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9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9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9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9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9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9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9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9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9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9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9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9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9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9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9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9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9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9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9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9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9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9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9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9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9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9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9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9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9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9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9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9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9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9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9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9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9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9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9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9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9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9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9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9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9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9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9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9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9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9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9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9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9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9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9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9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9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9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9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9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9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9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9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9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9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9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9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9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9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9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9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9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9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9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9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9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9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9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9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9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9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9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9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9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9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9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9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9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9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9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9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9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9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9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9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9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9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9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9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9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9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9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9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9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9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9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9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9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9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9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9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9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9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9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9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9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9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9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9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9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9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9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9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9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9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9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9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9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9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9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9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9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9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9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9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9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9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9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9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9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9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9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9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9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9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9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9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9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9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9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9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9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9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9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9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9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9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9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9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9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9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9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9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9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9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9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9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9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9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9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9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9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9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9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9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9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9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9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9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9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9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9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9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9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9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9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9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9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9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9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9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9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9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9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9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9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9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9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9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9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9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9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9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9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9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9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9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9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9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9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9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9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9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9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9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9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9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9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9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9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9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9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9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9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9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9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9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9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9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9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9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9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9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9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9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9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9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9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9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9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9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9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9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9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9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9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9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9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9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9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9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9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9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9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9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9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9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9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9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9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9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9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9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9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9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9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9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9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9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9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9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9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9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9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9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9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9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9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9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9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9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9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9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9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9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9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9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9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9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9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9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9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9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9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9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9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9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9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9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9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9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9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9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9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9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9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9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9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9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9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9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9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9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9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9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9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9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9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9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9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9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9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9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9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9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9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9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9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9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9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9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9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9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9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9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9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9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9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9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9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9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9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9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9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9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9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9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9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9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9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9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9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9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9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9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9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9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9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9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9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9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9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9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9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9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9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9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9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9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9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9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9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9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9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9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9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9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9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9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9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9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9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9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9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9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9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9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9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9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9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9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9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9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9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9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9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9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9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9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9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9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9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9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9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9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9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9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9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9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9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9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9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9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9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9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9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9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9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9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9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9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9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9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9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9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9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9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9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9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9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9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9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9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9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9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9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9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9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9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9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9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9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9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9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9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9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9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9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9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9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9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9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9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9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9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9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9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9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9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9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9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9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9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9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9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9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9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9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9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9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9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9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9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9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9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9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9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9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9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9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9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9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9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9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9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9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9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9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9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9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9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9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9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9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9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9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9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9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9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9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9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9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9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9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9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9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9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9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9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9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9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9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9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9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9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9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9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9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9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9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9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9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9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9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9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9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9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9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9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9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9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9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9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9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9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9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9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9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9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9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9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9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9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9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9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9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9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9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9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9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9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9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9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9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9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9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9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9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9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9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9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9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9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9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9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9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9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9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9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9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9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9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9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9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9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9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9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9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9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9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9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9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9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9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9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9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9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9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9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9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9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9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9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9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9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9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9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9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9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9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9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9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9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9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9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9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9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9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9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9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9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9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9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9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9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9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9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9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9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9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9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9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9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9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9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9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9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9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9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9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9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9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9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9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9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9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9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9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9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9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9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9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9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9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9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9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9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9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9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9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9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9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9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9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9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9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9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9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9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9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9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9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9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9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9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9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9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9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9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9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9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9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9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9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9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9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9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9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9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9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9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9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9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9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9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9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9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9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9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9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9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9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9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9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9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9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9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9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9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9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9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9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9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9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9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9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9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9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9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9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9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9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9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9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9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9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9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9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9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9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9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9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9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9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9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9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9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9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9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9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9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9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9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9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9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9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9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9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9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9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9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9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9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9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9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9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9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9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9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9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9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9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9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9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9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9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9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9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9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9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9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9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9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9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9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9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9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9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9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9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9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9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9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9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9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9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9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9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9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9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9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9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9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9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9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9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9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9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9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9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9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9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9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9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9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9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9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9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9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9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9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9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9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9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9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9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9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9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9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9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9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9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9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9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9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9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9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9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9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9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9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9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9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9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9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9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9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9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9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9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9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9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9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9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9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" customHeight="1" x14ac:dyDescent="0.25">
      <c r="C931" s="1"/>
      <c r="D931" s="1"/>
      <c r="E931" s="1"/>
      <c r="F931" s="1"/>
      <c r="G931" s="1"/>
      <c r="H931" s="1"/>
      <c r="I931" s="1"/>
    </row>
  </sheetData>
  <mergeCells count="12">
    <mergeCell ref="E48:I48"/>
    <mergeCell ref="E49:I50"/>
    <mergeCell ref="B9:R9"/>
    <mergeCell ref="B20:R20"/>
    <mergeCell ref="B31:R31"/>
    <mergeCell ref="C32:D32"/>
    <mergeCell ref="E42:I42"/>
    <mergeCell ref="E3:G3"/>
    <mergeCell ref="C10:D10"/>
    <mergeCell ref="C21:D21"/>
    <mergeCell ref="E43:I46"/>
    <mergeCell ref="E47:I47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4" sqref="C54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49"/>
      <c r="B1" s="149"/>
      <c r="C1" s="149"/>
      <c r="D1" s="149"/>
      <c r="E1" s="150" t="s">
        <v>14</v>
      </c>
      <c r="F1" s="187"/>
      <c r="G1" s="187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17"/>
      <c r="C4" s="1"/>
      <c r="D4" s="1"/>
      <c r="E4" s="535" t="s">
        <v>101</v>
      </c>
      <c r="F4" s="482"/>
      <c r="G4" s="45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46"/>
      <c r="AD4" s="146"/>
      <c r="AE4" s="146"/>
    </row>
    <row r="5" spans="1:31" x14ac:dyDescent="0.25">
      <c r="A5" s="1"/>
      <c r="B5" s="51"/>
      <c r="C5" s="1"/>
      <c r="D5" s="1"/>
      <c r="E5" s="174">
        <v>2022</v>
      </c>
      <c r="F5" s="152">
        <v>2023</v>
      </c>
      <c r="G5" s="17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46"/>
      <c r="AD5" s="146"/>
      <c r="AE5" s="146"/>
    </row>
    <row r="6" spans="1:31" ht="15.75" thickBot="1" x14ac:dyDescent="0.3">
      <c r="A6" s="1"/>
      <c r="B6" s="61"/>
      <c r="C6" s="1"/>
      <c r="D6" s="1"/>
      <c r="E6" s="20">
        <f>$AA$30</f>
        <v>13304673.637200003</v>
      </c>
      <c r="F6" s="21">
        <f>AA42</f>
        <v>18686670.935599998</v>
      </c>
      <c r="G6" s="22">
        <f>AA54</f>
        <v>21612421.035999998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46"/>
      <c r="AD6" s="146"/>
      <c r="AE6" s="146"/>
    </row>
    <row r="7" spans="1:31" x14ac:dyDescent="0.25">
      <c r="A7" s="1"/>
      <c r="B7" s="5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46"/>
      <c r="AD7" s="146"/>
      <c r="AE7" s="146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33" t="s">
        <v>102</v>
      </c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49" t="s">
        <v>103</v>
      </c>
      <c r="C12" s="547" t="s">
        <v>104</v>
      </c>
      <c r="D12" s="548" t="s">
        <v>105</v>
      </c>
      <c r="E12" s="235" t="s">
        <v>106</v>
      </c>
      <c r="F12" s="235" t="s">
        <v>107</v>
      </c>
      <c r="G12" s="235" t="s">
        <v>108</v>
      </c>
      <c r="H12" s="235" t="s">
        <v>109</v>
      </c>
      <c r="I12" s="236" t="s">
        <v>110</v>
      </c>
      <c r="J12" s="236" t="s">
        <v>111</v>
      </c>
      <c r="K12" s="548" t="s">
        <v>112</v>
      </c>
      <c r="L12" s="548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50"/>
      <c r="C13" s="418"/>
      <c r="D13" s="418"/>
      <c r="E13" s="237">
        <v>0.1047</v>
      </c>
      <c r="F13" s="237">
        <v>1.54E-2</v>
      </c>
      <c r="G13" s="238">
        <v>0.06</v>
      </c>
      <c r="H13" s="237">
        <v>9.1999999999999998E-3</v>
      </c>
      <c r="I13" s="238" t="s">
        <v>114</v>
      </c>
      <c r="J13" s="238">
        <v>0.03</v>
      </c>
      <c r="K13" s="418"/>
      <c r="L13" s="418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51" t="s">
        <v>176</v>
      </c>
      <c r="C14" s="228" t="str">
        <f>'Anexo capacidad operativa'!B45</f>
        <v>Tester</v>
      </c>
      <c r="D14" s="233">
        <v>105257</v>
      </c>
      <c r="E14" s="62">
        <f>$D$14*E13</f>
        <v>11020.4079</v>
      </c>
      <c r="F14" s="62">
        <f>$D$14*F13</f>
        <v>1620.9578000000001</v>
      </c>
      <c r="G14" s="62">
        <f>$D$14*G13</f>
        <v>6315.42</v>
      </c>
      <c r="H14" s="62">
        <f>$D$14*H13</f>
        <v>968.36439999999993</v>
      </c>
      <c r="I14" s="62">
        <v>18.57</v>
      </c>
      <c r="J14" s="62">
        <f>$D$14*J13</f>
        <v>3157.71</v>
      </c>
      <c r="K14" s="62">
        <f>SUM(E14:J14)</f>
        <v>23101.430099999998</v>
      </c>
      <c r="L14" s="239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52"/>
      <c r="C15" s="228" t="str">
        <f>'Anexo capacidad operativa'!B43</f>
        <v>Gerente de servicios</v>
      </c>
      <c r="D15" s="233">
        <v>251650</v>
      </c>
      <c r="E15" s="62">
        <f>$D$15*E13</f>
        <v>26347.755000000001</v>
      </c>
      <c r="F15" s="62">
        <f>$D$15*F13</f>
        <v>3875.4100000000003</v>
      </c>
      <c r="G15" s="62">
        <f>$D$15*G13</f>
        <v>15099</v>
      </c>
      <c r="H15" s="62">
        <f>$D$15*H13</f>
        <v>2315.1799999999998</v>
      </c>
      <c r="I15" s="62">
        <v>18.57</v>
      </c>
      <c r="J15" s="62">
        <f>$D$15*J13</f>
        <v>7549.5</v>
      </c>
      <c r="K15" s="62">
        <f>SUM(E15:J15)</f>
        <v>55205.415000000001</v>
      </c>
      <c r="L15" s="23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53"/>
      <c r="C16" s="227" t="str">
        <f>'Anexo capacidad operativa'!B42</f>
        <v>Desarrollador</v>
      </c>
      <c r="D16" s="234">
        <v>202536</v>
      </c>
      <c r="E16" s="62">
        <f>$D$16*E13</f>
        <v>21205.519199999999</v>
      </c>
      <c r="F16" s="62">
        <f>$D$16*F13</f>
        <v>3119.0544</v>
      </c>
      <c r="G16" s="62">
        <f>$D$16*G13</f>
        <v>12152.16</v>
      </c>
      <c r="H16" s="62">
        <f>$D$16*H13</f>
        <v>1863.3312000000001</v>
      </c>
      <c r="I16" s="62">
        <v>18.57</v>
      </c>
      <c r="J16" s="62">
        <f>$D$16*J13</f>
        <v>6076.08</v>
      </c>
      <c r="K16" s="62">
        <f t="shared" ref="K16:K18" si="0">SUM(E16:J16)</f>
        <v>44434.714800000002</v>
      </c>
      <c r="L16" s="239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32" t="s">
        <v>253</v>
      </c>
      <c r="C17" s="228" t="str">
        <f>'Anexo capacidad operativa'!B44</f>
        <v>Empleado de tecnologia</v>
      </c>
      <c r="D17" s="233">
        <v>92500</v>
      </c>
      <c r="E17" s="62">
        <f>$D$17*E13</f>
        <v>9684.75</v>
      </c>
      <c r="F17" s="62">
        <f>$D$17*F13</f>
        <v>1424.5</v>
      </c>
      <c r="G17" s="62">
        <f>$D$17*G13</f>
        <v>5550</v>
      </c>
      <c r="H17" s="62">
        <f>$D$17*H13</f>
        <v>851</v>
      </c>
      <c r="I17" s="62">
        <v>18.57</v>
      </c>
      <c r="J17" s="62">
        <f>$D$17*J13</f>
        <v>2775</v>
      </c>
      <c r="K17" s="62">
        <f t="shared" si="0"/>
        <v>20303.82</v>
      </c>
      <c r="L17" s="23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32" t="s">
        <v>252</v>
      </c>
      <c r="C18" s="228" t="str">
        <f>'Anexo capacidad operativa'!B46</f>
        <v>Empleado administrativo de ventas</v>
      </c>
      <c r="D18" s="233">
        <v>81500</v>
      </c>
      <c r="E18" s="62">
        <f>$D$18*E13</f>
        <v>8533.0499999999993</v>
      </c>
      <c r="F18" s="62">
        <f>$D$18*F13</f>
        <v>1255.1000000000001</v>
      </c>
      <c r="G18" s="62">
        <f>$D$18*G13</f>
        <v>4890</v>
      </c>
      <c r="H18" s="62">
        <f>$D$18*H13</f>
        <v>749.8</v>
      </c>
      <c r="I18" s="62">
        <v>18.57</v>
      </c>
      <c r="J18" s="62">
        <f>$D$18*J13</f>
        <v>2445</v>
      </c>
      <c r="K18" s="62">
        <f t="shared" si="0"/>
        <v>17891.519999999997</v>
      </c>
      <c r="L18" s="23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40" t="s">
        <v>225</v>
      </c>
      <c r="C22" s="541"/>
      <c r="D22" s="541"/>
      <c r="E22" s="541"/>
      <c r="F22" s="541"/>
      <c r="G22" s="541"/>
      <c r="H22" s="541"/>
      <c r="I22" s="541"/>
      <c r="J22" s="541"/>
      <c r="K22" s="541"/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2"/>
      <c r="AB22" s="1"/>
      <c r="AC22" s="1"/>
      <c r="AD22" s="1"/>
      <c r="AE22" s="1"/>
    </row>
    <row r="23" spans="1:31" ht="15.75" customHeight="1" x14ac:dyDescent="0.25">
      <c r="A23" s="1"/>
      <c r="B23" s="558" t="s">
        <v>104</v>
      </c>
      <c r="C23" s="554" t="s">
        <v>39</v>
      </c>
      <c r="D23" s="555"/>
      <c r="E23" s="554" t="s">
        <v>40</v>
      </c>
      <c r="F23" s="555"/>
      <c r="G23" s="554" t="s">
        <v>41</v>
      </c>
      <c r="H23" s="555"/>
      <c r="I23" s="554" t="s">
        <v>42</v>
      </c>
      <c r="J23" s="555"/>
      <c r="K23" s="554" t="s">
        <v>43</v>
      </c>
      <c r="L23" s="555"/>
      <c r="M23" s="554" t="s">
        <v>115</v>
      </c>
      <c r="N23" s="555"/>
      <c r="O23" s="554" t="s">
        <v>45</v>
      </c>
      <c r="P23" s="555"/>
      <c r="Q23" s="554" t="s">
        <v>46</v>
      </c>
      <c r="R23" s="555"/>
      <c r="S23" s="554" t="s">
        <v>47</v>
      </c>
      <c r="T23" s="555"/>
      <c r="U23" s="554" t="s">
        <v>48</v>
      </c>
      <c r="V23" s="555"/>
      <c r="W23" s="554" t="s">
        <v>49</v>
      </c>
      <c r="X23" s="555"/>
      <c r="Y23" s="554" t="s">
        <v>116</v>
      </c>
      <c r="Z23" s="555"/>
      <c r="AA23" s="556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59"/>
      <c r="C24" s="246" t="s">
        <v>52</v>
      </c>
      <c r="D24" s="246" t="s">
        <v>100</v>
      </c>
      <c r="E24" s="246" t="s">
        <v>52</v>
      </c>
      <c r="F24" s="246" t="s">
        <v>100</v>
      </c>
      <c r="G24" s="246" t="s">
        <v>52</v>
      </c>
      <c r="H24" s="246" t="s">
        <v>100</v>
      </c>
      <c r="I24" s="246" t="s">
        <v>52</v>
      </c>
      <c r="J24" s="246" t="s">
        <v>100</v>
      </c>
      <c r="K24" s="246" t="s">
        <v>52</v>
      </c>
      <c r="L24" s="246" t="s">
        <v>100</v>
      </c>
      <c r="M24" s="246" t="s">
        <v>52</v>
      </c>
      <c r="N24" s="246" t="s">
        <v>100</v>
      </c>
      <c r="O24" s="246" t="s">
        <v>52</v>
      </c>
      <c r="P24" s="246" t="s">
        <v>100</v>
      </c>
      <c r="Q24" s="246" t="s">
        <v>52</v>
      </c>
      <c r="R24" s="246" t="s">
        <v>100</v>
      </c>
      <c r="S24" s="246" t="s">
        <v>52</v>
      </c>
      <c r="T24" s="246" t="s">
        <v>100</v>
      </c>
      <c r="U24" s="246" t="s">
        <v>52</v>
      </c>
      <c r="V24" s="246" t="s">
        <v>100</v>
      </c>
      <c r="W24" s="246" t="s">
        <v>52</v>
      </c>
      <c r="X24" s="246" t="s">
        <v>100</v>
      </c>
      <c r="Y24" s="246" t="s">
        <v>52</v>
      </c>
      <c r="Z24" s="246" t="s">
        <v>100</v>
      </c>
      <c r="AA24" s="557"/>
      <c r="AB24" s="1"/>
      <c r="AC24" s="1"/>
      <c r="AD24" s="1"/>
      <c r="AE24" s="1"/>
    </row>
    <row r="25" spans="1:31" ht="15.75" customHeight="1" x14ac:dyDescent="0.25">
      <c r="A25" s="1"/>
      <c r="B25" s="26" t="str">
        <f>'Anexo capacidad operativa'!B22</f>
        <v>Desarrollador</v>
      </c>
      <c r="C25" s="327">
        <f>'Anexo capacidad operativa'!C22</f>
        <v>1</v>
      </c>
      <c r="D25" s="63">
        <f>C25*$L$16</f>
        <v>246970.71480000002</v>
      </c>
      <c r="E25" s="240">
        <f>'Anexo capacidad operativa'!E22</f>
        <v>1</v>
      </c>
      <c r="F25" s="63">
        <f t="shared" ref="F25" si="2">E25*$L$16</f>
        <v>246970.71480000002</v>
      </c>
      <c r="G25" s="240">
        <f>'Anexo capacidad operativa'!G22</f>
        <v>1</v>
      </c>
      <c r="H25" s="63">
        <f t="shared" ref="H25" si="3">G25*$L$16</f>
        <v>246970.71480000002</v>
      </c>
      <c r="I25" s="240">
        <f>'Anexo capacidad operativa'!I22</f>
        <v>1</v>
      </c>
      <c r="J25" s="63">
        <f t="shared" ref="J25" si="4">I25*$L$16</f>
        <v>246970.71480000002</v>
      </c>
      <c r="K25" s="367">
        <f>'Anexo capacidad operativa'!K22</f>
        <v>2</v>
      </c>
      <c r="L25" s="63">
        <f t="shared" ref="L25" si="5">K25*$L$16</f>
        <v>493941.42960000003</v>
      </c>
      <c r="M25" s="367">
        <f>'Anexo capacidad operativa'!M22</f>
        <v>2</v>
      </c>
      <c r="N25" s="63">
        <f t="shared" ref="N25" si="6">M25*$L$16</f>
        <v>493941.42960000003</v>
      </c>
      <c r="O25" s="240">
        <f>'Anexo capacidad operativa'!O22</f>
        <v>2</v>
      </c>
      <c r="P25" s="63">
        <f t="shared" ref="P25" si="7">O25*$L$16</f>
        <v>493941.42960000003</v>
      </c>
      <c r="Q25" s="240">
        <f>'Anexo capacidad operativa'!Q22</f>
        <v>2</v>
      </c>
      <c r="R25" s="63">
        <f t="shared" ref="R25" si="8">Q25*$L$16</f>
        <v>493941.42960000003</v>
      </c>
      <c r="S25" s="240">
        <f>'Anexo capacidad operativa'!S22</f>
        <v>2</v>
      </c>
      <c r="T25" s="63">
        <f t="shared" ref="T25" si="9">S25*$L$16</f>
        <v>493941.42960000003</v>
      </c>
      <c r="U25" s="240">
        <f>'Anexo capacidad operativa'!U22</f>
        <v>2</v>
      </c>
      <c r="V25" s="63">
        <f t="shared" ref="V25" si="10">U25*$L$16</f>
        <v>493941.42960000003</v>
      </c>
      <c r="W25" s="240">
        <f>'Anexo capacidad operativa'!W22</f>
        <v>2</v>
      </c>
      <c r="X25" s="63">
        <f t="shared" ref="X25" si="11">W25*$L$16</f>
        <v>493941.42960000003</v>
      </c>
      <c r="Y25" s="240">
        <f>'Anexo capacidad operativa'!Y22</f>
        <v>2</v>
      </c>
      <c r="Z25" s="63">
        <f t="shared" ref="Z25" si="12">Y25*$L$16</f>
        <v>493941.42960000003</v>
      </c>
      <c r="AA25" s="247">
        <f>D25+F25+H25+J25+L25+N25+P25+R25+T25+V25+X25+Z25</f>
        <v>4939414.2960000001</v>
      </c>
      <c r="AB25" s="1"/>
      <c r="AC25" s="1"/>
      <c r="AD25" s="1"/>
      <c r="AE25" s="1"/>
    </row>
    <row r="26" spans="1:31" ht="15.75" customHeight="1" x14ac:dyDescent="0.25">
      <c r="A26" s="1"/>
      <c r="B26" s="28" t="str">
        <f>'Anexo capacidad operativa'!B23</f>
        <v>Gerente de servicios</v>
      </c>
      <c r="C26" s="327">
        <f>'Anexo capacidad operativa'!C23</f>
        <v>1</v>
      </c>
      <c r="D26" s="63">
        <f>C26*$L$15</f>
        <v>306855.41499999998</v>
      </c>
      <c r="E26" s="240">
        <f>'Anexo capacidad operativa'!E23</f>
        <v>1</v>
      </c>
      <c r="F26" s="63">
        <f>E26*$L$15</f>
        <v>306855.41499999998</v>
      </c>
      <c r="G26" s="240">
        <f>'Anexo capacidad operativa'!G23</f>
        <v>1</v>
      </c>
      <c r="H26" s="63">
        <f>G26*$L$15</f>
        <v>306855.41499999998</v>
      </c>
      <c r="I26" s="240">
        <f>'Anexo capacidad operativa'!I23</f>
        <v>1</v>
      </c>
      <c r="J26" s="63">
        <f>I26*$L$15</f>
        <v>306855.41499999998</v>
      </c>
      <c r="K26" s="240">
        <f>'Anexo capacidad operativa'!K23</f>
        <v>1</v>
      </c>
      <c r="L26" s="63">
        <f>K26*$L$15</f>
        <v>306855.41499999998</v>
      </c>
      <c r="M26" s="240">
        <f>'Anexo capacidad operativa'!M23</f>
        <v>1</v>
      </c>
      <c r="N26" s="63">
        <f>M26*$L$15</f>
        <v>306855.41499999998</v>
      </c>
      <c r="O26" s="240">
        <f>'Anexo capacidad operativa'!O23</f>
        <v>1</v>
      </c>
      <c r="P26" s="63">
        <f>O26*$L$15</f>
        <v>306855.41499999998</v>
      </c>
      <c r="Q26" s="240">
        <f>'Anexo capacidad operativa'!Q23</f>
        <v>1</v>
      </c>
      <c r="R26" s="63">
        <f>Q26*$L$15</f>
        <v>306855.41499999998</v>
      </c>
      <c r="S26" s="240">
        <f>'Anexo capacidad operativa'!S23</f>
        <v>1</v>
      </c>
      <c r="T26" s="63">
        <f>S26*$L$15</f>
        <v>306855.41499999998</v>
      </c>
      <c r="U26" s="240">
        <f>'Anexo capacidad operativa'!U23</f>
        <v>1</v>
      </c>
      <c r="V26" s="63">
        <f>U26*$L$15</f>
        <v>306855.41499999998</v>
      </c>
      <c r="W26" s="240">
        <f>'Anexo capacidad operativa'!W23</f>
        <v>1</v>
      </c>
      <c r="X26" s="63">
        <f>W26*$L$15</f>
        <v>306855.41499999998</v>
      </c>
      <c r="Y26" s="240">
        <f>'Anexo capacidad operativa'!Y23</f>
        <v>1</v>
      </c>
      <c r="Z26" s="63">
        <f>Y26*$L$15</f>
        <v>306855.41499999998</v>
      </c>
      <c r="AA26" s="24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28" t="str">
        <f>'Anexo capacidad operativa'!B24</f>
        <v>Empleado de tecnologia</v>
      </c>
      <c r="C27" s="327">
        <f>'Anexo capacidad operativa'!C24</f>
        <v>1</v>
      </c>
      <c r="D27" s="63">
        <f>C27*$L$17</f>
        <v>112803.82</v>
      </c>
      <c r="E27" s="240">
        <f>'Anexo capacidad operativa'!E24</f>
        <v>1</v>
      </c>
      <c r="F27" s="63">
        <f t="shared" ref="F27" si="13">E27*$L$17</f>
        <v>112803.82</v>
      </c>
      <c r="G27" s="240">
        <f>'Anexo capacidad operativa'!G24</f>
        <v>1</v>
      </c>
      <c r="H27" s="63">
        <f t="shared" ref="H27" si="14">G27*$L$17</f>
        <v>112803.82</v>
      </c>
      <c r="I27" s="240">
        <f>'Anexo capacidad operativa'!I24</f>
        <v>1</v>
      </c>
      <c r="J27" s="63">
        <f t="shared" ref="J27" si="15">I27*$L$17</f>
        <v>112803.82</v>
      </c>
      <c r="K27" s="240">
        <f>'Anexo capacidad operativa'!K24</f>
        <v>1</v>
      </c>
      <c r="L27" s="63">
        <f t="shared" ref="L27" si="16">K27*$L$17</f>
        <v>112803.82</v>
      </c>
      <c r="M27" s="240">
        <f>'Anexo capacidad operativa'!M24</f>
        <v>1</v>
      </c>
      <c r="N27" s="63">
        <f t="shared" ref="N27" si="17">M27*$L$17</f>
        <v>112803.82</v>
      </c>
      <c r="O27" s="240">
        <f>'Anexo capacidad operativa'!O24</f>
        <v>1</v>
      </c>
      <c r="P27" s="63">
        <f t="shared" ref="P27" si="18">O27*$L$17</f>
        <v>112803.82</v>
      </c>
      <c r="Q27" s="240">
        <f>'Anexo capacidad operativa'!Q24</f>
        <v>1</v>
      </c>
      <c r="R27" s="63">
        <f t="shared" ref="R27" si="19">Q27*$L$17</f>
        <v>112803.82</v>
      </c>
      <c r="S27" s="240">
        <f>'Anexo capacidad operativa'!S24</f>
        <v>1</v>
      </c>
      <c r="T27" s="63">
        <f t="shared" ref="T27" si="20">S27*$L$17</f>
        <v>112803.82</v>
      </c>
      <c r="U27" s="240">
        <f>'Anexo capacidad operativa'!U24</f>
        <v>1</v>
      </c>
      <c r="V27" s="63">
        <f t="shared" ref="V27" si="21">U27*$L$17</f>
        <v>112803.82</v>
      </c>
      <c r="W27" s="240">
        <f>'Anexo capacidad operativa'!W24</f>
        <v>1</v>
      </c>
      <c r="X27" s="63">
        <f t="shared" ref="X27" si="22">W27*$L$17</f>
        <v>112803.82</v>
      </c>
      <c r="Y27" s="240">
        <f>'Anexo capacidad operativa'!Y24</f>
        <v>1</v>
      </c>
      <c r="Z27" s="63">
        <f t="shared" ref="Z27" si="23">Y27*$L$17</f>
        <v>112803.82</v>
      </c>
      <c r="AA27" s="24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28" t="str">
        <f>'Anexo capacidad operativa'!B25</f>
        <v>Tester</v>
      </c>
      <c r="C28" s="327">
        <f>'Anexo capacidad operativa'!C25</f>
        <v>1</v>
      </c>
      <c r="D28" s="63">
        <f>$L$14*C28</f>
        <v>128358.4301</v>
      </c>
      <c r="E28" s="240">
        <f>'Anexo capacidad operativa'!E25</f>
        <v>1</v>
      </c>
      <c r="F28" s="63">
        <f>$L$14*E28</f>
        <v>128358.4301</v>
      </c>
      <c r="G28" s="240">
        <f>'Anexo capacidad operativa'!G25</f>
        <v>1</v>
      </c>
      <c r="H28" s="63">
        <f>$L$14*G28</f>
        <v>128358.4301</v>
      </c>
      <c r="I28" s="240">
        <f>'Anexo capacidad operativa'!I25</f>
        <v>1</v>
      </c>
      <c r="J28" s="63">
        <f>$L$14*I28</f>
        <v>128358.4301</v>
      </c>
      <c r="K28" s="240">
        <f>'Anexo capacidad operativa'!K25</f>
        <v>1</v>
      </c>
      <c r="L28" s="63">
        <f>$L$14*K28</f>
        <v>128358.4301</v>
      </c>
      <c r="M28" s="240">
        <f>'Anexo capacidad operativa'!M25</f>
        <v>1</v>
      </c>
      <c r="N28" s="63">
        <f>$L$14*M28</f>
        <v>128358.4301</v>
      </c>
      <c r="O28" s="240">
        <f>'Anexo capacidad operativa'!O25</f>
        <v>1</v>
      </c>
      <c r="P28" s="63">
        <f>$L$14*O28</f>
        <v>128358.4301</v>
      </c>
      <c r="Q28" s="240">
        <f>'Anexo capacidad operativa'!Q25</f>
        <v>1</v>
      </c>
      <c r="R28" s="63">
        <f>$L$14*Q28</f>
        <v>128358.4301</v>
      </c>
      <c r="S28" s="240">
        <f>'Anexo capacidad operativa'!S25</f>
        <v>1</v>
      </c>
      <c r="T28" s="63">
        <f>$L$14*S28</f>
        <v>128358.4301</v>
      </c>
      <c r="U28" s="240">
        <f>'Anexo capacidad operativa'!U25</f>
        <v>1</v>
      </c>
      <c r="V28" s="63">
        <f>$L$14*U28</f>
        <v>128358.4301</v>
      </c>
      <c r="W28" s="240">
        <f>'Anexo capacidad operativa'!W25</f>
        <v>1</v>
      </c>
      <c r="X28" s="63">
        <f>$L$14*W28</f>
        <v>128358.4301</v>
      </c>
      <c r="Y28" s="240">
        <f>'Anexo capacidad operativa'!Y25</f>
        <v>1</v>
      </c>
      <c r="Z28" s="63">
        <f>$L$14*Y28</f>
        <v>128358.4301</v>
      </c>
      <c r="AA28" s="247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28" t="str">
        <f>'Anexo capacidad operativa'!B26</f>
        <v>Empleado administrativo de ventas</v>
      </c>
      <c r="C29" s="327">
        <f>'Anexo capacidad operativa'!C26</f>
        <v>1</v>
      </c>
      <c r="D29" s="63">
        <f>C29*$L$18</f>
        <v>99391.51999999999</v>
      </c>
      <c r="E29" s="240">
        <f>'Anexo capacidad operativa'!E26</f>
        <v>1</v>
      </c>
      <c r="F29" s="63">
        <f t="shared" ref="F29" si="24">E29*$L$18</f>
        <v>99391.51999999999</v>
      </c>
      <c r="G29" s="240">
        <f>'Anexo capacidad operativa'!G26</f>
        <v>1</v>
      </c>
      <c r="H29" s="63">
        <f t="shared" ref="H29" si="25">G29*$L$18</f>
        <v>99391.51999999999</v>
      </c>
      <c r="I29" s="240">
        <f>'Anexo capacidad operativa'!I26</f>
        <v>1</v>
      </c>
      <c r="J29" s="63">
        <f t="shared" ref="J29" si="26">I29*$L$18</f>
        <v>99391.51999999999</v>
      </c>
      <c r="K29" s="240">
        <f>'Anexo capacidad operativa'!K26</f>
        <v>1</v>
      </c>
      <c r="L29" s="63">
        <f t="shared" ref="L29" si="27">K29*$L$18</f>
        <v>99391.51999999999</v>
      </c>
      <c r="M29" s="240">
        <f>'Anexo capacidad operativa'!M26</f>
        <v>1</v>
      </c>
      <c r="N29" s="63">
        <f t="shared" ref="N29" si="28">M29*$L$18</f>
        <v>99391.51999999999</v>
      </c>
      <c r="O29" s="367">
        <f>'Anexo capacidad operativa'!O26</f>
        <v>2</v>
      </c>
      <c r="P29" s="63">
        <f t="shared" ref="P29" si="29">O29*$L$18</f>
        <v>198783.03999999998</v>
      </c>
      <c r="Q29" s="240">
        <f>'Anexo capacidad operativa'!Q26</f>
        <v>2</v>
      </c>
      <c r="R29" s="63">
        <f t="shared" ref="R29" si="30">Q29*$L$18</f>
        <v>198783.03999999998</v>
      </c>
      <c r="S29" s="240">
        <f>'Anexo capacidad operativa'!S26</f>
        <v>2</v>
      </c>
      <c r="T29" s="63">
        <f t="shared" ref="T29" si="31">S29*$L$18</f>
        <v>198783.03999999998</v>
      </c>
      <c r="U29" s="240">
        <f>'Anexo capacidad operativa'!U26</f>
        <v>2</v>
      </c>
      <c r="V29" s="63">
        <f t="shared" ref="V29" si="32">U29*$L$18</f>
        <v>198783.03999999998</v>
      </c>
      <c r="W29" s="240">
        <f>'Anexo capacidad operativa'!W26</f>
        <v>2</v>
      </c>
      <c r="X29" s="63">
        <f t="shared" ref="X29" si="33">W29*$L$18</f>
        <v>198783.03999999998</v>
      </c>
      <c r="Y29" s="240">
        <f>'Anexo capacidad operativa'!Y26</f>
        <v>2</v>
      </c>
      <c r="Z29" s="63">
        <f t="shared" ref="Z29" si="34">Y29*$L$18</f>
        <v>198783.03999999998</v>
      </c>
      <c r="AA29" s="24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48" t="s">
        <v>117</v>
      </c>
      <c r="C30" s="249">
        <f t="shared" ref="C30:Z30" si="35">SUM(C25:C29)</f>
        <v>5</v>
      </c>
      <c r="D30" s="250">
        <f t="shared" si="35"/>
        <v>894379.89990000008</v>
      </c>
      <c r="E30" s="249">
        <f t="shared" si="35"/>
        <v>5</v>
      </c>
      <c r="F30" s="250">
        <f t="shared" si="35"/>
        <v>894379.89990000008</v>
      </c>
      <c r="G30" s="249">
        <f t="shared" si="35"/>
        <v>5</v>
      </c>
      <c r="H30" s="250">
        <f t="shared" si="35"/>
        <v>894379.89990000008</v>
      </c>
      <c r="I30" s="249">
        <f t="shared" si="35"/>
        <v>5</v>
      </c>
      <c r="J30" s="250">
        <f t="shared" si="35"/>
        <v>894379.89990000008</v>
      </c>
      <c r="K30" s="249">
        <f t="shared" si="35"/>
        <v>6</v>
      </c>
      <c r="L30" s="250">
        <f t="shared" si="35"/>
        <v>1141350.6147</v>
      </c>
      <c r="M30" s="249">
        <f t="shared" si="35"/>
        <v>6</v>
      </c>
      <c r="N30" s="250">
        <f t="shared" si="35"/>
        <v>1141350.6147</v>
      </c>
      <c r="O30" s="249">
        <f t="shared" si="35"/>
        <v>7</v>
      </c>
      <c r="P30" s="250">
        <f t="shared" si="35"/>
        <v>1240742.1347000001</v>
      </c>
      <c r="Q30" s="249">
        <f t="shared" si="35"/>
        <v>7</v>
      </c>
      <c r="R30" s="250">
        <f t="shared" si="35"/>
        <v>1240742.1347000001</v>
      </c>
      <c r="S30" s="249">
        <f t="shared" si="35"/>
        <v>7</v>
      </c>
      <c r="T30" s="250">
        <f t="shared" si="35"/>
        <v>1240742.1347000001</v>
      </c>
      <c r="U30" s="249">
        <f t="shared" si="35"/>
        <v>7</v>
      </c>
      <c r="V30" s="250">
        <f t="shared" si="35"/>
        <v>1240742.1347000001</v>
      </c>
      <c r="W30" s="249">
        <f t="shared" si="35"/>
        <v>7</v>
      </c>
      <c r="X30" s="250">
        <f t="shared" si="35"/>
        <v>1240742.1347000001</v>
      </c>
      <c r="Y30" s="249">
        <f t="shared" si="35"/>
        <v>7</v>
      </c>
      <c r="Z30" s="250">
        <f t="shared" si="35"/>
        <v>1240742.1347000001</v>
      </c>
      <c r="AA30" s="64">
        <f>Z30+X30+V30+T30+R30+P30+N30+L30+J30+H30+F30+D30</f>
        <v>13304673.637200003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  <c r="AA32" s="146"/>
      <c r="AB32" s="1"/>
      <c r="AC32" s="1"/>
      <c r="AD32" s="1"/>
      <c r="AE32" s="1"/>
    </row>
    <row r="33" spans="1:31" ht="15.75" thickBot="1" x14ac:dyDescent="0.3">
      <c r="A33" s="1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  <c r="AA33" s="146"/>
      <c r="AB33" s="146"/>
      <c r="AC33" s="146"/>
      <c r="AD33" s="146"/>
      <c r="AE33" s="146"/>
    </row>
    <row r="34" spans="1:31" ht="27" thickBot="1" x14ac:dyDescent="0.45">
      <c r="A34" s="1"/>
      <c r="B34" s="540" t="s">
        <v>226</v>
      </c>
      <c r="C34" s="541"/>
      <c r="D34" s="541"/>
      <c r="E34" s="541"/>
      <c r="F34" s="541"/>
      <c r="G34" s="541"/>
      <c r="H34" s="541"/>
      <c r="I34" s="541"/>
      <c r="J34" s="541"/>
      <c r="K34" s="541"/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2"/>
      <c r="AB34" s="146"/>
      <c r="AC34" s="146"/>
      <c r="AD34" s="146"/>
      <c r="AE34" s="146"/>
    </row>
    <row r="35" spans="1:31" ht="15.75" x14ac:dyDescent="0.25">
      <c r="A35" s="1"/>
      <c r="B35" s="558" t="s">
        <v>104</v>
      </c>
      <c r="C35" s="554" t="s">
        <v>39</v>
      </c>
      <c r="D35" s="555"/>
      <c r="E35" s="554" t="s">
        <v>40</v>
      </c>
      <c r="F35" s="555"/>
      <c r="G35" s="554" t="s">
        <v>41</v>
      </c>
      <c r="H35" s="555"/>
      <c r="I35" s="554" t="s">
        <v>42</v>
      </c>
      <c r="J35" s="555"/>
      <c r="K35" s="554" t="s">
        <v>43</v>
      </c>
      <c r="L35" s="555"/>
      <c r="M35" s="554" t="s">
        <v>115</v>
      </c>
      <c r="N35" s="555"/>
      <c r="O35" s="554" t="s">
        <v>45</v>
      </c>
      <c r="P35" s="555"/>
      <c r="Q35" s="554" t="s">
        <v>46</v>
      </c>
      <c r="R35" s="555"/>
      <c r="S35" s="554" t="s">
        <v>47</v>
      </c>
      <c r="T35" s="555"/>
      <c r="U35" s="554" t="s">
        <v>48</v>
      </c>
      <c r="V35" s="555"/>
      <c r="W35" s="554" t="s">
        <v>49</v>
      </c>
      <c r="X35" s="555"/>
      <c r="Y35" s="554" t="s">
        <v>116</v>
      </c>
      <c r="Z35" s="555"/>
      <c r="AA35" s="556" t="s">
        <v>94</v>
      </c>
      <c r="AB35" s="146"/>
      <c r="AC35" s="146"/>
      <c r="AD35" s="146"/>
      <c r="AE35" s="146"/>
    </row>
    <row r="36" spans="1:31" ht="16.5" thickBot="1" x14ac:dyDescent="0.3">
      <c r="A36" s="1"/>
      <c r="B36" s="559"/>
      <c r="C36" s="246" t="s">
        <v>52</v>
      </c>
      <c r="D36" s="246" t="s">
        <v>100</v>
      </c>
      <c r="E36" s="246" t="s">
        <v>52</v>
      </c>
      <c r="F36" s="246" t="s">
        <v>100</v>
      </c>
      <c r="G36" s="246" t="s">
        <v>52</v>
      </c>
      <c r="H36" s="246" t="s">
        <v>100</v>
      </c>
      <c r="I36" s="246" t="s">
        <v>52</v>
      </c>
      <c r="J36" s="246" t="s">
        <v>100</v>
      </c>
      <c r="K36" s="246" t="s">
        <v>52</v>
      </c>
      <c r="L36" s="246" t="s">
        <v>100</v>
      </c>
      <c r="M36" s="246" t="s">
        <v>52</v>
      </c>
      <c r="N36" s="246" t="s">
        <v>100</v>
      </c>
      <c r="O36" s="246" t="s">
        <v>52</v>
      </c>
      <c r="P36" s="246" t="s">
        <v>100</v>
      </c>
      <c r="Q36" s="246" t="s">
        <v>52</v>
      </c>
      <c r="R36" s="246" t="s">
        <v>100</v>
      </c>
      <c r="S36" s="246" t="s">
        <v>52</v>
      </c>
      <c r="T36" s="246" t="s">
        <v>100</v>
      </c>
      <c r="U36" s="246" t="s">
        <v>52</v>
      </c>
      <c r="V36" s="246" t="s">
        <v>100</v>
      </c>
      <c r="W36" s="246" t="s">
        <v>52</v>
      </c>
      <c r="X36" s="246" t="s">
        <v>100</v>
      </c>
      <c r="Y36" s="246" t="s">
        <v>52</v>
      </c>
      <c r="Z36" s="246" t="s">
        <v>100</v>
      </c>
      <c r="AA36" s="557"/>
      <c r="AB36" s="146"/>
      <c r="AC36" s="146"/>
      <c r="AD36" s="146"/>
      <c r="AE36" s="146"/>
    </row>
    <row r="37" spans="1:31" x14ac:dyDescent="0.25">
      <c r="A37" s="1"/>
      <c r="B37" s="26" t="str">
        <f>'Anexo capacidad operativa'!B32</f>
        <v>Desarrollador</v>
      </c>
      <c r="C37" s="242">
        <f>'Anexo capacidad operativa'!C32</f>
        <v>2</v>
      </c>
      <c r="D37" s="63">
        <f>C37*$L$16</f>
        <v>493941.42960000003</v>
      </c>
      <c r="E37" s="241">
        <f>'Anexo capacidad operativa'!E32</f>
        <v>2</v>
      </c>
      <c r="F37" s="63">
        <f>E37*$L$16</f>
        <v>493941.42960000003</v>
      </c>
      <c r="G37" s="241">
        <f>'Anexo capacidad operativa'!G32</f>
        <v>2</v>
      </c>
      <c r="H37" s="63">
        <f t="shared" ref="H37" si="36">G37*$L$16</f>
        <v>493941.42960000003</v>
      </c>
      <c r="I37" s="241">
        <f>'Anexo capacidad operativa'!I32</f>
        <v>2</v>
      </c>
      <c r="J37" s="63">
        <f t="shared" ref="J37" si="37">I37*$L$16</f>
        <v>493941.42960000003</v>
      </c>
      <c r="K37" s="368">
        <f>'Anexo capacidad operativa'!K32</f>
        <v>3</v>
      </c>
      <c r="L37" s="63">
        <f t="shared" ref="L37" si="38">K37*$L$16</f>
        <v>740912.14440000011</v>
      </c>
      <c r="M37" s="368">
        <f>'Anexo capacidad operativa'!M32</f>
        <v>3</v>
      </c>
      <c r="N37" s="63">
        <f t="shared" ref="N37" si="39">M37*$L$16</f>
        <v>740912.14440000011</v>
      </c>
      <c r="O37" s="241">
        <f>'Anexo capacidad operativa'!O32</f>
        <v>3</v>
      </c>
      <c r="P37" s="63">
        <f t="shared" ref="P37" si="40">O37*$L$16</f>
        <v>740912.14440000011</v>
      </c>
      <c r="Q37" s="241">
        <f>'Anexo capacidad operativa'!Q32</f>
        <v>3</v>
      </c>
      <c r="R37" s="63">
        <f t="shared" ref="R37" si="41">Q37*$L$16</f>
        <v>740912.14440000011</v>
      </c>
      <c r="S37" s="241">
        <f>'Anexo capacidad operativa'!S32</f>
        <v>3</v>
      </c>
      <c r="T37" s="63">
        <f t="shared" ref="T37" si="42">S37*$L$16</f>
        <v>740912.14440000011</v>
      </c>
      <c r="U37" s="241">
        <f>'Anexo capacidad operativa'!U32</f>
        <v>3</v>
      </c>
      <c r="V37" s="63">
        <f t="shared" ref="V37" si="43">U37*$L$16</f>
        <v>740912.14440000011</v>
      </c>
      <c r="W37" s="241">
        <f>'Anexo capacidad operativa'!W32</f>
        <v>3</v>
      </c>
      <c r="X37" s="63">
        <f t="shared" ref="X37" si="44">W37*$L$16</f>
        <v>740912.14440000011</v>
      </c>
      <c r="Y37" s="241">
        <f>'Anexo capacidad operativa'!Y32</f>
        <v>3</v>
      </c>
      <c r="Z37" s="63">
        <f t="shared" ref="Z37" si="45">Y37*$L$16</f>
        <v>740912.14440000011</v>
      </c>
      <c r="AA37" s="247">
        <f t="shared" ref="AA37:AA41" si="46">D37+F37+H37+J37+L37+N37+P37+R37+T37+V37+X37+Z37</f>
        <v>7903062.8736000024</v>
      </c>
      <c r="AB37" s="146"/>
      <c r="AC37" s="146"/>
      <c r="AD37" s="146"/>
      <c r="AE37" s="146"/>
    </row>
    <row r="38" spans="1:31" ht="15.75" customHeight="1" x14ac:dyDescent="0.25">
      <c r="A38" s="1"/>
      <c r="B38" s="28" t="str">
        <f>'Anexo capacidad operativa'!B33</f>
        <v>Gerente de servicios</v>
      </c>
      <c r="C38" s="242">
        <f>'Anexo capacidad operativa'!C33</f>
        <v>1</v>
      </c>
      <c r="D38" s="63">
        <f>C38*$L$15</f>
        <v>306855.41499999998</v>
      </c>
      <c r="E38" s="241">
        <f>'Anexo capacidad operativa'!E33</f>
        <v>1</v>
      </c>
      <c r="F38" s="63">
        <f>E38*$L$15</f>
        <v>306855.41499999998</v>
      </c>
      <c r="G38" s="241">
        <f>'Anexo capacidad operativa'!G33</f>
        <v>1</v>
      </c>
      <c r="H38" s="63">
        <f>G38*$L$15</f>
        <v>306855.41499999998</v>
      </c>
      <c r="I38" s="241">
        <f>'Anexo capacidad operativa'!I33</f>
        <v>1</v>
      </c>
      <c r="J38" s="63">
        <f>I38*$L$15</f>
        <v>306855.41499999998</v>
      </c>
      <c r="K38" s="241">
        <f>'Anexo capacidad operativa'!K33</f>
        <v>1</v>
      </c>
      <c r="L38" s="63">
        <f>K38*$L$15</f>
        <v>306855.41499999998</v>
      </c>
      <c r="M38" s="241">
        <f>'Anexo capacidad operativa'!M33</f>
        <v>1</v>
      </c>
      <c r="N38" s="63">
        <f>M38*$L$15</f>
        <v>306855.41499999998</v>
      </c>
      <c r="O38" s="241">
        <f>'Anexo capacidad operativa'!O33</f>
        <v>1</v>
      </c>
      <c r="P38" s="63">
        <f>O38*$L$15</f>
        <v>306855.41499999998</v>
      </c>
      <c r="Q38" s="241">
        <f>'Anexo capacidad operativa'!Q33</f>
        <v>1</v>
      </c>
      <c r="R38" s="63">
        <f>Q38*$L$15</f>
        <v>306855.41499999998</v>
      </c>
      <c r="S38" s="241">
        <f>'Anexo capacidad operativa'!S33</f>
        <v>1</v>
      </c>
      <c r="T38" s="63">
        <f>S38*$L$15</f>
        <v>306855.41499999998</v>
      </c>
      <c r="U38" s="241">
        <f>'Anexo capacidad operativa'!U33</f>
        <v>1</v>
      </c>
      <c r="V38" s="63">
        <f>U38*$L$15</f>
        <v>306855.41499999998</v>
      </c>
      <c r="W38" s="241">
        <f>'Anexo capacidad operativa'!W33</f>
        <v>1</v>
      </c>
      <c r="X38" s="63">
        <f>W38*$L$15</f>
        <v>306855.41499999998</v>
      </c>
      <c r="Y38" s="241">
        <f>'Anexo capacidad operativa'!Y33</f>
        <v>1</v>
      </c>
      <c r="Z38" s="63">
        <f>Y38*$L$15</f>
        <v>306855.41499999998</v>
      </c>
      <c r="AA38" s="247">
        <f t="shared" si="46"/>
        <v>3682264.98</v>
      </c>
      <c r="AB38" s="146"/>
      <c r="AC38" s="146"/>
      <c r="AD38" s="146"/>
      <c r="AE38" s="146"/>
    </row>
    <row r="39" spans="1:31" ht="15.75" customHeight="1" x14ac:dyDescent="0.25">
      <c r="A39" s="1"/>
      <c r="B39" s="28" t="str">
        <f>'Anexo capacidad operativa'!B34</f>
        <v>Empleado de tecnologia</v>
      </c>
      <c r="C39" s="242">
        <f>'Anexo capacidad operativa'!C34</f>
        <v>1</v>
      </c>
      <c r="D39" s="63">
        <f>C39*$L$17</f>
        <v>112803.82</v>
      </c>
      <c r="E39" s="241">
        <f>'Anexo capacidad operativa'!E34</f>
        <v>1</v>
      </c>
      <c r="F39" s="63">
        <f>E39*$L$17</f>
        <v>112803.82</v>
      </c>
      <c r="G39" s="241">
        <f>'Anexo capacidad operativa'!G34</f>
        <v>1</v>
      </c>
      <c r="H39" s="63">
        <f t="shared" ref="H39" si="47">G39*$L$17</f>
        <v>112803.82</v>
      </c>
      <c r="I39" s="241">
        <f>'Anexo capacidad operativa'!I34</f>
        <v>1</v>
      </c>
      <c r="J39" s="63">
        <f t="shared" ref="J39" si="48">I39*$L$17</f>
        <v>112803.82</v>
      </c>
      <c r="K39" s="241">
        <f>'Anexo capacidad operativa'!K34</f>
        <v>1</v>
      </c>
      <c r="L39" s="63">
        <f t="shared" ref="L39" si="49">K39*$L$17</f>
        <v>112803.82</v>
      </c>
      <c r="M39" s="241">
        <f>'Anexo capacidad operativa'!M34</f>
        <v>1</v>
      </c>
      <c r="N39" s="63">
        <f t="shared" ref="N39" si="50">M39*$L$17</f>
        <v>112803.82</v>
      </c>
      <c r="O39" s="241">
        <f>'Anexo capacidad operativa'!O34</f>
        <v>1</v>
      </c>
      <c r="P39" s="63">
        <f t="shared" ref="P39" si="51">O39*$L$17</f>
        <v>112803.82</v>
      </c>
      <c r="Q39" s="241">
        <f>'Anexo capacidad operativa'!Q34</f>
        <v>1</v>
      </c>
      <c r="R39" s="63">
        <f t="shared" ref="R39" si="52">Q39*$L$17</f>
        <v>112803.82</v>
      </c>
      <c r="S39" s="241">
        <f>'Anexo capacidad operativa'!S34</f>
        <v>1</v>
      </c>
      <c r="T39" s="63">
        <f t="shared" ref="T39" si="53">S39*$L$17</f>
        <v>112803.82</v>
      </c>
      <c r="U39" s="241">
        <f>'Anexo capacidad operativa'!U34</f>
        <v>1</v>
      </c>
      <c r="V39" s="63">
        <f t="shared" ref="V39" si="54">U39*$L$17</f>
        <v>112803.82</v>
      </c>
      <c r="W39" s="241">
        <f>'Anexo capacidad operativa'!W34</f>
        <v>1</v>
      </c>
      <c r="X39" s="63">
        <f t="shared" ref="X39" si="55">W39*$L$17</f>
        <v>112803.82</v>
      </c>
      <c r="Y39" s="241">
        <f>'Anexo capacidad operativa'!Y34</f>
        <v>1</v>
      </c>
      <c r="Z39" s="63">
        <f t="shared" ref="Z39" si="56">Y39*$L$17</f>
        <v>112803.82</v>
      </c>
      <c r="AA39" s="247">
        <f t="shared" si="46"/>
        <v>1353645.8400000005</v>
      </c>
      <c r="AB39" s="146"/>
      <c r="AC39" s="146"/>
      <c r="AD39" s="146"/>
      <c r="AE39" s="146"/>
    </row>
    <row r="40" spans="1:31" ht="15.75" customHeight="1" x14ac:dyDescent="0.25">
      <c r="A40" s="1"/>
      <c r="B40" s="28" t="str">
        <f>'Anexo capacidad operativa'!B35</f>
        <v>Tester</v>
      </c>
      <c r="C40" s="242">
        <f>'Anexo capacidad operativa'!C35</f>
        <v>1</v>
      </c>
      <c r="D40" s="63">
        <f>$L$14*C40</f>
        <v>128358.4301</v>
      </c>
      <c r="E40" s="242">
        <f>'Anexo capacidad operativa'!E35</f>
        <v>1</v>
      </c>
      <c r="F40" s="63">
        <f>$L$14*E40</f>
        <v>128358.4301</v>
      </c>
      <c r="G40" s="242">
        <f>'Anexo capacidad operativa'!G35</f>
        <v>1</v>
      </c>
      <c r="H40" s="63">
        <f>$L$14*G40</f>
        <v>128358.4301</v>
      </c>
      <c r="I40" s="242">
        <f>'Anexo capacidad operativa'!I35</f>
        <v>1</v>
      </c>
      <c r="J40" s="63">
        <f>$L$14*I40</f>
        <v>128358.4301</v>
      </c>
      <c r="K40" s="369">
        <f>'Anexo capacidad operativa'!K35</f>
        <v>2</v>
      </c>
      <c r="L40" s="63">
        <f>$L$14*K40</f>
        <v>256716.8602</v>
      </c>
      <c r="M40" s="369">
        <f>'Anexo capacidad operativa'!M35</f>
        <v>2</v>
      </c>
      <c r="N40" s="63">
        <f>$L$14*M40</f>
        <v>256716.8602</v>
      </c>
      <c r="O40" s="242">
        <f>'Anexo capacidad operativa'!O35</f>
        <v>2</v>
      </c>
      <c r="P40" s="63">
        <f>$L$14*O40</f>
        <v>256716.8602</v>
      </c>
      <c r="Q40" s="242">
        <f>'Anexo capacidad operativa'!Q35</f>
        <v>2</v>
      </c>
      <c r="R40" s="63">
        <f>$L$14*Q40</f>
        <v>256716.8602</v>
      </c>
      <c r="S40" s="242">
        <f>'Anexo capacidad operativa'!S35</f>
        <v>2</v>
      </c>
      <c r="T40" s="63">
        <f>$L$14*S40</f>
        <v>256716.8602</v>
      </c>
      <c r="U40" s="242">
        <f>'Anexo capacidad operativa'!U35</f>
        <v>2</v>
      </c>
      <c r="V40" s="63">
        <f>$L$14*U40</f>
        <v>256716.8602</v>
      </c>
      <c r="W40" s="242">
        <f>'Anexo capacidad operativa'!W35</f>
        <v>2</v>
      </c>
      <c r="X40" s="63">
        <f>$L$14*W40</f>
        <v>256716.8602</v>
      </c>
      <c r="Y40" s="242">
        <f>'Anexo capacidad operativa'!Y35</f>
        <v>2</v>
      </c>
      <c r="Z40" s="63">
        <f>$L$14*Y40</f>
        <v>256716.8602</v>
      </c>
      <c r="AA40" s="247">
        <f t="shared" si="46"/>
        <v>2567168.602</v>
      </c>
      <c r="AB40" s="146"/>
      <c r="AC40" s="146"/>
      <c r="AD40" s="146"/>
      <c r="AE40" s="146"/>
    </row>
    <row r="41" spans="1:31" ht="15.75" customHeight="1" x14ac:dyDescent="0.25">
      <c r="A41" s="1"/>
      <c r="B41" s="28" t="str">
        <f>'Anexo capacidad operativa'!B36</f>
        <v>Empleado administrativo de ventas</v>
      </c>
      <c r="C41" s="242">
        <f>'Anexo capacidad operativa'!C36</f>
        <v>2</v>
      </c>
      <c r="D41" s="63">
        <f>C41*$L$18</f>
        <v>198783.03999999998</v>
      </c>
      <c r="E41" s="241">
        <f>'Anexo capacidad operativa'!E36</f>
        <v>2</v>
      </c>
      <c r="F41" s="63">
        <f>E41*$L$18</f>
        <v>198783.03999999998</v>
      </c>
      <c r="G41" s="241">
        <f>'Anexo capacidad operativa'!G36</f>
        <v>2</v>
      </c>
      <c r="H41" s="63">
        <f t="shared" ref="H41" si="57">G41*$L$18</f>
        <v>198783.03999999998</v>
      </c>
      <c r="I41" s="241">
        <f>'Anexo capacidad operativa'!I36</f>
        <v>2</v>
      </c>
      <c r="J41" s="63">
        <f t="shared" ref="J41" si="58">I41*$L$18</f>
        <v>198783.03999999998</v>
      </c>
      <c r="K41" s="368">
        <f>'Anexo capacidad operativa'!K36</f>
        <v>3</v>
      </c>
      <c r="L41" s="63">
        <f t="shared" ref="L41" si="59">K41*$L$18</f>
        <v>298174.55999999994</v>
      </c>
      <c r="M41" s="368">
        <f>'Anexo capacidad operativa'!M36</f>
        <v>3</v>
      </c>
      <c r="N41" s="63">
        <f t="shared" ref="N41" si="60">M41*$L$18</f>
        <v>298174.55999999994</v>
      </c>
      <c r="O41" s="241">
        <f>'Anexo capacidad operativa'!O36</f>
        <v>3</v>
      </c>
      <c r="P41" s="63">
        <f t="shared" ref="P41" si="61">O41*$L$18</f>
        <v>298174.55999999994</v>
      </c>
      <c r="Q41" s="241">
        <f>'Anexo capacidad operativa'!Q36</f>
        <v>3</v>
      </c>
      <c r="R41" s="63">
        <f t="shared" ref="R41" si="62">Q41*$L$18</f>
        <v>298174.55999999994</v>
      </c>
      <c r="S41" s="241">
        <f>'Anexo capacidad operativa'!S36</f>
        <v>3</v>
      </c>
      <c r="T41" s="63">
        <f t="shared" ref="T41" si="63">S41*$L$18</f>
        <v>298174.55999999994</v>
      </c>
      <c r="U41" s="241">
        <f>'Anexo capacidad operativa'!U36</f>
        <v>3</v>
      </c>
      <c r="V41" s="63">
        <f t="shared" ref="V41" si="64">U41*$L$18</f>
        <v>298174.55999999994</v>
      </c>
      <c r="W41" s="241">
        <f>'Anexo capacidad operativa'!W36</f>
        <v>3</v>
      </c>
      <c r="X41" s="63">
        <f t="shared" ref="X41" si="65">W41*$L$18</f>
        <v>298174.55999999994</v>
      </c>
      <c r="Y41" s="241">
        <f>'Anexo capacidad operativa'!Y36</f>
        <v>3</v>
      </c>
      <c r="Z41" s="63">
        <f t="shared" ref="Z41" si="66">Y41*$L$18</f>
        <v>298174.55999999994</v>
      </c>
      <c r="AA41" s="247">
        <f t="shared" si="46"/>
        <v>3180528.64</v>
      </c>
      <c r="AB41" s="146"/>
      <c r="AC41" s="146"/>
      <c r="AD41" s="146"/>
      <c r="AE41" s="146"/>
    </row>
    <row r="42" spans="1:31" ht="15.75" customHeight="1" thickBot="1" x14ac:dyDescent="0.3">
      <c r="A42" s="93"/>
      <c r="B42" s="251" t="s">
        <v>117</v>
      </c>
      <c r="C42" s="252">
        <f t="shared" ref="C42:Z42" si="67">SUM(C37:C41)</f>
        <v>7</v>
      </c>
      <c r="D42" s="250">
        <f t="shared" si="67"/>
        <v>1240742.1347000001</v>
      </c>
      <c r="E42" s="249">
        <f t="shared" si="67"/>
        <v>7</v>
      </c>
      <c r="F42" s="250">
        <f t="shared" si="67"/>
        <v>1240742.1347000001</v>
      </c>
      <c r="G42" s="249">
        <f t="shared" si="67"/>
        <v>7</v>
      </c>
      <c r="H42" s="250">
        <f t="shared" si="67"/>
        <v>1240742.1347000001</v>
      </c>
      <c r="I42" s="249">
        <f t="shared" si="67"/>
        <v>7</v>
      </c>
      <c r="J42" s="250">
        <f t="shared" si="67"/>
        <v>1240742.1347000001</v>
      </c>
      <c r="K42" s="249">
        <f t="shared" si="67"/>
        <v>10</v>
      </c>
      <c r="L42" s="250">
        <f t="shared" si="67"/>
        <v>1715462.7996</v>
      </c>
      <c r="M42" s="249">
        <f t="shared" si="67"/>
        <v>10</v>
      </c>
      <c r="N42" s="250">
        <f t="shared" si="67"/>
        <v>1715462.7996</v>
      </c>
      <c r="O42" s="249">
        <f t="shared" si="67"/>
        <v>10</v>
      </c>
      <c r="P42" s="250">
        <f t="shared" si="67"/>
        <v>1715462.7996</v>
      </c>
      <c r="Q42" s="249">
        <f t="shared" si="67"/>
        <v>10</v>
      </c>
      <c r="R42" s="250">
        <f t="shared" si="67"/>
        <v>1715462.7996</v>
      </c>
      <c r="S42" s="249">
        <f t="shared" si="67"/>
        <v>10</v>
      </c>
      <c r="T42" s="250">
        <f t="shared" si="67"/>
        <v>1715462.7996</v>
      </c>
      <c r="U42" s="249">
        <f t="shared" si="67"/>
        <v>10</v>
      </c>
      <c r="V42" s="250">
        <f t="shared" si="67"/>
        <v>1715462.7996</v>
      </c>
      <c r="W42" s="249">
        <f t="shared" si="67"/>
        <v>10</v>
      </c>
      <c r="X42" s="250">
        <f t="shared" si="67"/>
        <v>1715462.7996</v>
      </c>
      <c r="Y42" s="249">
        <f t="shared" si="67"/>
        <v>10</v>
      </c>
      <c r="Z42" s="250">
        <f t="shared" si="67"/>
        <v>1715462.7996</v>
      </c>
      <c r="AA42" s="64">
        <f>Z42+X42+V42+T42+R42+P42+N42+L42+J42+H42+F42+D42</f>
        <v>18686670.935599998</v>
      </c>
      <c r="AB42" s="146"/>
      <c r="AC42" s="146"/>
      <c r="AD42" s="146"/>
      <c r="AE42" s="146"/>
    </row>
    <row r="43" spans="1:31" ht="15.75" customHeight="1" x14ac:dyDescent="0.25">
      <c r="A43" s="93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</row>
    <row r="44" spans="1:31" ht="15.75" customHeight="1" x14ac:dyDescent="0.25">
      <c r="A44" s="93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</row>
    <row r="45" spans="1:31" ht="15.75" customHeight="1" thickBot="1" x14ac:dyDescent="0.3">
      <c r="A45" s="1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  <c r="AA45" s="146"/>
      <c r="AB45" s="146"/>
      <c r="AC45" s="146"/>
      <c r="AD45" s="146"/>
      <c r="AE45" s="146"/>
    </row>
    <row r="46" spans="1:31" ht="24" customHeight="1" thickBot="1" x14ac:dyDescent="0.45">
      <c r="A46" s="1"/>
      <c r="B46" s="540" t="s">
        <v>227</v>
      </c>
      <c r="C46" s="541"/>
      <c r="D46" s="541"/>
      <c r="E46" s="541"/>
      <c r="F46" s="541"/>
      <c r="G46" s="541"/>
      <c r="H46" s="541"/>
      <c r="I46" s="541"/>
      <c r="J46" s="541"/>
      <c r="K46" s="541"/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2"/>
      <c r="AB46" s="146"/>
      <c r="AC46" s="146"/>
      <c r="AD46" s="146"/>
      <c r="AE46" s="146"/>
    </row>
    <row r="47" spans="1:31" ht="15.75" customHeight="1" x14ac:dyDescent="0.2">
      <c r="B47" s="558" t="s">
        <v>104</v>
      </c>
      <c r="C47" s="554" t="s">
        <v>39</v>
      </c>
      <c r="D47" s="555"/>
      <c r="E47" s="554" t="s">
        <v>40</v>
      </c>
      <c r="F47" s="555"/>
      <c r="G47" s="554" t="s">
        <v>41</v>
      </c>
      <c r="H47" s="555"/>
      <c r="I47" s="554" t="s">
        <v>42</v>
      </c>
      <c r="J47" s="555"/>
      <c r="K47" s="554" t="s">
        <v>43</v>
      </c>
      <c r="L47" s="555"/>
      <c r="M47" s="554" t="s">
        <v>115</v>
      </c>
      <c r="N47" s="555"/>
      <c r="O47" s="554" t="s">
        <v>45</v>
      </c>
      <c r="P47" s="555"/>
      <c r="Q47" s="554" t="s">
        <v>46</v>
      </c>
      <c r="R47" s="555"/>
      <c r="S47" s="554" t="s">
        <v>47</v>
      </c>
      <c r="T47" s="555"/>
      <c r="U47" s="554" t="s">
        <v>48</v>
      </c>
      <c r="V47" s="555"/>
      <c r="W47" s="554" t="s">
        <v>49</v>
      </c>
      <c r="X47" s="555"/>
      <c r="Y47" s="554" t="s">
        <v>116</v>
      </c>
      <c r="Z47" s="555"/>
      <c r="AA47" s="556" t="s">
        <v>94</v>
      </c>
      <c r="AB47" s="146"/>
      <c r="AC47" s="146"/>
      <c r="AD47" s="146"/>
      <c r="AE47" s="146"/>
    </row>
    <row r="48" spans="1:31" ht="15.75" customHeight="1" thickBot="1" x14ac:dyDescent="0.25">
      <c r="A48" s="146"/>
      <c r="B48" s="559"/>
      <c r="C48" s="246" t="s">
        <v>52</v>
      </c>
      <c r="D48" s="246" t="s">
        <v>100</v>
      </c>
      <c r="E48" s="246" t="s">
        <v>52</v>
      </c>
      <c r="F48" s="246" t="s">
        <v>100</v>
      </c>
      <c r="G48" s="246" t="s">
        <v>52</v>
      </c>
      <c r="H48" s="246" t="s">
        <v>100</v>
      </c>
      <c r="I48" s="246" t="s">
        <v>52</v>
      </c>
      <c r="J48" s="246" t="s">
        <v>100</v>
      </c>
      <c r="K48" s="246" t="s">
        <v>52</v>
      </c>
      <c r="L48" s="246" t="s">
        <v>100</v>
      </c>
      <c r="M48" s="246" t="s">
        <v>52</v>
      </c>
      <c r="N48" s="246" t="s">
        <v>100</v>
      </c>
      <c r="O48" s="246" t="s">
        <v>52</v>
      </c>
      <c r="P48" s="246" t="s">
        <v>100</v>
      </c>
      <c r="Q48" s="246" t="s">
        <v>52</v>
      </c>
      <c r="R48" s="246" t="s">
        <v>100</v>
      </c>
      <c r="S48" s="246" t="s">
        <v>52</v>
      </c>
      <c r="T48" s="246" t="s">
        <v>100</v>
      </c>
      <c r="U48" s="246" t="s">
        <v>52</v>
      </c>
      <c r="V48" s="246" t="s">
        <v>100</v>
      </c>
      <c r="W48" s="246" t="s">
        <v>52</v>
      </c>
      <c r="X48" s="246" t="s">
        <v>100</v>
      </c>
      <c r="Y48" s="246" t="s">
        <v>52</v>
      </c>
      <c r="Z48" s="246" t="s">
        <v>100</v>
      </c>
      <c r="AA48" s="557"/>
      <c r="AB48" s="146"/>
      <c r="AC48" s="146"/>
      <c r="AD48" s="146"/>
      <c r="AE48" s="146"/>
    </row>
    <row r="49" spans="1:31" ht="15.75" customHeight="1" x14ac:dyDescent="0.25">
      <c r="A49" s="146"/>
      <c r="B49" s="26" t="str">
        <f>'Anexo capacidad operativa'!B42</f>
        <v>Desarrollador</v>
      </c>
      <c r="C49" s="242">
        <f>'Anexo capacidad operativa'!C42</f>
        <v>3</v>
      </c>
      <c r="D49" s="63">
        <f>C49*$L$16</f>
        <v>740912.14440000011</v>
      </c>
      <c r="E49" s="241">
        <f>'Anexo capacidad operativa'!E42</f>
        <v>3</v>
      </c>
      <c r="F49" s="63">
        <f t="shared" ref="F49" si="68">E49*$L$16</f>
        <v>740912.14440000011</v>
      </c>
      <c r="G49" s="241">
        <f>'Anexo capacidad operativa'!G42</f>
        <v>3</v>
      </c>
      <c r="H49" s="63">
        <f t="shared" ref="H49" si="69">G49*$L$16</f>
        <v>740912.14440000011</v>
      </c>
      <c r="I49" s="241">
        <f>'Anexo capacidad operativa'!I42</f>
        <v>3</v>
      </c>
      <c r="J49" s="63">
        <f t="shared" ref="J49" si="70">I49*$L$16</f>
        <v>740912.14440000011</v>
      </c>
      <c r="K49" s="241">
        <f>'Anexo capacidad operativa'!K42</f>
        <v>3</v>
      </c>
      <c r="L49" s="63">
        <f t="shared" ref="L49" si="71">K49*$L$16</f>
        <v>740912.14440000011</v>
      </c>
      <c r="M49" s="241">
        <f>'Anexo capacidad operativa'!M42</f>
        <v>3</v>
      </c>
      <c r="N49" s="63">
        <f t="shared" ref="N49" si="72">M49*$L$16</f>
        <v>740912.14440000011</v>
      </c>
      <c r="O49" s="241">
        <f>'Anexo capacidad operativa'!O42</f>
        <v>3</v>
      </c>
      <c r="P49" s="63">
        <f t="shared" ref="P49" si="73">O49*$L$16</f>
        <v>740912.14440000011</v>
      </c>
      <c r="Q49" s="241">
        <f>'Anexo capacidad operativa'!Q42</f>
        <v>3</v>
      </c>
      <c r="R49" s="63">
        <f t="shared" ref="R49" si="74">Q49*$L$16</f>
        <v>740912.14440000011</v>
      </c>
      <c r="S49" s="241">
        <f>'Anexo capacidad operativa'!S42</f>
        <v>3</v>
      </c>
      <c r="T49" s="63">
        <f t="shared" ref="T49" si="75">S49*$L$16</f>
        <v>740912.14440000011</v>
      </c>
      <c r="U49" s="241">
        <f>'Anexo capacidad operativa'!U42</f>
        <v>3</v>
      </c>
      <c r="V49" s="63">
        <f t="shared" ref="V49" si="76">U49*$L$16</f>
        <v>740912.14440000011</v>
      </c>
      <c r="W49" s="241">
        <f>'Anexo capacidad operativa'!W42</f>
        <v>3</v>
      </c>
      <c r="X49" s="63">
        <f t="shared" ref="X49" si="77">W49*$L$16</f>
        <v>740912.14440000011</v>
      </c>
      <c r="Y49" s="241">
        <f>'Anexo capacidad operativa'!Y42</f>
        <v>3</v>
      </c>
      <c r="Z49" s="63">
        <f t="shared" ref="Z49" si="78">Y49*$L$16</f>
        <v>740912.14440000011</v>
      </c>
      <c r="AA49" s="247">
        <f t="shared" ref="AA49:AA53" si="79">D49+F49+H49+J49+L49+N49+P49+R49+T49+V49+X49+Z49</f>
        <v>8890945.7328000031</v>
      </c>
      <c r="AB49" s="146"/>
      <c r="AC49" s="146"/>
      <c r="AD49" s="146"/>
      <c r="AE49" s="146"/>
    </row>
    <row r="50" spans="1:31" ht="15.75" customHeight="1" x14ac:dyDescent="0.25">
      <c r="A50" s="146"/>
      <c r="B50" s="28" t="str">
        <f>'Anexo capacidad operativa'!B43</f>
        <v>Gerente de servicios</v>
      </c>
      <c r="C50" s="242">
        <f>'Anexo capacidad operativa'!C43</f>
        <v>1</v>
      </c>
      <c r="D50" s="63">
        <f>C50*$L$15</f>
        <v>306855.41499999998</v>
      </c>
      <c r="E50" s="241">
        <f>'Anexo capacidad operativa'!E43</f>
        <v>1</v>
      </c>
      <c r="F50" s="63">
        <f>E50*$L$15</f>
        <v>306855.41499999998</v>
      </c>
      <c r="G50" s="241">
        <f>'Anexo capacidad operativa'!G43</f>
        <v>1</v>
      </c>
      <c r="H50" s="63">
        <f>G50*$L$15</f>
        <v>306855.41499999998</v>
      </c>
      <c r="I50" s="241">
        <f>'Anexo capacidad operativa'!I43</f>
        <v>1</v>
      </c>
      <c r="J50" s="63">
        <f>I50*$L$15</f>
        <v>306855.41499999998</v>
      </c>
      <c r="K50" s="241">
        <f>'Anexo capacidad operativa'!K43</f>
        <v>1</v>
      </c>
      <c r="L50" s="63">
        <f>K50*$L$15</f>
        <v>306855.41499999998</v>
      </c>
      <c r="M50" s="241">
        <f>'Anexo capacidad operativa'!M43</f>
        <v>1</v>
      </c>
      <c r="N50" s="63">
        <f>M50*$L$15</f>
        <v>306855.41499999998</v>
      </c>
      <c r="O50" s="241">
        <f>'Anexo capacidad operativa'!O43</f>
        <v>1</v>
      </c>
      <c r="P50" s="63">
        <f>O50*$L$15</f>
        <v>306855.41499999998</v>
      </c>
      <c r="Q50" s="241">
        <f>'Anexo capacidad operativa'!Q43</f>
        <v>1</v>
      </c>
      <c r="R50" s="63">
        <f>Q50*$L$15</f>
        <v>306855.41499999998</v>
      </c>
      <c r="S50" s="241">
        <f>'Anexo capacidad operativa'!S43</f>
        <v>1</v>
      </c>
      <c r="T50" s="63">
        <f>S50*$L$15</f>
        <v>306855.41499999998</v>
      </c>
      <c r="U50" s="241">
        <f>'Anexo capacidad operativa'!U43</f>
        <v>1</v>
      </c>
      <c r="V50" s="63">
        <f>U50*$L$15</f>
        <v>306855.41499999998</v>
      </c>
      <c r="W50" s="241">
        <f>'Anexo capacidad operativa'!W43</f>
        <v>1</v>
      </c>
      <c r="X50" s="63">
        <f>W50*$L$15</f>
        <v>306855.41499999998</v>
      </c>
      <c r="Y50" s="241">
        <f>'Anexo capacidad operativa'!Y43</f>
        <v>1</v>
      </c>
      <c r="Z50" s="63">
        <f>Y50*$L$15</f>
        <v>306855.41499999998</v>
      </c>
      <c r="AA50" s="247">
        <f t="shared" si="79"/>
        <v>3682264.98</v>
      </c>
      <c r="AB50" s="146"/>
      <c r="AC50" s="146"/>
      <c r="AD50" s="146"/>
      <c r="AE50" s="146"/>
    </row>
    <row r="51" spans="1:31" x14ac:dyDescent="0.25">
      <c r="A51" s="146"/>
      <c r="B51" s="28" t="str">
        <f>'Anexo capacidad operativa'!B44</f>
        <v>Empleado de tecnologia</v>
      </c>
      <c r="C51" s="242">
        <f>'Anexo capacidad operativa'!C44</f>
        <v>1</v>
      </c>
      <c r="D51" s="63">
        <f>C51*$L$17</f>
        <v>112803.82</v>
      </c>
      <c r="E51" s="241">
        <f>'Anexo capacidad operativa'!E44</f>
        <v>1</v>
      </c>
      <c r="F51" s="63">
        <f t="shared" ref="F51" si="80">E51*$L$17</f>
        <v>112803.82</v>
      </c>
      <c r="G51" s="241">
        <f>'Anexo capacidad operativa'!G44</f>
        <v>1</v>
      </c>
      <c r="H51" s="63">
        <f t="shared" ref="H51" si="81">G51*$L$17</f>
        <v>112803.82</v>
      </c>
      <c r="I51" s="241">
        <f>'Anexo capacidad operativa'!I44</f>
        <v>1</v>
      </c>
      <c r="J51" s="63">
        <f t="shared" ref="J51" si="82">I51*$L$17</f>
        <v>112803.82</v>
      </c>
      <c r="K51" s="241">
        <f>'Anexo capacidad operativa'!K44</f>
        <v>1</v>
      </c>
      <c r="L51" s="63">
        <f t="shared" ref="L51" si="83">K51*$L$17</f>
        <v>112803.82</v>
      </c>
      <c r="M51" s="241">
        <f>'Anexo capacidad operativa'!M44</f>
        <v>1</v>
      </c>
      <c r="N51" s="63">
        <f t="shared" ref="N51" si="84">M51*$L$17</f>
        <v>112803.82</v>
      </c>
      <c r="O51" s="241">
        <f>'Anexo capacidad operativa'!O44</f>
        <v>1</v>
      </c>
      <c r="P51" s="63">
        <f t="shared" ref="P51" si="85">O51*$L$17</f>
        <v>112803.82</v>
      </c>
      <c r="Q51" s="241">
        <f>'Anexo capacidad operativa'!Q44</f>
        <v>1</v>
      </c>
      <c r="R51" s="63">
        <f t="shared" ref="R51" si="86">Q51*$L$17</f>
        <v>112803.82</v>
      </c>
      <c r="S51" s="241">
        <f>'Anexo capacidad operativa'!S44</f>
        <v>1</v>
      </c>
      <c r="T51" s="63">
        <f t="shared" ref="T51" si="87">S51*$L$17</f>
        <v>112803.82</v>
      </c>
      <c r="U51" s="241">
        <f>'Anexo capacidad operativa'!U44</f>
        <v>1</v>
      </c>
      <c r="V51" s="63">
        <f t="shared" ref="V51" si="88">U51*$L$17</f>
        <v>112803.82</v>
      </c>
      <c r="W51" s="241">
        <f>'Anexo capacidad operativa'!W44</f>
        <v>1</v>
      </c>
      <c r="X51" s="63">
        <f t="shared" ref="X51" si="89">W51*$L$17</f>
        <v>112803.82</v>
      </c>
      <c r="Y51" s="241">
        <f>'Anexo capacidad operativa'!Y44</f>
        <v>1</v>
      </c>
      <c r="Z51" s="63">
        <f t="shared" ref="Z51" si="90">Y51*$L$17</f>
        <v>112803.82</v>
      </c>
      <c r="AA51" s="247">
        <f t="shared" si="79"/>
        <v>1353645.8400000005</v>
      </c>
      <c r="AB51" s="146"/>
      <c r="AC51" s="146"/>
      <c r="AD51" s="146"/>
      <c r="AE51" s="146"/>
    </row>
    <row r="52" spans="1:31" ht="15.75" customHeight="1" x14ac:dyDescent="0.25">
      <c r="A52" s="146"/>
      <c r="B52" s="28" t="str">
        <f>'Anexo capacidad operativa'!B45</f>
        <v>Tester</v>
      </c>
      <c r="C52" s="242">
        <f>'Anexo capacidad operativa'!C45</f>
        <v>2</v>
      </c>
      <c r="D52" s="63">
        <f>$L$14*C52</f>
        <v>256716.8602</v>
      </c>
      <c r="E52" s="242">
        <f>'Anexo capacidad operativa'!E45</f>
        <v>2</v>
      </c>
      <c r="F52" s="63">
        <f>$L$14*E52</f>
        <v>256716.8602</v>
      </c>
      <c r="G52" s="242">
        <f>'Anexo capacidad operativa'!G45</f>
        <v>2</v>
      </c>
      <c r="H52" s="63">
        <f>$L$14*G52</f>
        <v>256716.8602</v>
      </c>
      <c r="I52" s="242">
        <f>'Anexo capacidad operativa'!I45</f>
        <v>2</v>
      </c>
      <c r="J52" s="63">
        <f>$L$14*I52</f>
        <v>256716.8602</v>
      </c>
      <c r="K52" s="369">
        <f>'Anexo capacidad operativa'!K45</f>
        <v>3</v>
      </c>
      <c r="L52" s="63">
        <f>$L$14*K52</f>
        <v>385075.29029999999</v>
      </c>
      <c r="M52" s="369">
        <f>'Anexo capacidad operativa'!M45</f>
        <v>3</v>
      </c>
      <c r="N52" s="63">
        <f>$L$14*M52</f>
        <v>385075.29029999999</v>
      </c>
      <c r="O52" s="242">
        <f>'Anexo capacidad operativa'!O45</f>
        <v>3</v>
      </c>
      <c r="P52" s="63">
        <f>$L$14*O52</f>
        <v>385075.29029999999</v>
      </c>
      <c r="Q52" s="242">
        <f>'Anexo capacidad operativa'!Q45</f>
        <v>3</v>
      </c>
      <c r="R52" s="63">
        <f>$L$14*Q52</f>
        <v>385075.29029999999</v>
      </c>
      <c r="S52" s="242">
        <f>'Anexo capacidad operativa'!S45</f>
        <v>3</v>
      </c>
      <c r="T52" s="63">
        <f>$L$14*S52</f>
        <v>385075.29029999999</v>
      </c>
      <c r="U52" s="242">
        <f>'Anexo capacidad operativa'!U45</f>
        <v>3</v>
      </c>
      <c r="V52" s="63">
        <f>$L$14*U52</f>
        <v>385075.29029999999</v>
      </c>
      <c r="W52" s="242">
        <f>'Anexo capacidad operativa'!W45</f>
        <v>3</v>
      </c>
      <c r="X52" s="63">
        <f>$L$14*W52</f>
        <v>385075.29029999999</v>
      </c>
      <c r="Y52" s="242">
        <f>'Anexo capacidad operativa'!Y45</f>
        <v>3</v>
      </c>
      <c r="Z52" s="63">
        <f>$L$14*Y52</f>
        <v>385075.29029999999</v>
      </c>
      <c r="AA52" s="247">
        <f t="shared" si="79"/>
        <v>4107469.7631999999</v>
      </c>
      <c r="AB52" s="146"/>
      <c r="AC52" s="146"/>
      <c r="AD52" s="146"/>
      <c r="AE52" s="146"/>
    </row>
    <row r="53" spans="1:31" ht="15.75" customHeight="1" x14ac:dyDescent="0.25">
      <c r="A53" s="146"/>
      <c r="B53" s="28" t="str">
        <f>'Anexo capacidad operativa'!B46</f>
        <v>Empleado administrativo de ventas</v>
      </c>
      <c r="C53" s="242">
        <f>'Anexo capacidad operativa'!C46</f>
        <v>3</v>
      </c>
      <c r="D53" s="63">
        <f>C53*$L$18</f>
        <v>298174.55999999994</v>
      </c>
      <c r="E53" s="241">
        <f>'Anexo capacidad operativa'!E46</f>
        <v>3</v>
      </c>
      <c r="F53" s="63">
        <f t="shared" ref="F53" si="91">E53*$L$18</f>
        <v>298174.55999999994</v>
      </c>
      <c r="G53" s="241">
        <f>'Anexo capacidad operativa'!G46</f>
        <v>3</v>
      </c>
      <c r="H53" s="63">
        <f t="shared" ref="H53" si="92">G53*$L$18</f>
        <v>298174.55999999994</v>
      </c>
      <c r="I53" s="241">
        <f>'Anexo capacidad operativa'!I46</f>
        <v>3</v>
      </c>
      <c r="J53" s="63">
        <f t="shared" ref="J53" si="93">I53*$L$18</f>
        <v>298174.55999999994</v>
      </c>
      <c r="K53" s="241">
        <f>'Anexo capacidad operativa'!K46</f>
        <v>3</v>
      </c>
      <c r="L53" s="63">
        <f t="shared" ref="L53" si="94">K53*$L$18</f>
        <v>298174.55999999994</v>
      </c>
      <c r="M53" s="241">
        <f>'Anexo capacidad operativa'!M46</f>
        <v>3</v>
      </c>
      <c r="N53" s="63">
        <f t="shared" ref="N53" si="95">M53*$L$18</f>
        <v>298174.55999999994</v>
      </c>
      <c r="O53" s="241">
        <f>'Anexo capacidad operativa'!O46</f>
        <v>3</v>
      </c>
      <c r="P53" s="63">
        <f t="shared" ref="P53" si="96">O53*$L$18</f>
        <v>298174.55999999994</v>
      </c>
      <c r="Q53" s="241">
        <f>'Anexo capacidad operativa'!Q46</f>
        <v>3</v>
      </c>
      <c r="R53" s="63">
        <f t="shared" ref="R53" si="97">Q53*$L$18</f>
        <v>298174.55999999994</v>
      </c>
      <c r="S53" s="241">
        <f>'Anexo capacidad operativa'!S46</f>
        <v>3</v>
      </c>
      <c r="T53" s="63">
        <f t="shared" ref="T53" si="98">S53*$L$18</f>
        <v>298174.55999999994</v>
      </c>
      <c r="U53" s="241">
        <f>'Anexo capacidad operativa'!U46</f>
        <v>3</v>
      </c>
      <c r="V53" s="63">
        <f t="shared" ref="V53" si="99">U53*$L$18</f>
        <v>298174.55999999994</v>
      </c>
      <c r="W53" s="241">
        <f>'Anexo capacidad operativa'!W46</f>
        <v>3</v>
      </c>
      <c r="X53" s="63">
        <f t="shared" ref="X53" si="100">W53*$L$18</f>
        <v>298174.55999999994</v>
      </c>
      <c r="Y53" s="241">
        <f>'Anexo capacidad operativa'!Y46</f>
        <v>3</v>
      </c>
      <c r="Z53" s="63">
        <f t="shared" ref="Z53" si="101">Y53*$L$18</f>
        <v>298174.55999999994</v>
      </c>
      <c r="AA53" s="247">
        <f t="shared" si="79"/>
        <v>3578094.72</v>
      </c>
      <c r="AB53" s="146"/>
      <c r="AC53" s="146"/>
      <c r="AD53" s="146"/>
      <c r="AE53" s="146"/>
    </row>
    <row r="54" spans="1:31" ht="15.75" customHeight="1" x14ac:dyDescent="0.25">
      <c r="A54" s="146"/>
      <c r="B54" s="253" t="s">
        <v>117</v>
      </c>
      <c r="C54" s="254">
        <f t="shared" ref="C54:Z54" si="102">SUM(C49:C53)</f>
        <v>10</v>
      </c>
      <c r="D54" s="255">
        <f t="shared" si="102"/>
        <v>1715462.7996</v>
      </c>
      <c r="E54" s="254">
        <f t="shared" si="102"/>
        <v>10</v>
      </c>
      <c r="F54" s="255">
        <f t="shared" si="102"/>
        <v>1715462.7996</v>
      </c>
      <c r="G54" s="254">
        <f t="shared" si="102"/>
        <v>10</v>
      </c>
      <c r="H54" s="255">
        <f t="shared" si="102"/>
        <v>1715462.7996</v>
      </c>
      <c r="I54" s="254">
        <f t="shared" si="102"/>
        <v>10</v>
      </c>
      <c r="J54" s="255">
        <f t="shared" si="102"/>
        <v>1715462.7996</v>
      </c>
      <c r="K54" s="254">
        <f t="shared" si="102"/>
        <v>11</v>
      </c>
      <c r="L54" s="255">
        <f t="shared" si="102"/>
        <v>1843821.2297</v>
      </c>
      <c r="M54" s="254">
        <f t="shared" si="102"/>
        <v>11</v>
      </c>
      <c r="N54" s="255">
        <f t="shared" si="102"/>
        <v>1843821.2297</v>
      </c>
      <c r="O54" s="254">
        <f t="shared" si="102"/>
        <v>11</v>
      </c>
      <c r="P54" s="255">
        <f t="shared" si="102"/>
        <v>1843821.2297</v>
      </c>
      <c r="Q54" s="254">
        <f t="shared" si="102"/>
        <v>11</v>
      </c>
      <c r="R54" s="255">
        <f t="shared" si="102"/>
        <v>1843821.2297</v>
      </c>
      <c r="S54" s="254">
        <f t="shared" si="102"/>
        <v>11</v>
      </c>
      <c r="T54" s="255">
        <f t="shared" si="102"/>
        <v>1843821.2297</v>
      </c>
      <c r="U54" s="254">
        <f t="shared" si="102"/>
        <v>11</v>
      </c>
      <c r="V54" s="255">
        <f t="shared" si="102"/>
        <v>1843821.2297</v>
      </c>
      <c r="W54" s="254">
        <f t="shared" si="102"/>
        <v>11</v>
      </c>
      <c r="X54" s="255">
        <f t="shared" si="102"/>
        <v>1843821.2297</v>
      </c>
      <c r="Y54" s="254">
        <f t="shared" si="102"/>
        <v>11</v>
      </c>
      <c r="Z54" s="255">
        <f t="shared" si="102"/>
        <v>1843821.2297</v>
      </c>
      <c r="AA54" s="101">
        <f>Z54+X54+V54+T54+R54+P54+N54+L54+J54+H54+F54+D54</f>
        <v>21612421.035999998</v>
      </c>
      <c r="AB54" s="146"/>
      <c r="AC54" s="146"/>
      <c r="AD54" s="146"/>
      <c r="AE54" s="146"/>
    </row>
    <row r="55" spans="1:31" ht="15.75" customHeight="1" x14ac:dyDescent="0.25">
      <c r="A55" s="146"/>
      <c r="B55" s="146"/>
      <c r="C55" s="146"/>
      <c r="D55" s="1"/>
      <c r="E55" s="1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6"/>
      <c r="AB55" s="146"/>
      <c r="AC55" s="146"/>
      <c r="AD55" s="146"/>
      <c r="AE55" s="146"/>
    </row>
    <row r="56" spans="1:31" ht="15.75" customHeight="1" x14ac:dyDescent="0.25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A56" s="146"/>
      <c r="AB56" s="146"/>
      <c r="AC56" s="146"/>
      <c r="AD56" s="1"/>
      <c r="AE56" s="1"/>
    </row>
    <row r="57" spans="1:31" ht="15.75" customHeight="1" x14ac:dyDescent="0.25">
      <c r="A57" s="146"/>
      <c r="B57" s="1"/>
      <c r="C57" s="1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</row>
    <row r="58" spans="1:31" ht="15.75" customHeight="1" x14ac:dyDescent="0.25">
      <c r="A58" s="146"/>
      <c r="B58" s="1"/>
      <c r="C58" s="1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</row>
    <row r="59" spans="1:31" ht="15.75" customHeight="1" x14ac:dyDescent="0.25">
      <c r="A59" s="146"/>
      <c r="B59" s="93"/>
      <c r="C59" s="93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</row>
    <row r="60" spans="1:31" ht="15.75" customHeight="1" x14ac:dyDescent="0.25">
      <c r="A60" s="146"/>
      <c r="B60" s="93"/>
      <c r="C60" s="93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</row>
    <row r="61" spans="1:31" ht="15.75" customHeight="1" x14ac:dyDescent="0.25">
      <c r="A61" s="146"/>
      <c r="B61" s="1"/>
      <c r="C61" s="1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</row>
    <row r="62" spans="1:31" ht="15.75" customHeight="1" x14ac:dyDescent="0.25">
      <c r="A62" s="146"/>
      <c r="B62" s="1"/>
      <c r="C62" s="1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</row>
    <row r="63" spans="1:31" ht="15.75" customHeight="1" x14ac:dyDescent="0.25">
      <c r="A63" s="146"/>
      <c r="B63" s="1"/>
      <c r="C63" s="1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</row>
    <row r="64" spans="1:31" ht="15.75" customHeight="1" x14ac:dyDescent="0.25">
      <c r="A64" s="146"/>
      <c r="B64" s="1"/>
      <c r="C64" s="1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</row>
    <row r="65" spans="1:31" ht="15.75" customHeight="1" x14ac:dyDescent="0.25">
      <c r="A65" s="146"/>
      <c r="B65" s="1"/>
      <c r="C65" s="1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/>
      <c r="AE65" s="146"/>
    </row>
    <row r="66" spans="1:31" ht="15.75" customHeight="1" x14ac:dyDescent="0.25">
      <c r="A66" s="1"/>
      <c r="B66" s="1"/>
      <c r="C66" s="1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</row>
    <row r="67" spans="1:31" ht="15.75" customHeight="1" x14ac:dyDescent="0.2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</row>
    <row r="68" spans="1:31" ht="15.75" customHeight="1" x14ac:dyDescent="0.2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</row>
    <row r="69" spans="1:31" ht="15.75" customHeight="1" x14ac:dyDescent="0.2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</row>
    <row r="70" spans="1:31" ht="15.75" customHeight="1" x14ac:dyDescent="0.2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</row>
    <row r="71" spans="1:31" ht="15.75" customHeight="1" x14ac:dyDescent="0.2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</row>
    <row r="72" spans="1:31" ht="15.75" customHeight="1" x14ac:dyDescent="0.2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</row>
    <row r="73" spans="1:31" ht="15.75" customHeight="1" x14ac:dyDescent="0.2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46"/>
      <c r="AB73" s="146"/>
      <c r="AC73" s="146"/>
      <c r="AD73" s="146"/>
      <c r="AE73" s="146"/>
    </row>
    <row r="74" spans="1:31" ht="15.75" customHeight="1" x14ac:dyDescent="0.2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46"/>
      <c r="AB74" s="146"/>
      <c r="AC74" s="146"/>
      <c r="AD74" s="146"/>
      <c r="AE74" s="146"/>
    </row>
    <row r="75" spans="1:31" ht="15.75" customHeight="1" x14ac:dyDescent="0.2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</row>
    <row r="76" spans="1:31" ht="15.75" customHeight="1" x14ac:dyDescent="0.2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</row>
    <row r="77" spans="1:31" ht="15.75" customHeight="1" x14ac:dyDescent="0.2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</row>
    <row r="78" spans="1:31" ht="15.75" customHeight="1" x14ac:dyDescent="0.2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</row>
    <row r="79" spans="1:31" ht="15.75" customHeight="1" x14ac:dyDescent="0.2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</row>
    <row r="80" spans="1:31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46"/>
      <c r="V80" s="146"/>
      <c r="W80" s="146"/>
      <c r="X80" s="146"/>
      <c r="Y80" s="146"/>
      <c r="Z80" s="146"/>
      <c r="AA80" s="146"/>
      <c r="AB80" s="146"/>
      <c r="AC80" s="146"/>
      <c r="AD80" s="146"/>
      <c r="AE80" s="146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46"/>
      <c r="V81" s="146"/>
      <c r="W81" s="146"/>
      <c r="X81" s="146"/>
      <c r="Y81" s="146"/>
      <c r="Z81" s="146"/>
      <c r="AA81" s="146"/>
      <c r="AB81" s="146"/>
      <c r="AC81" s="146"/>
      <c r="AD81" s="146"/>
      <c r="AE81" s="146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"/>
      <c r="AD83" s="1"/>
      <c r="AE83" s="146"/>
    </row>
    <row r="84" spans="1:31" ht="15.75" customHeight="1" x14ac:dyDescent="0.25">
      <c r="A84" s="1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146"/>
      <c r="AC84" s="1"/>
      <c r="AD84" s="1"/>
      <c r="AE84" s="146"/>
    </row>
    <row r="85" spans="1:31" ht="15.75" customHeight="1" x14ac:dyDescent="0.25">
      <c r="A85" s="1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"/>
      <c r="AD85" s="1"/>
      <c r="AE85" s="146"/>
    </row>
    <row r="86" spans="1:31" ht="15.75" customHeight="1" x14ac:dyDescent="0.25">
      <c r="A86" s="1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"/>
      <c r="AD86" s="1"/>
      <c r="AE86" s="1"/>
    </row>
    <row r="87" spans="1:31" ht="15.75" customHeight="1" x14ac:dyDescent="0.25">
      <c r="A87" s="1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"/>
      <c r="AD87" s="1"/>
      <c r="AE87" s="1"/>
    </row>
    <row r="88" spans="1:31" ht="15.75" customHeight="1" x14ac:dyDescent="0.25">
      <c r="A88" s="1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"/>
      <c r="AD88" s="1"/>
      <c r="AE88" s="1"/>
    </row>
    <row r="89" spans="1:31" ht="15.75" customHeight="1" x14ac:dyDescent="0.25">
      <c r="A89" s="1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"/>
      <c r="AD89" s="1"/>
      <c r="AE89" s="1"/>
    </row>
    <row r="90" spans="1:31" ht="15.75" customHeight="1" x14ac:dyDescent="0.25">
      <c r="A90" s="1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"/>
      <c r="AD90" s="1"/>
      <c r="AE90" s="1"/>
    </row>
    <row r="91" spans="1:31" ht="15.75" customHeight="1" x14ac:dyDescent="0.25">
      <c r="A91" s="1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"/>
      <c r="AD91" s="1"/>
      <c r="AE91" s="1"/>
    </row>
    <row r="92" spans="1:31" ht="15.75" customHeight="1" x14ac:dyDescent="0.25">
      <c r="A92" s="1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"/>
      <c r="AD92" s="1"/>
      <c r="AE92" s="1"/>
    </row>
    <row r="93" spans="1:31" ht="15.75" customHeight="1" x14ac:dyDescent="0.25">
      <c r="A93" s="1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"/>
      <c r="AD93" s="1"/>
      <c r="AE93" s="1"/>
    </row>
    <row r="94" spans="1:31" ht="15.75" customHeight="1" x14ac:dyDescent="0.25">
      <c r="A94" s="1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"/>
      <c r="AD94" s="1"/>
      <c r="AE94" s="1"/>
    </row>
    <row r="95" spans="1:31" ht="15.75" customHeight="1" x14ac:dyDescent="0.25">
      <c r="A95" s="1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"/>
      <c r="AD95" s="1"/>
      <c r="AE95" s="1"/>
    </row>
    <row r="96" spans="1:31" ht="15.75" customHeight="1" x14ac:dyDescent="0.25">
      <c r="A96" s="1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"/>
      <c r="AD96" s="1"/>
      <c r="AE96" s="1"/>
    </row>
    <row r="97" spans="1:31" ht="15.75" customHeight="1" x14ac:dyDescent="0.25">
      <c r="A97" s="1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93"/>
      <c r="AD97" s="93"/>
      <c r="AE97" s="1"/>
    </row>
    <row r="98" spans="1:31" ht="15.75" customHeight="1" x14ac:dyDescent="0.25">
      <c r="A98" s="1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93"/>
      <c r="AD98" s="93"/>
      <c r="AE98" s="1"/>
    </row>
    <row r="99" spans="1:31" ht="15.75" customHeight="1" x14ac:dyDescent="0.25">
      <c r="A99" s="1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93"/>
      <c r="AD99" s="93"/>
      <c r="AE99" s="1"/>
    </row>
    <row r="100" spans="1:31" ht="15.75" customHeight="1" x14ac:dyDescent="0.25">
      <c r="A100" s="1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93"/>
      <c r="AD100" s="93"/>
      <c r="AE100" s="1"/>
    </row>
    <row r="101" spans="1:31" ht="15.75" customHeight="1" x14ac:dyDescent="0.25">
      <c r="A101" s="1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93"/>
      <c r="AD101" s="93"/>
      <c r="AE101" s="1"/>
    </row>
    <row r="102" spans="1:31" ht="15.75" customHeight="1" x14ac:dyDescent="0.25">
      <c r="A102" s="1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"/>
      <c r="AD102" s="1"/>
      <c r="AE102" s="146"/>
    </row>
    <row r="103" spans="1:31" ht="15.75" customHeight="1" x14ac:dyDescent="0.25">
      <c r="A103" s="1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"/>
      <c r="AD103" s="1"/>
      <c r="AE103" s="146"/>
    </row>
    <row r="104" spans="1:31" ht="15.75" customHeight="1" x14ac:dyDescent="0.25">
      <c r="A104" s="1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"/>
      <c r="Z104" s="1"/>
      <c r="AA104" s="1"/>
      <c r="AB104" s="1"/>
      <c r="AC104" s="146"/>
      <c r="AD104" s="146"/>
      <c r="AE104" s="146"/>
    </row>
    <row r="105" spans="1:31" ht="15.75" customHeight="1" x14ac:dyDescent="0.25">
      <c r="A105" s="1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"/>
      <c r="Z105" s="1"/>
      <c r="AA105" s="1"/>
      <c r="AB105" s="1"/>
      <c r="AC105" s="146"/>
      <c r="AD105" s="146"/>
      <c r="AE105" s="146"/>
    </row>
    <row r="106" spans="1:31" ht="15.75" customHeight="1" x14ac:dyDescent="0.25">
      <c r="A106" s="1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"/>
      <c r="Z106" s="1"/>
      <c r="AA106" s="1"/>
      <c r="AB106" s="1"/>
      <c r="AC106" s="146"/>
      <c r="AD106" s="146"/>
      <c r="AE106" s="146"/>
    </row>
    <row r="107" spans="1:31" ht="15.75" customHeight="1" x14ac:dyDescent="0.25">
      <c r="A107" s="1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"/>
      <c r="Z107" s="1"/>
      <c r="AA107" s="1"/>
      <c r="AB107" s="1"/>
      <c r="AC107" s="146"/>
      <c r="AD107" s="146"/>
      <c r="AE107" s="146"/>
    </row>
    <row r="108" spans="1:31" ht="15.75" customHeight="1" x14ac:dyDescent="0.25">
      <c r="A108" s="1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</row>
    <row r="109" spans="1:31" ht="15.75" customHeight="1" x14ac:dyDescent="0.25">
      <c r="A109" s="1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</row>
    <row r="110" spans="1:31" ht="15.75" customHeight="1" x14ac:dyDescent="0.25">
      <c r="A110" s="1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</row>
    <row r="111" spans="1:31" ht="15.75" customHeight="1" x14ac:dyDescent="0.25">
      <c r="A111" s="1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</row>
    <row r="112" spans="1:31" ht="15.75" customHeight="1" x14ac:dyDescent="0.25">
      <c r="A112" s="1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</row>
    <row r="113" spans="1:31" ht="15.75" customHeight="1" x14ac:dyDescent="0.25">
      <c r="A113" s="1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</row>
    <row r="114" spans="1:31" ht="15.75" customHeight="1" x14ac:dyDescent="0.25">
      <c r="A114" s="1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</row>
    <row r="115" spans="1:31" ht="15.75" customHeight="1" x14ac:dyDescent="0.25">
      <c r="A115" s="1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</row>
    <row r="116" spans="1:31" ht="15.75" customHeight="1" x14ac:dyDescent="0.25">
      <c r="A116" s="1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</row>
    <row r="117" spans="1:31" ht="15.75" customHeight="1" x14ac:dyDescent="0.25">
      <c r="A117" s="1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</row>
    <row r="118" spans="1:31" ht="15.75" customHeight="1" x14ac:dyDescent="0.25">
      <c r="A118" s="1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</row>
    <row r="119" spans="1:31" ht="15.75" customHeight="1" x14ac:dyDescent="0.25">
      <c r="A119" s="1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</row>
    <row r="120" spans="1:31" ht="15.75" customHeight="1" x14ac:dyDescent="0.25">
      <c r="A120" s="1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</row>
    <row r="121" spans="1:31" ht="15.75" customHeight="1" x14ac:dyDescent="0.25">
      <c r="A121" s="1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</row>
    <row r="122" spans="1:31" ht="15.75" customHeight="1" x14ac:dyDescent="0.25">
      <c r="A122" s="1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</row>
    <row r="123" spans="1:31" ht="15.75" customHeight="1" x14ac:dyDescent="0.25">
      <c r="A123" s="1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"/>
      <c r="AD123" s="1"/>
      <c r="AE123" s="146"/>
    </row>
    <row r="124" spans="1:31" ht="15.75" customHeight="1" x14ac:dyDescent="0.25">
      <c r="A124" s="1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"/>
      <c r="AD124" s="1"/>
      <c r="AE124" s="146"/>
    </row>
    <row r="125" spans="1:31" ht="15.75" customHeight="1" x14ac:dyDescent="0.25">
      <c r="A125" s="1"/>
      <c r="B125" s="1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"/>
      <c r="AD125" s="1"/>
      <c r="AE125" s="146"/>
    </row>
    <row r="126" spans="1:31" ht="15.75" customHeight="1" x14ac:dyDescent="0.25">
      <c r="A126" s="1"/>
      <c r="B126" s="1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"/>
      <c r="AD126" s="1"/>
      <c r="AE126" s="146"/>
    </row>
    <row r="127" spans="1:31" ht="15.75" customHeight="1" x14ac:dyDescent="0.25">
      <c r="A127" s="1"/>
      <c r="B127" s="93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93"/>
      <c r="AD127" s="93"/>
      <c r="AE127" s="146"/>
    </row>
    <row r="128" spans="1:31" ht="15.75" customHeight="1" x14ac:dyDescent="0.25">
      <c r="A128" s="1"/>
      <c r="B128" s="93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93"/>
      <c r="AD128" s="93"/>
      <c r="AE128" s="146"/>
    </row>
    <row r="129" spans="1:31" ht="15.75" customHeight="1" x14ac:dyDescent="0.25">
      <c r="A129" s="1"/>
      <c r="B129" s="1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"/>
      <c r="AD129" s="1"/>
      <c r="AE129" s="146"/>
    </row>
    <row r="130" spans="1:3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46"/>
    </row>
    <row r="131" spans="1:3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46"/>
    </row>
    <row r="132" spans="1:3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46"/>
    </row>
    <row r="133" spans="1:3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46"/>
    </row>
    <row r="134" spans="1:31" ht="15.75" customHeight="1" x14ac:dyDescent="0.25">
      <c r="A134" s="1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</row>
    <row r="135" spans="1:31" ht="15.75" customHeight="1" x14ac:dyDescent="0.25">
      <c r="A135" s="1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</row>
    <row r="136" spans="1:31" ht="15.75" customHeight="1" x14ac:dyDescent="0.25">
      <c r="A136" s="1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</row>
    <row r="137" spans="1:31" ht="15.75" customHeight="1" x14ac:dyDescent="0.25">
      <c r="A137" s="1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</row>
    <row r="138" spans="1:31" ht="15.75" customHeight="1" x14ac:dyDescent="0.25">
      <c r="A138" s="1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</row>
    <row r="139" spans="1:31" ht="15.75" customHeight="1" x14ac:dyDescent="0.25">
      <c r="A139" s="1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</row>
    <row r="140" spans="1:31" ht="15.75" customHeight="1" x14ac:dyDescent="0.25">
      <c r="A140" s="1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</row>
    <row r="141" spans="1:31" ht="15.75" customHeight="1" x14ac:dyDescent="0.25">
      <c r="A141" s="1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</row>
    <row r="142" spans="1:31" ht="15.75" customHeight="1" x14ac:dyDescent="0.25">
      <c r="A142" s="1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</row>
    <row r="143" spans="1:31" ht="15.75" customHeight="1" x14ac:dyDescent="0.25">
      <c r="A143" s="1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</row>
    <row r="144" spans="1:31" ht="15.75" customHeight="1" x14ac:dyDescent="0.25">
      <c r="A144" s="1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</row>
    <row r="145" spans="1:31" ht="15.75" customHeight="1" x14ac:dyDescent="0.25">
      <c r="A145" s="1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</row>
    <row r="146" spans="1:31" ht="15.75" customHeight="1" x14ac:dyDescent="0.25">
      <c r="A146" s="1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</row>
    <row r="147" spans="1:31" ht="15.75" customHeight="1" x14ac:dyDescent="0.25">
      <c r="A147" s="1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</row>
    <row r="148" spans="1:31" ht="15.75" customHeight="1" x14ac:dyDescent="0.25">
      <c r="A148" s="1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</row>
    <row r="149" spans="1:31" ht="15.75" customHeight="1" x14ac:dyDescent="0.25">
      <c r="A149" s="1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</row>
    <row r="150" spans="1:31" ht="15.75" customHeight="1" x14ac:dyDescent="0.25">
      <c r="A150" s="1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</row>
    <row r="151" spans="1:31" ht="15.75" customHeight="1" x14ac:dyDescent="0.25">
      <c r="A151" s="1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</row>
    <row r="152" spans="1:31" ht="15.75" customHeight="1" x14ac:dyDescent="0.25">
      <c r="A152" s="1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</row>
    <row r="153" spans="1:31" ht="15.75" customHeight="1" x14ac:dyDescent="0.25">
      <c r="A153" s="1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</row>
    <row r="154" spans="1:31" ht="15.75" customHeight="1" x14ac:dyDescent="0.25">
      <c r="A154" s="1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</row>
    <row r="155" spans="1:31" ht="15.75" customHeight="1" x14ac:dyDescent="0.25">
      <c r="A155" s="1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</row>
    <row r="156" spans="1:31" ht="15.75" customHeight="1" x14ac:dyDescent="0.25">
      <c r="A156" s="1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</row>
    <row r="157" spans="1:31" ht="15.75" customHeight="1" x14ac:dyDescent="0.25">
      <c r="A157" s="1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</row>
    <row r="158" spans="1:31" ht="15.75" customHeight="1" x14ac:dyDescent="0.25">
      <c r="A158" s="1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</row>
    <row r="159" spans="1:31" ht="15.75" customHeight="1" x14ac:dyDescent="0.25">
      <c r="A159" s="1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pane ySplit="1" topLeftCell="A2" activePane="bottomLeft" state="frozen"/>
      <selection pane="bottomLeft" activeCell="E9" sqref="E9"/>
    </sheetView>
  </sheetViews>
  <sheetFormatPr baseColWidth="10" defaultColWidth="12.625" defaultRowHeight="15" customHeight="1" x14ac:dyDescent="0.2"/>
  <cols>
    <col min="1" max="1" width="10" customWidth="1"/>
    <col min="2" max="2" width="15.5" customWidth="1"/>
    <col min="3" max="4" width="13.375" customWidth="1"/>
    <col min="5" max="5" width="16.125" customWidth="1"/>
    <col min="6" max="8" width="10" customWidth="1"/>
    <col min="9" max="9" width="13.625" customWidth="1"/>
    <col min="10" max="27" width="10" customWidth="1"/>
  </cols>
  <sheetData>
    <row r="1" spans="1:27" ht="84" customHeight="1" x14ac:dyDescent="0.25">
      <c r="A1" s="358"/>
      <c r="B1" s="560" t="s">
        <v>15</v>
      </c>
      <c r="C1" s="560"/>
      <c r="D1" s="560"/>
      <c r="E1" s="560"/>
      <c r="F1" s="560"/>
      <c r="G1" s="560"/>
      <c r="H1" s="560"/>
      <c r="I1" s="560"/>
      <c r="J1" s="560"/>
      <c r="K1" s="560"/>
      <c r="L1" s="560"/>
      <c r="M1" s="560"/>
      <c r="N1" s="560"/>
      <c r="O1" s="560"/>
      <c r="P1" s="560"/>
      <c r="Q1" s="560"/>
      <c r="R1" s="560"/>
      <c r="S1" s="560"/>
      <c r="T1" s="560"/>
      <c r="U1" s="560"/>
      <c r="V1" s="560"/>
      <c r="W1" s="4"/>
      <c r="X1" s="4"/>
      <c r="Y1" s="4"/>
      <c r="Z1" s="4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thickBot="1" x14ac:dyDescent="0.3">
      <c r="A3" s="1"/>
      <c r="B3" s="1"/>
      <c r="C3" s="59"/>
      <c r="D3" s="59"/>
      <c r="E3" s="5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7" thickBot="1" x14ac:dyDescent="0.45">
      <c r="A4" s="1"/>
      <c r="B4" s="1"/>
      <c r="C4" s="535" t="s">
        <v>118</v>
      </c>
      <c r="D4" s="482"/>
      <c r="E4" s="45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/>
      <c r="B5" s="1"/>
      <c r="C5" s="152">
        <v>2022</v>
      </c>
      <c r="D5" s="152">
        <v>2023</v>
      </c>
      <c r="E5" s="152">
        <v>2024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/>
      <c r="B6" s="256" t="s">
        <v>119</v>
      </c>
      <c r="C6" s="65">
        <f>'Costos fijos'!$D$5</f>
        <v>5450400</v>
      </c>
      <c r="D6" s="65">
        <f>'Costos fijos'!P24</f>
        <v>15530400</v>
      </c>
      <c r="E6" s="65">
        <f>'Costos fijos'!P33</f>
        <v>26604000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/>
      <c r="B7" s="256" t="s">
        <v>120</v>
      </c>
      <c r="C7" s="65">
        <f>'Costos RRHH'!$E$6</f>
        <v>13304673.637200003</v>
      </c>
      <c r="D7" s="65">
        <f>'Costos RRHH'!$F$6</f>
        <v>18686670.935599998</v>
      </c>
      <c r="E7" s="65">
        <f>'Costos RRHH'!$G$6</f>
        <v>21612421.035999998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/>
      <c r="B8" s="256" t="s">
        <v>247</v>
      </c>
      <c r="C8" s="65">
        <f>'Costos variables'!Q17</f>
        <v>8630000</v>
      </c>
      <c r="D8" s="65">
        <f>'Costos variables'!Q28</f>
        <v>14410000</v>
      </c>
      <c r="E8" s="65">
        <f>'Costos variables'!Q39</f>
        <v>17780000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256" t="s">
        <v>118</v>
      </c>
      <c r="C9" s="66">
        <f>SUM(C6:C8)</f>
        <v>27385073.637200005</v>
      </c>
      <c r="D9" s="66">
        <f>SUM(D6:D8)</f>
        <v>48627070.935599998</v>
      </c>
      <c r="E9" s="66">
        <f>SUM(E6:E8)</f>
        <v>65996421.035999998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256" t="s">
        <v>121</v>
      </c>
      <c r="C10" s="65">
        <f>'Mod. ingresos'!C20</f>
        <v>27200000</v>
      </c>
      <c r="D10" s="65">
        <f>'Mod. ingresos'!D20</f>
        <v>77460000</v>
      </c>
      <c r="E10" s="65">
        <f>'Mod. ingresos'!E20</f>
        <v>133650000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C4:E4"/>
    <mergeCell ref="B1:V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3"/>
  <sheetViews>
    <sheetView zoomScale="85" zoomScaleNormal="85" workbookViewId="0">
      <pane ySplit="1" topLeftCell="A7" activePane="bottomLeft" state="frozen"/>
      <selection pane="bottomLeft" activeCell="C35" sqref="C35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49"/>
      <c r="B1" s="149"/>
      <c r="C1" s="149"/>
      <c r="D1" s="149"/>
      <c r="E1" s="149"/>
      <c r="F1" s="150" t="s">
        <v>16</v>
      </c>
      <c r="G1" s="151"/>
      <c r="H1" s="151"/>
      <c r="I1" s="149"/>
      <c r="J1" s="149"/>
      <c r="K1" s="149"/>
      <c r="L1" s="149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x14ac:dyDescent="0.25">
      <c r="A2" s="1"/>
      <c r="B2" s="1"/>
      <c r="C2" s="1"/>
      <c r="D2" s="1"/>
      <c r="E2" s="1"/>
      <c r="F2" s="1"/>
      <c r="G2" s="258"/>
      <c r="H2" s="258"/>
      <c r="I2" s="258"/>
      <c r="J2" s="25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35" t="s">
        <v>122</v>
      </c>
      <c r="C4" s="482"/>
      <c r="D4" s="482"/>
      <c r="E4" s="482"/>
      <c r="F4" s="45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46"/>
      <c r="X4" s="146"/>
      <c r="Y4" s="146"/>
      <c r="Z4" s="146"/>
    </row>
    <row r="5" spans="1:26" ht="15.75" x14ac:dyDescent="0.25">
      <c r="A5" s="1"/>
      <c r="B5" s="262" t="s">
        <v>55</v>
      </c>
      <c r="C5" s="263" t="s">
        <v>52</v>
      </c>
      <c r="D5" s="263" t="s">
        <v>123</v>
      </c>
      <c r="E5" s="263" t="s">
        <v>99</v>
      </c>
      <c r="F5" s="264" t="s">
        <v>124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46"/>
      <c r="X5" s="146"/>
      <c r="Y5" s="146"/>
      <c r="Z5" s="146"/>
    </row>
    <row r="6" spans="1:26" x14ac:dyDescent="0.25">
      <c r="A6" s="1"/>
      <c r="B6" s="96" t="str">
        <f>'Costos fijos'!B11</f>
        <v>Servicios VPN</v>
      </c>
      <c r="C6" s="98">
        <v>1</v>
      </c>
      <c r="D6" s="103">
        <f>'Costos fijos'!C37</f>
        <v>4200</v>
      </c>
      <c r="E6" s="103">
        <f t="shared" ref="E6" si="0">C6*D6</f>
        <v>4200</v>
      </c>
      <c r="F6" s="265" t="s">
        <v>200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46"/>
      <c r="T6" s="146"/>
      <c r="U6" s="146"/>
      <c r="V6" s="146"/>
      <c r="W6" s="146"/>
      <c r="X6" s="146"/>
      <c r="Y6" s="146"/>
      <c r="Z6" s="146"/>
    </row>
    <row r="7" spans="1:26" x14ac:dyDescent="0.25">
      <c r="A7" s="1"/>
      <c r="B7" s="96" t="str">
        <f>'Costos variables'!C11</f>
        <v>Servicio Hosting</v>
      </c>
      <c r="C7" s="98">
        <v>1</v>
      </c>
      <c r="D7" s="103">
        <f>'Costos variables'!D46</f>
        <v>60000</v>
      </c>
      <c r="E7" s="103">
        <f t="shared" ref="E7:E11" si="1">C7*D7</f>
        <v>60000</v>
      </c>
      <c r="F7" s="266" t="s">
        <v>208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46"/>
      <c r="X7" s="146"/>
      <c r="Y7" s="146"/>
      <c r="Z7" s="146"/>
    </row>
    <row r="8" spans="1:26" x14ac:dyDescent="0.25">
      <c r="A8" s="1"/>
      <c r="B8" s="96" t="str">
        <f>'Costos variables'!C12</f>
        <v>Servicio Monitoreo</v>
      </c>
      <c r="C8" s="98">
        <v>1</v>
      </c>
      <c r="D8" s="103">
        <f>'Costos variables'!D47</f>
        <v>20000</v>
      </c>
      <c r="E8" s="103">
        <f t="shared" si="1"/>
        <v>20000</v>
      </c>
      <c r="F8" s="267" t="s">
        <v>213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46"/>
      <c r="X8" s="146"/>
      <c r="Y8" s="146"/>
      <c r="Z8" s="146"/>
    </row>
    <row r="9" spans="1:26" x14ac:dyDescent="0.25">
      <c r="A9" s="93"/>
      <c r="B9" s="96" t="str">
        <f>'Costos variables'!C13</f>
        <v>Servicio Repositorio</v>
      </c>
      <c r="C9" s="98">
        <v>1</v>
      </c>
      <c r="D9" s="103">
        <f>'Costos variables'!D48</f>
        <v>40000</v>
      </c>
      <c r="E9" s="103">
        <f t="shared" si="1"/>
        <v>40000</v>
      </c>
      <c r="F9" s="538" t="s">
        <v>208</v>
      </c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146"/>
      <c r="X9" s="146"/>
      <c r="Y9" s="146"/>
      <c r="Z9" s="146"/>
    </row>
    <row r="10" spans="1:26" x14ac:dyDescent="0.25">
      <c r="A10" s="93"/>
      <c r="B10" s="96" t="str">
        <f>'Costos variables'!C15</f>
        <v>Servicio Cloud serverless</v>
      </c>
      <c r="C10" s="98">
        <v>1</v>
      </c>
      <c r="D10" s="103">
        <f>'Costos variables'!D50</f>
        <v>100000</v>
      </c>
      <c r="E10" s="103">
        <f>'Costos variables'!D50 * C10</f>
        <v>100000</v>
      </c>
      <c r="F10" s="538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146"/>
      <c r="X10" s="146"/>
      <c r="Y10" s="146"/>
      <c r="Z10" s="146"/>
    </row>
    <row r="11" spans="1:26" x14ac:dyDescent="0.25">
      <c r="A11" s="93"/>
      <c r="B11" s="96" t="str">
        <f>'Costos variables'!C14</f>
        <v>Servicio CD/CI</v>
      </c>
      <c r="C11" s="98">
        <v>1</v>
      </c>
      <c r="D11" s="103">
        <f>'Costos variables'!D49</f>
        <v>20000</v>
      </c>
      <c r="E11" s="103">
        <f t="shared" si="1"/>
        <v>20000</v>
      </c>
      <c r="F11" s="538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146"/>
      <c r="X11" s="146"/>
      <c r="Y11" s="146"/>
      <c r="Z11" s="146"/>
    </row>
    <row r="12" spans="1:26" ht="16.5" customHeight="1" x14ac:dyDescent="0.25">
      <c r="A12" s="1"/>
      <c r="B12" s="105" t="s">
        <v>163</v>
      </c>
      <c r="C12" s="106">
        <f>'Costos RRHH'!C30</f>
        <v>5</v>
      </c>
      <c r="D12" s="108">
        <v>183839</v>
      </c>
      <c r="E12" s="108">
        <f>C12*D12</f>
        <v>919195</v>
      </c>
      <c r="F12" s="561" t="s">
        <v>164</v>
      </c>
      <c r="G12" s="562"/>
      <c r="H12" s="562"/>
      <c r="I12" s="562"/>
      <c r="J12" s="562"/>
      <c r="K12" s="56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93"/>
      <c r="B13" s="102" t="s">
        <v>161</v>
      </c>
      <c r="C13" s="99">
        <v>1</v>
      </c>
      <c r="D13" s="103">
        <v>5015096</v>
      </c>
      <c r="E13" s="103">
        <f>C13*D13</f>
        <v>5015096</v>
      </c>
      <c r="F13" s="265" t="s">
        <v>310</v>
      </c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thickBot="1" x14ac:dyDescent="0.3">
      <c r="A14" s="1"/>
      <c r="B14" s="563" t="s">
        <v>30</v>
      </c>
      <c r="C14" s="564"/>
      <c r="D14" s="565"/>
      <c r="E14" s="70">
        <f>SUM(E6:E13)</f>
        <v>6178491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40" t="s">
        <v>214</v>
      </c>
      <c r="C16" s="541"/>
      <c r="D16" s="541"/>
      <c r="E16" s="541"/>
      <c r="F16" s="54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62" t="s">
        <v>55</v>
      </c>
      <c r="C17" s="263" t="s">
        <v>52</v>
      </c>
      <c r="D17" s="263" t="s">
        <v>123</v>
      </c>
      <c r="E17" s="263" t="s">
        <v>99</v>
      </c>
      <c r="F17" s="264" t="s">
        <v>124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96" t="s">
        <v>306</v>
      </c>
      <c r="C18" s="98">
        <v>1</v>
      </c>
      <c r="D18" s="103">
        <f>500000</f>
        <v>500000</v>
      </c>
      <c r="E18" s="103">
        <f>C18*D18</f>
        <v>500000</v>
      </c>
      <c r="F18" s="26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96" t="s">
        <v>256</v>
      </c>
      <c r="C19" s="98">
        <v>1</v>
      </c>
      <c r="D19" s="103">
        <f>250000</f>
        <v>250000</v>
      </c>
      <c r="E19" s="103">
        <f t="shared" ref="E19" si="2">C19*D19</f>
        <v>250000</v>
      </c>
      <c r="F19" s="26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 x14ac:dyDescent="0.25">
      <c r="A20" s="93"/>
      <c r="B20" s="366" t="s">
        <v>163</v>
      </c>
      <c r="C20" s="304">
        <f>'Costos RRHH'!Y30-C12</f>
        <v>2</v>
      </c>
      <c r="D20" s="108">
        <v>183839</v>
      </c>
      <c r="E20" s="108">
        <f>C20*D20</f>
        <v>367678</v>
      </c>
      <c r="F20" s="561" t="s">
        <v>164</v>
      </c>
      <c r="G20" s="562"/>
      <c r="H20" s="562"/>
      <c r="I20" s="562"/>
      <c r="J20" s="562"/>
      <c r="K20" s="562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5.75" thickBot="1" x14ac:dyDescent="0.3">
      <c r="A21" s="93"/>
      <c r="B21" s="563" t="s">
        <v>30</v>
      </c>
      <c r="C21" s="564"/>
      <c r="D21" s="565"/>
      <c r="E21" s="70">
        <f>SUM(E18:E19)</f>
        <v>750000</v>
      </c>
      <c r="F21" s="1"/>
      <c r="G21" s="107"/>
      <c r="H21" s="107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x14ac:dyDescent="0.25">
      <c r="A22" s="93"/>
      <c r="B22" s="320"/>
      <c r="C22" s="320"/>
      <c r="D22" s="320"/>
      <c r="E22" s="320"/>
      <c r="F22" s="320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5.25" customHeight="1" thickBot="1" x14ac:dyDescent="0.3">
      <c r="A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9.25" customHeight="1" thickBot="1" x14ac:dyDescent="0.45">
      <c r="A24" s="1"/>
      <c r="B24" s="540" t="s">
        <v>215</v>
      </c>
      <c r="C24" s="541"/>
      <c r="D24" s="541"/>
      <c r="E24" s="541"/>
      <c r="F24" s="54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45.75" customHeight="1" x14ac:dyDescent="0.25">
      <c r="A25" s="1"/>
      <c r="B25" s="262" t="s">
        <v>55</v>
      </c>
      <c r="C25" s="263" t="s">
        <v>52</v>
      </c>
      <c r="D25" s="263" t="s">
        <v>123</v>
      </c>
      <c r="E25" s="263" t="s">
        <v>99</v>
      </c>
      <c r="F25" s="264" t="s">
        <v>124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x14ac:dyDescent="0.25">
      <c r="A26" s="1"/>
      <c r="B26" s="96" t="s">
        <v>306</v>
      </c>
      <c r="C26" s="98">
        <v>1</v>
      </c>
      <c r="D26" s="103">
        <f>500000</f>
        <v>500000</v>
      </c>
      <c r="E26" s="103">
        <f t="shared" ref="E26:E27" si="3">C26*D26</f>
        <v>500000</v>
      </c>
      <c r="F26" s="265"/>
      <c r="G26" s="1"/>
      <c r="H26" s="1"/>
      <c r="I26" s="1"/>
      <c r="J26" s="1"/>
      <c r="K26" s="1"/>
      <c r="L26" s="1"/>
      <c r="M26" s="1"/>
      <c r="N26" s="1"/>
      <c r="O26" s="1"/>
      <c r="P26" s="1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 x14ac:dyDescent="0.25">
      <c r="A27" s="1"/>
      <c r="B27" s="96" t="s">
        <v>256</v>
      </c>
      <c r="C27" s="98">
        <v>2</v>
      </c>
      <c r="D27" s="103">
        <f>250000</f>
        <v>250000</v>
      </c>
      <c r="E27" s="103">
        <f t="shared" si="3"/>
        <v>500000</v>
      </c>
      <c r="F27" s="265"/>
      <c r="G27" s="1"/>
      <c r="H27" s="1"/>
      <c r="I27" s="1"/>
      <c r="J27" s="1"/>
      <c r="K27" s="1"/>
      <c r="L27" s="1"/>
      <c r="M27" s="1"/>
      <c r="N27" s="1"/>
      <c r="O27" s="1"/>
      <c r="P27" s="1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x14ac:dyDescent="0.25">
      <c r="A28" s="93"/>
      <c r="B28" s="105" t="str">
        <f>B12</f>
        <v>Notebooks</v>
      </c>
      <c r="C28" s="304">
        <f>'Costos RRHH'!Y42-C12-C20</f>
        <v>3</v>
      </c>
      <c r="D28" s="108">
        <v>183839</v>
      </c>
      <c r="E28" s="108">
        <f>C28*D28</f>
        <v>551517</v>
      </c>
      <c r="F28" s="561" t="s">
        <v>164</v>
      </c>
      <c r="G28" s="562"/>
      <c r="H28" s="562"/>
      <c r="I28" s="562"/>
      <c r="J28" s="562"/>
      <c r="K28" s="562"/>
      <c r="L28" s="93"/>
      <c r="M28" s="93"/>
      <c r="N28" s="93"/>
      <c r="O28" s="93"/>
      <c r="P28" s="93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563" t="s">
        <v>30</v>
      </c>
      <c r="C29" s="564"/>
      <c r="D29" s="565"/>
      <c r="E29" s="70">
        <f>SUM(E26:E28)</f>
        <v>1551517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 thickBo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46"/>
      <c r="W30" s="146"/>
      <c r="X30" s="146"/>
      <c r="Y30" s="146"/>
      <c r="Z30" s="146"/>
    </row>
    <row r="31" spans="1:26" ht="24.75" customHeight="1" thickBot="1" x14ac:dyDescent="0.45">
      <c r="A31" s="1"/>
      <c r="B31" s="243" t="s">
        <v>216</v>
      </c>
      <c r="C31" s="244"/>
      <c r="D31" s="244"/>
      <c r="E31" s="244"/>
      <c r="F31" s="24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x14ac:dyDescent="0.25">
      <c r="A32" s="1"/>
      <c r="B32" s="262" t="s">
        <v>55</v>
      </c>
      <c r="C32" s="263" t="s">
        <v>52</v>
      </c>
      <c r="D32" s="263" t="s">
        <v>123</v>
      </c>
      <c r="E32" s="263" t="s">
        <v>99</v>
      </c>
      <c r="F32" s="264" t="s">
        <v>124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46"/>
      <c r="W32" s="146"/>
      <c r="X32" s="146"/>
      <c r="Y32" s="146"/>
      <c r="Z32" s="146"/>
    </row>
    <row r="33" spans="1:26" ht="15.75" customHeight="1" x14ac:dyDescent="0.25">
      <c r="A33" s="1"/>
      <c r="B33" s="96" t="s">
        <v>257</v>
      </c>
      <c r="C33" s="313">
        <v>1</v>
      </c>
      <c r="D33" s="103">
        <f>500000</f>
        <v>500000</v>
      </c>
      <c r="E33" s="103">
        <f t="shared" ref="E33:E34" si="4">C33*D33</f>
        <v>500000</v>
      </c>
      <c r="F33" s="26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46"/>
      <c r="W33" s="146"/>
      <c r="X33" s="146"/>
      <c r="Y33" s="146"/>
      <c r="Z33" s="146"/>
    </row>
    <row r="34" spans="1:26" ht="15.75" customHeight="1" x14ac:dyDescent="0.25">
      <c r="A34" s="1"/>
      <c r="B34" s="96" t="s">
        <v>256</v>
      </c>
      <c r="C34" s="98">
        <v>2</v>
      </c>
      <c r="D34" s="103">
        <f>250000</f>
        <v>250000</v>
      </c>
      <c r="E34" s="103">
        <f t="shared" si="4"/>
        <v>500000</v>
      </c>
      <c r="F34" s="26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46"/>
      <c r="W34" s="146"/>
      <c r="X34" s="146"/>
      <c r="Y34" s="146"/>
      <c r="Z34" s="146"/>
    </row>
    <row r="35" spans="1:26" ht="15.75" customHeight="1" x14ac:dyDescent="0.25">
      <c r="A35" s="1"/>
      <c r="B35" s="105" t="str">
        <f>B28</f>
        <v>Notebooks</v>
      </c>
      <c r="C35" s="304">
        <f>'Costos RRHH'!Y54- C12 - C28 - C20</f>
        <v>1</v>
      </c>
      <c r="D35" s="108">
        <f>D28</f>
        <v>183839</v>
      </c>
      <c r="E35" s="103">
        <f t="shared" ref="E35" si="5">D35*C35</f>
        <v>183839</v>
      </c>
      <c r="F35" s="561" t="s">
        <v>164</v>
      </c>
      <c r="G35" s="562"/>
      <c r="H35" s="562"/>
      <c r="I35" s="562"/>
      <c r="J35" s="562"/>
      <c r="K35" s="562"/>
      <c r="L35" s="1"/>
      <c r="M35" s="1"/>
      <c r="N35" s="1"/>
      <c r="O35" s="1"/>
      <c r="P35" s="1"/>
      <c r="Q35" s="1"/>
      <c r="R35" s="1"/>
      <c r="S35" s="1"/>
      <c r="T35" s="1"/>
      <c r="U35" s="1"/>
      <c r="V35" s="146"/>
      <c r="W35" s="146"/>
      <c r="X35" s="146"/>
      <c r="Y35" s="146"/>
      <c r="Z35" s="146"/>
    </row>
    <row r="36" spans="1:26" ht="15.75" customHeight="1" thickBot="1" x14ac:dyDescent="0.3">
      <c r="A36" s="93"/>
      <c r="B36" s="153" t="s">
        <v>30</v>
      </c>
      <c r="C36" s="268"/>
      <c r="D36" s="269"/>
      <c r="E36" s="70">
        <f>SUM(E33:E35)</f>
        <v>1183839</v>
      </c>
      <c r="F36" s="1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146"/>
      <c r="W36" s="146"/>
      <c r="X36" s="146"/>
      <c r="Y36" s="146"/>
      <c r="Z36" s="146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46"/>
      <c r="T40" s="146"/>
      <c r="U40" s="146"/>
      <c r="V40" s="146"/>
      <c r="W40" s="146"/>
      <c r="X40" s="146"/>
      <c r="Y40" s="146"/>
      <c r="Z40" s="146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</sheetData>
  <mergeCells count="11">
    <mergeCell ref="F35:K35"/>
    <mergeCell ref="B16:F16"/>
    <mergeCell ref="B29:D29"/>
    <mergeCell ref="B21:D21"/>
    <mergeCell ref="B4:F4"/>
    <mergeCell ref="B14:D14"/>
    <mergeCell ref="F9:F11"/>
    <mergeCell ref="B24:F24"/>
    <mergeCell ref="F12:K12"/>
    <mergeCell ref="F28:K28"/>
    <mergeCell ref="F20:K20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8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5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  <hyperlink ref="F20" r:id="rId4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24F06330-86B5-47AE-8BEE-F6C306FA9B49}"/>
  </hyperlinks>
  <pageMargins left="0.7" right="0.7" top="0.75" bottom="0.75" header="0" footer="0"/>
  <pageSetup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D12" sqref="D12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49"/>
      <c r="B1" s="149"/>
      <c r="C1" s="149"/>
      <c r="D1" s="149"/>
      <c r="E1" s="149"/>
      <c r="F1" s="149"/>
      <c r="G1" s="150" t="s">
        <v>17</v>
      </c>
      <c r="H1" s="151"/>
      <c r="I1" s="149"/>
      <c r="J1" s="149"/>
      <c r="K1" s="149"/>
      <c r="L1" s="149"/>
      <c r="M1" s="149"/>
      <c r="N1" s="149"/>
      <c r="O1" s="149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7"/>
      <c r="C3" s="1"/>
      <c r="D3" s="1"/>
      <c r="E3" s="1"/>
      <c r="F3" s="535" t="s">
        <v>17</v>
      </c>
      <c r="G3" s="482"/>
      <c r="H3" s="459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51"/>
      <c r="C4" s="1"/>
      <c r="D4" s="1"/>
      <c r="E4" s="1"/>
      <c r="F4" s="259">
        <v>2022</v>
      </c>
      <c r="G4" s="260">
        <v>2023</v>
      </c>
      <c r="H4" s="26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61"/>
      <c r="C5" s="1"/>
      <c r="D5" s="1"/>
      <c r="E5" s="1"/>
      <c r="F5" s="67">
        <f>K14</f>
        <v>306398.33333333331</v>
      </c>
      <c r="G5" s="68">
        <f>L14</f>
        <v>428957.66666666663</v>
      </c>
      <c r="H5" s="69">
        <f>M14</f>
        <v>551517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5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67" t="s">
        <v>17</v>
      </c>
      <c r="C8" s="568"/>
      <c r="D8" s="568"/>
      <c r="E8" s="568"/>
      <c r="F8" s="568"/>
      <c r="G8" s="568"/>
      <c r="H8" s="568"/>
      <c r="I8" s="568"/>
      <c r="J8" s="568"/>
      <c r="K8" s="568"/>
      <c r="L8" s="568"/>
      <c r="M8" s="56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70" t="s">
        <v>126</v>
      </c>
      <c r="C9" s="570" t="s">
        <v>55</v>
      </c>
      <c r="D9" s="570" t="s">
        <v>52</v>
      </c>
      <c r="E9" s="570" t="s">
        <v>123</v>
      </c>
      <c r="F9" s="571" t="s">
        <v>127</v>
      </c>
      <c r="G9" s="570" t="s">
        <v>128</v>
      </c>
      <c r="H9" s="418"/>
      <c r="I9" s="418"/>
      <c r="J9" s="418"/>
      <c r="K9" s="570" t="s">
        <v>129</v>
      </c>
      <c r="L9" s="418"/>
      <c r="M9" s="418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18"/>
      <c r="C10" s="418"/>
      <c r="D10" s="418"/>
      <c r="E10" s="418"/>
      <c r="F10" s="418"/>
      <c r="G10" s="270" t="s">
        <v>130</v>
      </c>
      <c r="H10" s="270" t="s">
        <v>218</v>
      </c>
      <c r="I10" s="270" t="s">
        <v>219</v>
      </c>
      <c r="J10" s="270" t="s">
        <v>220</v>
      </c>
      <c r="K10" s="270" t="s">
        <v>218</v>
      </c>
      <c r="L10" s="270" t="s">
        <v>219</v>
      </c>
      <c r="M10" s="270" t="s">
        <v>220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72" t="s">
        <v>217</v>
      </c>
      <c r="C11" s="271" t="s">
        <v>162</v>
      </c>
      <c r="D11" s="272">
        <f>'Costos RRHH'!C30</f>
        <v>5</v>
      </c>
      <c r="E11" s="273">
        <f>'Mod. inversión'!D12</f>
        <v>183839</v>
      </c>
      <c r="F11" s="272">
        <v>3</v>
      </c>
      <c r="G11" s="274">
        <f>E11*D11</f>
        <v>919195</v>
      </c>
      <c r="H11" s="278">
        <v>0</v>
      </c>
      <c r="I11" s="278">
        <v>0</v>
      </c>
      <c r="J11" s="278">
        <v>0</v>
      </c>
      <c r="K11" s="275">
        <f>$G$11/$F$11</f>
        <v>306398.33333333331</v>
      </c>
      <c r="L11" s="275">
        <f t="shared" ref="L11:M11" si="0">$G$11/$F$11</f>
        <v>306398.33333333331</v>
      </c>
      <c r="M11" s="275">
        <f t="shared" si="0"/>
        <v>306398.33333333331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93"/>
      <c r="B12" s="573"/>
      <c r="C12" s="271" t="s">
        <v>162</v>
      </c>
      <c r="D12" s="272">
        <f>'Costos RRHH'!C42 - D11</f>
        <v>2</v>
      </c>
      <c r="E12" s="273">
        <f>'Mod. inversión'!D12</f>
        <v>183839</v>
      </c>
      <c r="F12" s="272">
        <v>3</v>
      </c>
      <c r="G12" s="278">
        <f>0</f>
        <v>0</v>
      </c>
      <c r="H12" s="278">
        <f>0</f>
        <v>0</v>
      </c>
      <c r="I12" s="274">
        <f>E12*D12</f>
        <v>367678</v>
      </c>
      <c r="J12" s="278">
        <v>0</v>
      </c>
      <c r="K12" s="279">
        <v>0</v>
      </c>
      <c r="L12" s="275">
        <f>$I$12/$F$12</f>
        <v>122559.33333333333</v>
      </c>
      <c r="M12" s="275">
        <f>$I$12/$F$12</f>
        <v>122559.33333333333</v>
      </c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5.75" thickBot="1" x14ac:dyDescent="0.3">
      <c r="A13" s="93"/>
      <c r="B13" s="573"/>
      <c r="C13" s="271" t="s">
        <v>162</v>
      </c>
      <c r="D13" s="272">
        <f>'Costos RRHH'!C54 - SUM(D11:D12)</f>
        <v>3</v>
      </c>
      <c r="E13" s="273">
        <f>'Mod. inversión'!D12</f>
        <v>183839</v>
      </c>
      <c r="F13" s="272">
        <v>3</v>
      </c>
      <c r="G13" s="278">
        <f>0</f>
        <v>0</v>
      </c>
      <c r="H13" s="278">
        <f>0</f>
        <v>0</v>
      </c>
      <c r="I13" s="278">
        <f>0</f>
        <v>0</v>
      </c>
      <c r="J13" s="274">
        <f>E13*D13</f>
        <v>551517</v>
      </c>
      <c r="K13" s="279">
        <v>0</v>
      </c>
      <c r="L13" s="279">
        <v>0</v>
      </c>
      <c r="M13" s="275">
        <f>$I$12/$F$12</f>
        <v>122559.33333333333</v>
      </c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customHeight="1" thickBot="1" x14ac:dyDescent="0.3">
      <c r="A14" s="1"/>
      <c r="B14" s="566" t="s">
        <v>117</v>
      </c>
      <c r="C14" s="418"/>
      <c r="D14" s="418"/>
      <c r="E14" s="418"/>
      <c r="F14" s="418"/>
      <c r="G14" s="418"/>
      <c r="H14" s="418"/>
      <c r="I14" s="418"/>
      <c r="J14" s="418"/>
      <c r="K14" s="276">
        <f>SUM(K11:K13)</f>
        <v>306398.33333333331</v>
      </c>
      <c r="L14" s="276">
        <f t="shared" ref="L14:M14" si="1">SUM(L11:L13)</f>
        <v>428957.66666666663</v>
      </c>
      <c r="M14" s="276">
        <f t="shared" si="1"/>
        <v>551517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>
      <pane ySplit="1" topLeftCell="A5" activePane="bottomLeft" state="frozen"/>
      <selection pane="bottomLeft" activeCell="H19" sqref="H19"/>
    </sheetView>
  </sheetViews>
  <sheetFormatPr baseColWidth="10" defaultColWidth="12.625" defaultRowHeight="15" customHeight="1" x14ac:dyDescent="0.2"/>
  <cols>
    <col min="1" max="1" width="12.6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7.5" customWidth="1"/>
    <col min="10" max="10" width="12.75" customWidth="1"/>
    <col min="11" max="11" width="13.25" customWidth="1"/>
    <col min="12" max="12" width="14.375" customWidth="1"/>
    <col min="13" max="13" width="14.125" customWidth="1"/>
    <col min="14" max="14" width="14.875" customWidth="1"/>
    <col min="15" max="27" width="10" customWidth="1"/>
  </cols>
  <sheetData>
    <row r="1" spans="1:27" ht="74.25" customHeight="1" x14ac:dyDescent="0.25">
      <c r="A1" s="149"/>
      <c r="B1" s="149"/>
      <c r="C1" s="149"/>
      <c r="D1" s="149"/>
      <c r="E1" s="150" t="s">
        <v>131</v>
      </c>
      <c r="F1" s="151"/>
      <c r="G1" s="151"/>
      <c r="H1" s="149"/>
      <c r="I1" s="149"/>
      <c r="J1" s="149"/>
      <c r="K1" s="149"/>
      <c r="L1" s="149"/>
      <c r="M1" s="149"/>
      <c r="N1" s="149"/>
      <c r="O1" s="149"/>
      <c r="P1" s="149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25" x14ac:dyDescent="0.4">
      <c r="A3" s="1"/>
      <c r="B3" s="1"/>
      <c r="C3" s="1"/>
      <c r="D3" s="1"/>
      <c r="E3" s="1"/>
      <c r="F3" s="1"/>
      <c r="G3" s="1"/>
      <c r="H3" s="37"/>
      <c r="I3" s="3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6"/>
      <c r="Z3" s="146"/>
    </row>
    <row r="4" spans="1:27" x14ac:dyDescent="0.25">
      <c r="A4" s="1"/>
      <c r="B4" s="1"/>
      <c r="C4" s="1"/>
      <c r="D4" s="1"/>
      <c r="E4" s="1"/>
      <c r="F4" s="1"/>
      <c r="G4" s="1"/>
      <c r="H4" s="51"/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6"/>
      <c r="Z4" s="146"/>
    </row>
    <row r="5" spans="1:27" x14ac:dyDescent="0.25">
      <c r="A5" s="1"/>
      <c r="B5" s="1"/>
      <c r="C5" s="1"/>
      <c r="D5" s="1"/>
      <c r="E5" s="1"/>
      <c r="F5" s="1"/>
      <c r="G5" s="1"/>
      <c r="H5" s="59"/>
      <c r="I5" s="5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6"/>
      <c r="Z5" s="146"/>
    </row>
    <row r="6" spans="1:2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6"/>
      <c r="Z6" s="146"/>
    </row>
    <row r="7" spans="1:27" ht="26.25" x14ac:dyDescent="0.4">
      <c r="A7" s="1"/>
      <c r="B7" s="1"/>
      <c r="C7" s="1"/>
      <c r="D7" s="1"/>
      <c r="E7" s="1"/>
      <c r="F7" s="1"/>
      <c r="G7" s="1"/>
      <c r="H7" s="37"/>
      <c r="I7" s="37"/>
      <c r="J7" s="1"/>
      <c r="K7" s="9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6"/>
      <c r="Z7" s="146"/>
    </row>
    <row r="8" spans="1:27" ht="15.75" thickBot="1" x14ac:dyDescent="0.3">
      <c r="A8" s="1"/>
      <c r="B8" s="1"/>
      <c r="C8" s="1"/>
      <c r="D8" s="1"/>
      <c r="E8" s="1"/>
      <c r="F8" s="1"/>
      <c r="G8" s="1"/>
      <c r="H8" s="51"/>
      <c r="I8" s="51"/>
      <c r="J8" s="1"/>
      <c r="K8" s="93"/>
      <c r="L8" s="1"/>
      <c r="M8" s="1"/>
      <c r="N8" s="1"/>
      <c r="O8" s="1"/>
      <c r="P8" s="1"/>
      <c r="Q8" s="1"/>
      <c r="R8" s="1"/>
      <c r="S8" s="1"/>
      <c r="T8" s="1"/>
      <c r="U8" s="1"/>
      <c r="V8" s="146"/>
      <c r="W8" s="146"/>
      <c r="X8" s="146"/>
      <c r="Y8" s="146"/>
      <c r="Z8" s="146"/>
    </row>
    <row r="9" spans="1:27" ht="27" thickBot="1" x14ac:dyDescent="0.45">
      <c r="A9" s="1"/>
      <c r="B9" s="533" t="s">
        <v>131</v>
      </c>
      <c r="C9" s="418"/>
      <c r="D9" s="418"/>
      <c r="E9" s="418"/>
      <c r="F9" s="418"/>
      <c r="G9" s="418"/>
      <c r="H9" s="59"/>
      <c r="I9" s="59"/>
      <c r="J9" s="1"/>
      <c r="K9" s="93"/>
      <c r="L9" s="1"/>
      <c r="M9" s="1"/>
      <c r="N9" s="1"/>
      <c r="O9" s="1"/>
      <c r="P9" s="1"/>
      <c r="Q9" s="1"/>
      <c r="R9" s="1"/>
      <c r="S9" s="1"/>
      <c r="T9" s="1"/>
      <c r="U9" s="1"/>
      <c r="V9" s="146"/>
      <c r="W9" s="146"/>
      <c r="X9" s="146"/>
      <c r="Y9" s="146"/>
      <c r="Z9" s="146"/>
    </row>
    <row r="10" spans="1:27" ht="24" customHeight="1" thickBot="1" x14ac:dyDescent="0.3">
      <c r="A10" s="1"/>
      <c r="B10" s="577" t="s">
        <v>133</v>
      </c>
      <c r="C10" s="418"/>
      <c r="D10" s="176" t="s">
        <v>134</v>
      </c>
      <c r="E10" s="176">
        <v>2022</v>
      </c>
      <c r="F10" s="176">
        <v>2023</v>
      </c>
      <c r="G10" s="176">
        <v>2024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46"/>
      <c r="W10" s="146"/>
      <c r="X10" s="146"/>
      <c r="Y10" s="146"/>
      <c r="Z10" s="146"/>
    </row>
    <row r="11" spans="1:27" ht="15.75" thickBot="1" x14ac:dyDescent="0.3">
      <c r="A11" s="1"/>
      <c r="B11" s="578" t="s">
        <v>51</v>
      </c>
      <c r="C11" s="470"/>
      <c r="D11" s="272" t="s">
        <v>125</v>
      </c>
      <c r="E11" s="277">
        <f>+'Mod. ingresos'!C20</f>
        <v>27200000</v>
      </c>
      <c r="F11" s="277">
        <f>+'Mod. ingresos'!D20</f>
        <v>77460000</v>
      </c>
      <c r="G11" s="277">
        <f>+'Mod. ingresos'!E20</f>
        <v>133650000</v>
      </c>
      <c r="H11" s="373"/>
      <c r="I11" s="373"/>
      <c r="J11" s="374"/>
      <c r="K11" s="9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6"/>
      <c r="Z11" s="146"/>
    </row>
    <row r="12" spans="1:27" ht="18" customHeight="1" thickBot="1" x14ac:dyDescent="0.3">
      <c r="A12" s="1"/>
      <c r="B12" s="579" t="s">
        <v>135</v>
      </c>
      <c r="C12" s="371" t="s">
        <v>132</v>
      </c>
      <c r="D12" s="371" t="s">
        <v>125</v>
      </c>
      <c r="E12" s="372">
        <f>'Mod. egresos'!C6</f>
        <v>5450400</v>
      </c>
      <c r="F12" s="372">
        <f>'Mod. egresos'!D6</f>
        <v>15530400</v>
      </c>
      <c r="G12" s="305">
        <f>'Mod. egresos'!E6</f>
        <v>26604000</v>
      </c>
      <c r="H12" s="370">
        <f>E12/E$11</f>
        <v>0.20038235294117648</v>
      </c>
      <c r="I12" s="370">
        <f t="shared" ref="I12:J12" si="0">F12/F$11</f>
        <v>0.20049573973663826</v>
      </c>
      <c r="J12" s="370">
        <f t="shared" si="0"/>
        <v>0.19905723905723904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46"/>
      <c r="V12" s="146"/>
      <c r="W12" s="146"/>
      <c r="X12" s="146"/>
      <c r="Y12" s="146"/>
      <c r="Z12" s="146"/>
    </row>
    <row r="13" spans="1:27" ht="15.75" thickBot="1" x14ac:dyDescent="0.3">
      <c r="A13" s="93"/>
      <c r="B13" s="470"/>
      <c r="C13" s="272" t="s">
        <v>247</v>
      </c>
      <c r="D13" s="272" t="s">
        <v>125</v>
      </c>
      <c r="E13" s="305">
        <f>'Costos variables'!Q17</f>
        <v>8630000</v>
      </c>
      <c r="F13" s="305">
        <f>'Costos variables'!Q28</f>
        <v>14410000</v>
      </c>
      <c r="G13" s="305">
        <f>'Costos variables'!Q39</f>
        <v>17780000</v>
      </c>
      <c r="H13" s="370">
        <f>E13/E$11</f>
        <v>0.31727941176470587</v>
      </c>
      <c r="I13" s="370">
        <f t="shared" ref="I13:J13" si="1">F13/F$11</f>
        <v>0.18603150012909889</v>
      </c>
      <c r="J13" s="370">
        <f t="shared" si="1"/>
        <v>0.13303404414515527</v>
      </c>
      <c r="K13" s="93"/>
      <c r="L13" s="93"/>
      <c r="M13" s="93"/>
      <c r="N13" s="93"/>
      <c r="O13" s="93"/>
      <c r="P13" s="93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7" ht="15.75" thickBot="1" x14ac:dyDescent="0.3">
      <c r="A14" s="1"/>
      <c r="B14" s="470"/>
      <c r="C14" s="272" t="s">
        <v>120</v>
      </c>
      <c r="D14" s="272" t="s">
        <v>125</v>
      </c>
      <c r="E14" s="277">
        <f>'Mod. egresos'!C7</f>
        <v>13304673.637200003</v>
      </c>
      <c r="F14" s="277">
        <f>'Mod. egresos'!D7</f>
        <v>18686670.935599998</v>
      </c>
      <c r="G14" s="277">
        <f>'Mod. egresos'!E7</f>
        <v>21612421.035999998</v>
      </c>
      <c r="H14" s="370">
        <f>E14/E$11</f>
        <v>0.48914241313235307</v>
      </c>
      <c r="I14" s="370">
        <f t="shared" ref="I14" si="2">F14/F$11</f>
        <v>0.24124284709011098</v>
      </c>
      <c r="J14" s="370">
        <f t="shared" ref="J14" si="3">G14/G$11</f>
        <v>0.16170909866068087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46"/>
      <c r="Y14" s="146"/>
      <c r="Z14" s="146"/>
    </row>
    <row r="15" spans="1:27" ht="15.75" thickBot="1" x14ac:dyDescent="0.3">
      <c r="A15" s="93"/>
      <c r="B15" s="574" t="s">
        <v>254</v>
      </c>
      <c r="C15" s="574"/>
      <c r="D15" s="307"/>
      <c r="E15" s="308">
        <f>SUM(E12:E14)</f>
        <v>27385073.637200005</v>
      </c>
      <c r="F15" s="308">
        <f>SUM(F12:F14)</f>
        <v>48627070.935599998</v>
      </c>
      <c r="G15" s="308">
        <f>SUM(G12:G14)</f>
        <v>65996421.035999998</v>
      </c>
      <c r="H15" s="93"/>
      <c r="I15" s="93"/>
      <c r="J15" s="93"/>
      <c r="K15" s="325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146"/>
      <c r="W15" s="146"/>
      <c r="X15" s="146"/>
      <c r="Y15" s="146"/>
      <c r="Z15" s="146"/>
    </row>
    <row r="16" spans="1:27" ht="15.75" thickBot="1" x14ac:dyDescent="0.3">
      <c r="A16" s="1"/>
      <c r="B16" s="575" t="s">
        <v>136</v>
      </c>
      <c r="C16" s="470"/>
      <c r="D16" s="306" t="s">
        <v>125</v>
      </c>
      <c r="E16" s="274">
        <f>E11-E15</f>
        <v>-185073.63720000535</v>
      </c>
      <c r="F16" s="274">
        <f>F11-F15</f>
        <v>28832929.064400002</v>
      </c>
      <c r="G16" s="274">
        <f>G11-G15</f>
        <v>67653578.964000002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thickBot="1" x14ac:dyDescent="0.3">
      <c r="A17" s="1"/>
      <c r="B17" s="576" t="s">
        <v>137</v>
      </c>
      <c r="C17" s="470"/>
      <c r="D17" s="272" t="s">
        <v>125</v>
      </c>
      <c r="E17" s="277">
        <f>E11*0.03</f>
        <v>816000</v>
      </c>
      <c r="F17" s="277">
        <f>F11*0.03</f>
        <v>2323800</v>
      </c>
      <c r="G17" s="277">
        <f>G11*0.03</f>
        <v>4009500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"/>
      <c r="B18" s="576" t="s">
        <v>138</v>
      </c>
      <c r="C18" s="470"/>
      <c r="D18" s="272" t="s">
        <v>125</v>
      </c>
      <c r="E18" s="277">
        <v>0</v>
      </c>
      <c r="F18" s="277">
        <f>0</f>
        <v>0</v>
      </c>
      <c r="G18" s="277">
        <f>(F16-F17)*0.35</f>
        <v>9278195.1725399997</v>
      </c>
      <c r="H18" s="1"/>
      <c r="I18" s="1"/>
      <c r="J18" s="1"/>
      <c r="K18" s="104"/>
      <c r="L18" s="104"/>
      <c r="M18" s="104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thickBot="1" x14ac:dyDescent="0.3">
      <c r="A19" s="1"/>
      <c r="B19" s="575" t="s">
        <v>139</v>
      </c>
      <c r="C19" s="470"/>
      <c r="D19" s="306" t="s">
        <v>125</v>
      </c>
      <c r="E19" s="274">
        <f>E16-E17-E18</f>
        <v>-1001073.6372000054</v>
      </c>
      <c r="F19" s="274">
        <f>F16-F17-F18</f>
        <v>26509129.064400002</v>
      </c>
      <c r="G19" s="274">
        <f>G16-G17-G18</f>
        <v>54365883.79146</v>
      </c>
      <c r="H19" s="1"/>
      <c r="I19" s="1"/>
      <c r="J19" s="1"/>
      <c r="K19" s="104"/>
      <c r="L19" s="104"/>
      <c r="M19" s="10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thickBot="1" x14ac:dyDescent="0.3">
      <c r="A20" s="1"/>
      <c r="B20" s="576" t="s">
        <v>140</v>
      </c>
      <c r="C20" s="470"/>
      <c r="D20" s="277">
        <f>-'Mod. inversión'!E14</f>
        <v>-6178491</v>
      </c>
      <c r="E20" s="277">
        <f>-'Mod. inversión'!E21</f>
        <v>-750000</v>
      </c>
      <c r="F20" s="277">
        <f>-'Mod. inversión'!E29</f>
        <v>-1551517</v>
      </c>
      <c r="G20" s="277">
        <f>-'Mod. inversión'!E36</f>
        <v>-1183839</v>
      </c>
      <c r="H20" s="1"/>
      <c r="I20" s="1"/>
      <c r="J20" s="1"/>
      <c r="K20" s="104"/>
      <c r="L20" s="104"/>
      <c r="M20" s="10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575" t="s">
        <v>141</v>
      </c>
      <c r="C21" s="470"/>
      <c r="D21" s="274">
        <f>D20</f>
        <v>-6178491</v>
      </c>
      <c r="E21" s="274">
        <f t="shared" ref="E21:F21" si="4">E19+E20</f>
        <v>-1751073.6372000054</v>
      </c>
      <c r="F21" s="274">
        <f t="shared" si="4"/>
        <v>24957612.064400002</v>
      </c>
      <c r="G21" s="274">
        <f>G19+G20</f>
        <v>53182044.79146</v>
      </c>
      <c r="H21" s="1"/>
      <c r="I21" s="1"/>
      <c r="J21" s="1"/>
      <c r="K21" s="104"/>
      <c r="L21" s="104"/>
      <c r="M21" s="10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thickBo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0.25" customHeight="1" x14ac:dyDescent="0.25">
      <c r="A25" s="1"/>
      <c r="B25" s="146"/>
      <c r="C25" s="146"/>
      <c r="D25" s="1"/>
      <c r="E25" s="1"/>
      <c r="F25" s="84" t="s">
        <v>142</v>
      </c>
      <c r="G25" s="85">
        <v>1.1499999999999999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46"/>
      <c r="C26" s="146"/>
      <c r="D26" s="1"/>
      <c r="E26" s="1"/>
      <c r="F26" s="86" t="s">
        <v>143</v>
      </c>
      <c r="G26" s="87">
        <f>NPV(G25,D21:G21)</f>
        <v>1747626.1344179078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thickBot="1" x14ac:dyDescent="0.3">
      <c r="A27" s="1"/>
      <c r="B27" s="146"/>
      <c r="C27" s="146"/>
      <c r="D27" s="1"/>
      <c r="E27" s="1"/>
      <c r="F27" s="88" t="s">
        <v>144</v>
      </c>
      <c r="G27" s="89">
        <f>IRR(D21:G21,G25)</f>
        <v>1.5782345901723964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04"/>
      <c r="E30" s="104"/>
      <c r="F30" s="104"/>
      <c r="G30" s="10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25">
      <c r="A31" s="1"/>
      <c r="B31" s="1"/>
      <c r="C31" s="1"/>
      <c r="D31" s="104"/>
      <c r="E31" s="1"/>
      <c r="F31" s="90"/>
      <c r="G31" s="1"/>
      <c r="H31" s="1"/>
      <c r="I31" s="1"/>
      <c r="J31" s="90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04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24"/>
      <c r="E35" s="24"/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23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23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91"/>
      <c r="I38" s="9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H1000" s="1"/>
      <c r="I1000" s="1"/>
      <c r="J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11">
    <mergeCell ref="B15:C15"/>
    <mergeCell ref="B19:C19"/>
    <mergeCell ref="B20:C20"/>
    <mergeCell ref="B21:C21"/>
    <mergeCell ref="B9:G9"/>
    <mergeCell ref="B10:C10"/>
    <mergeCell ref="B11:C11"/>
    <mergeCell ref="B12:B14"/>
    <mergeCell ref="B16:C16"/>
    <mergeCell ref="B17:C17"/>
    <mergeCell ref="B18:C18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7" sqref="E7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49"/>
      <c r="B1" s="149"/>
      <c r="C1" s="149"/>
      <c r="D1" s="150" t="s">
        <v>19</v>
      </c>
      <c r="E1" s="149"/>
      <c r="F1" s="149"/>
      <c r="G1" s="151"/>
      <c r="H1" s="151"/>
      <c r="I1" s="149"/>
      <c r="J1" s="149"/>
      <c r="K1" s="149"/>
      <c r="L1" s="149"/>
      <c r="M1" s="149"/>
      <c r="N1" s="149"/>
      <c r="O1" s="257"/>
      <c r="P1" s="257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80" t="s">
        <v>19</v>
      </c>
      <c r="C4" s="482"/>
      <c r="D4" s="482"/>
      <c r="E4" s="482"/>
      <c r="F4" s="482"/>
      <c r="G4" s="45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85" t="s">
        <v>145</v>
      </c>
      <c r="C5" s="286" t="s">
        <v>146</v>
      </c>
      <c r="D5" s="286" t="s">
        <v>147</v>
      </c>
      <c r="E5" s="286" t="s">
        <v>148</v>
      </c>
      <c r="F5" s="344" t="s">
        <v>149</v>
      </c>
      <c r="G5" s="329" t="s">
        <v>150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3.5" customHeight="1" thickBot="1" x14ac:dyDescent="0.3">
      <c r="A6" s="1"/>
      <c r="B6" s="287">
        <v>1</v>
      </c>
      <c r="C6" s="336" t="s">
        <v>307</v>
      </c>
      <c r="D6" s="332" t="s">
        <v>308</v>
      </c>
      <c r="E6" s="332" t="s">
        <v>320</v>
      </c>
      <c r="F6" s="346" t="s">
        <v>281</v>
      </c>
      <c r="G6" s="346" t="s">
        <v>237</v>
      </c>
      <c r="H6" s="9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0.5" customHeight="1" thickBot="1" x14ac:dyDescent="0.3">
      <c r="A7" s="1"/>
      <c r="B7" s="287">
        <v>2</v>
      </c>
      <c r="C7" s="288" t="s">
        <v>234</v>
      </c>
      <c r="D7" s="289" t="s">
        <v>309</v>
      </c>
      <c r="E7" s="289" t="s">
        <v>236</v>
      </c>
      <c r="F7" s="346" t="s">
        <v>281</v>
      </c>
      <c r="G7" s="346" t="s">
        <v>237</v>
      </c>
      <c r="H7" s="9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287">
        <v>3</v>
      </c>
      <c r="C8" s="333" t="s">
        <v>235</v>
      </c>
      <c r="D8" s="330" t="s">
        <v>232</v>
      </c>
      <c r="E8" s="330" t="s">
        <v>266</v>
      </c>
      <c r="F8" s="345" t="s">
        <v>281</v>
      </c>
      <c r="G8" s="345" t="s">
        <v>237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287">
        <v>4</v>
      </c>
      <c r="C9" s="335" t="s">
        <v>271</v>
      </c>
      <c r="D9" s="330" t="s">
        <v>280</v>
      </c>
      <c r="E9" s="330" t="s">
        <v>301</v>
      </c>
      <c r="F9" s="345" t="s">
        <v>281</v>
      </c>
      <c r="G9" s="345" t="s">
        <v>269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287">
        <v>5</v>
      </c>
      <c r="C10" s="335" t="s">
        <v>272</v>
      </c>
      <c r="D10" s="330" t="s">
        <v>285</v>
      </c>
      <c r="E10" s="330" t="s">
        <v>287</v>
      </c>
      <c r="F10" s="345" t="s">
        <v>281</v>
      </c>
      <c r="G10" s="345" t="s">
        <v>269</v>
      </c>
      <c r="H10" s="9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287">
        <v>6</v>
      </c>
      <c r="C11" s="342" t="s">
        <v>239</v>
      </c>
      <c r="D11" s="343" t="s">
        <v>233</v>
      </c>
      <c r="E11" s="343" t="str">
        <f>'Escenario 3'!$I$11</f>
        <v>Las ventas disminuyen un 15% en 2023 y un 20% en 2024.</v>
      </c>
      <c r="F11" s="346" t="s">
        <v>166</v>
      </c>
      <c r="G11" s="346" t="s">
        <v>268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287">
        <v>7</v>
      </c>
      <c r="C12" s="333" t="s">
        <v>274</v>
      </c>
      <c r="D12" s="330" t="s">
        <v>293</v>
      </c>
      <c r="E12" s="330" t="s">
        <v>286</v>
      </c>
      <c r="F12" s="345" t="s">
        <v>166</v>
      </c>
      <c r="G12" s="345" t="s">
        <v>237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287">
        <v>8</v>
      </c>
      <c r="C13" s="337" t="s">
        <v>290</v>
      </c>
      <c r="D13" s="341" t="s">
        <v>291</v>
      </c>
      <c r="E13" s="341" t="s">
        <v>297</v>
      </c>
      <c r="F13" s="345" t="s">
        <v>166</v>
      </c>
      <c r="G13" s="345" t="s">
        <v>237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287">
        <v>9</v>
      </c>
      <c r="C14" s="339" t="s">
        <v>277</v>
      </c>
      <c r="D14" s="340" t="s">
        <v>298</v>
      </c>
      <c r="E14" s="340" t="s">
        <v>300</v>
      </c>
      <c r="F14" s="345" t="s">
        <v>166</v>
      </c>
      <c r="G14" s="345" t="s">
        <v>237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287">
        <v>10</v>
      </c>
      <c r="C15" s="338" t="s">
        <v>275</v>
      </c>
      <c r="D15" s="340" t="s">
        <v>288</v>
      </c>
      <c r="E15" s="340" t="s">
        <v>289</v>
      </c>
      <c r="F15" s="347" t="s">
        <v>284</v>
      </c>
      <c r="G15" s="347" t="s">
        <v>268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287">
        <v>11</v>
      </c>
      <c r="C16" s="337" t="s">
        <v>278</v>
      </c>
      <c r="D16" s="341" t="s">
        <v>305</v>
      </c>
      <c r="E16" s="341" t="s">
        <v>296</v>
      </c>
      <c r="F16" s="347" t="s">
        <v>284</v>
      </c>
      <c r="G16" s="347" t="s">
        <v>268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287">
        <v>12</v>
      </c>
      <c r="C17" s="339" t="s">
        <v>279</v>
      </c>
      <c r="D17" s="340" t="s">
        <v>299</v>
      </c>
      <c r="E17" s="340" t="s">
        <v>295</v>
      </c>
      <c r="F17" s="347" t="s">
        <v>284</v>
      </c>
      <c r="G17" s="347" t="s">
        <v>268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287">
        <v>13</v>
      </c>
      <c r="C18" s="333" t="s">
        <v>303</v>
      </c>
      <c r="D18" s="330" t="s">
        <v>302</v>
      </c>
      <c r="E18" s="330" t="s">
        <v>304</v>
      </c>
      <c r="F18" s="347" t="s">
        <v>284</v>
      </c>
      <c r="G18" s="347" t="s">
        <v>268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287">
        <v>14</v>
      </c>
      <c r="C19" s="334" t="s">
        <v>273</v>
      </c>
      <c r="D19" s="331" t="s">
        <v>282</v>
      </c>
      <c r="E19" s="331" t="s">
        <v>283</v>
      </c>
      <c r="F19" s="347" t="s">
        <v>284</v>
      </c>
      <c r="G19" s="347" t="s">
        <v>269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287">
        <v>15</v>
      </c>
      <c r="C20" s="335" t="s">
        <v>276</v>
      </c>
      <c r="D20" s="330" t="s">
        <v>294</v>
      </c>
      <c r="E20" s="330" t="s">
        <v>292</v>
      </c>
      <c r="F20" s="347" t="s">
        <v>284</v>
      </c>
      <c r="G20" s="345" t="s">
        <v>269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F15" sqref="F15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83" t="str">
        <f>'Matriz de riesgo'!C6</f>
        <v>Aumento de carga impositiva para la contratación de servicios.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84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85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86" t="str">
        <f>'Matriz de riesgo'!D6</f>
        <v>Para frenar el desabastecimiento de reservas, el gobierno impulsa la creación de nuevos impuestos hacia la contratación extranjera de servicios.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84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85"/>
      <c r="J9" s="146"/>
      <c r="K9" s="146"/>
      <c r="L9" s="146"/>
      <c r="M9" s="146"/>
    </row>
    <row r="10" spans="1:13" ht="27" thickBot="1" x14ac:dyDescent="0.45">
      <c r="A10" s="1"/>
      <c r="B10" s="540" t="s">
        <v>131</v>
      </c>
      <c r="C10" s="541"/>
      <c r="D10" s="541"/>
      <c r="E10" s="541"/>
      <c r="F10" s="541"/>
      <c r="G10" s="542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87" t="s">
        <v>133</v>
      </c>
      <c r="C11" s="588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83" t="str">
        <f>'Matriz de riesgo'!E6</f>
        <v>Gasto en servicios externos aumentan un 35% en 2023 y un 50% en 2024.</v>
      </c>
      <c r="J11" s="146"/>
      <c r="K11" s="146"/>
      <c r="L11" s="146"/>
      <c r="M11" s="146"/>
    </row>
    <row r="12" spans="1:13" ht="15.75" thickBot="1" x14ac:dyDescent="0.3">
      <c r="A12" s="1"/>
      <c r="B12" s="590" t="s">
        <v>51</v>
      </c>
      <c r="C12" s="591"/>
      <c r="D12" s="72" t="s">
        <v>125</v>
      </c>
      <c r="E12" s="109">
        <f>+'Mod. ingresos'!C20</f>
        <v>27200000</v>
      </c>
      <c r="F12" s="109">
        <f>+'Mod. ingresos'!D20</f>
        <v>77460000</v>
      </c>
      <c r="G12" s="109">
        <f>+'Mod. ingresos'!E20</f>
        <v>133650000</v>
      </c>
      <c r="H12" s="146"/>
      <c r="I12" s="589"/>
      <c r="J12" s="146"/>
      <c r="K12" s="146"/>
      <c r="L12" s="146"/>
      <c r="M12" s="146"/>
    </row>
    <row r="13" spans="1:13" ht="15" x14ac:dyDescent="0.25">
      <c r="A13" s="1"/>
      <c r="B13" s="592" t="s">
        <v>135</v>
      </c>
      <c r="C13" s="595" t="s">
        <v>132</v>
      </c>
      <c r="D13" s="597" t="s">
        <v>125</v>
      </c>
      <c r="E13" s="581">
        <f>'Costos fijos'!P15</f>
        <v>5450400</v>
      </c>
      <c r="F13" s="581">
        <f>'Costos fijos'!P24 * 1.35</f>
        <v>20966040</v>
      </c>
      <c r="G13" s="581">
        <f>'Costos fijos'!P33 * 1.5</f>
        <v>39906000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93"/>
      <c r="C14" s="596"/>
      <c r="D14" s="598"/>
      <c r="E14" s="582"/>
      <c r="F14" s="582"/>
      <c r="G14" s="582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93"/>
      <c r="C15" s="317" t="s">
        <v>258</v>
      </c>
      <c r="D15" s="318"/>
      <c r="E15" s="319">
        <f>'Costos variables'!Q17</f>
        <v>8630000</v>
      </c>
      <c r="F15" s="319">
        <f>'Costos variables'!Q28 * 1.35</f>
        <v>19453500</v>
      </c>
      <c r="G15" s="319">
        <f>'Costos variables'!Q39 * 1.5</f>
        <v>26670000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94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99" t="s">
        <v>136</v>
      </c>
      <c r="C17" s="600"/>
      <c r="D17" s="76" t="s">
        <v>125</v>
      </c>
      <c r="E17" s="77">
        <f>E12-E13-E15-E14-E16</f>
        <v>-185073.63720000349</v>
      </c>
      <c r="F17" s="77">
        <f t="shared" ref="F17:G17" si="0">F12-F13-F15-F14-F16</f>
        <v>18353789.064400002</v>
      </c>
      <c r="G17" s="77">
        <f t="shared" si="0"/>
        <v>45461578.964000002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601" t="s">
        <v>137</v>
      </c>
      <c r="C18" s="602"/>
      <c r="D18" s="72" t="s">
        <v>125</v>
      </c>
      <c r="E18" s="73">
        <f>E12*0.03</f>
        <v>816000</v>
      </c>
      <c r="F18" s="73">
        <f>F12*0.03</f>
        <v>2323800</v>
      </c>
      <c r="G18" s="79">
        <f t="shared" ref="G18" si="1">G12*0.03</f>
        <v>4009500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603" t="s">
        <v>138</v>
      </c>
      <c r="C19" s="604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5610496.1725400006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99" t="s">
        <v>139</v>
      </c>
      <c r="C20" s="600"/>
      <c r="D20" s="76" t="s">
        <v>125</v>
      </c>
      <c r="E20" s="77">
        <f>E17-E18-E19</f>
        <v>-1001073.6372000035</v>
      </c>
      <c r="F20" s="77">
        <f>F17-F18-F19</f>
        <v>16380364.837420003</v>
      </c>
      <c r="G20" s="78">
        <f>G17-G18-G19</f>
        <v>35841582.79146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605" t="s">
        <v>140</v>
      </c>
      <c r="C21" s="606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99" t="s">
        <v>141</v>
      </c>
      <c r="C22" s="600"/>
      <c r="D22" s="83">
        <f>D21</f>
        <v>-6178491</v>
      </c>
      <c r="E22" s="77">
        <f t="shared" ref="E22:F22" si="2">E20+E21</f>
        <v>-1751073.6372000035</v>
      </c>
      <c r="F22" s="77">
        <f t="shared" si="2"/>
        <v>14828847.837420003</v>
      </c>
      <c r="G22" s="78">
        <f>G20+G21</f>
        <v>34657743.79146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-138468.74331294539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1.1114684058338411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I34" sqref="I34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83" t="str">
        <f>'Matriz de riesgo'!C7</f>
        <v>Rotación de personal.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84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85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86" t="str">
        <f>'Matriz de riesgo'!D7</f>
        <v>La aparicion de competidores y el amplio mercado de IT, hace que la rotación de recursos aumente.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84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85"/>
      <c r="J9" s="146"/>
      <c r="K9" s="146"/>
      <c r="L9" s="146"/>
      <c r="M9" s="146"/>
    </row>
    <row r="10" spans="1:13" ht="27" thickBot="1" x14ac:dyDescent="0.45">
      <c r="A10" s="1"/>
      <c r="B10" s="540" t="s">
        <v>131</v>
      </c>
      <c r="C10" s="541"/>
      <c r="D10" s="541"/>
      <c r="E10" s="541"/>
      <c r="F10" s="541"/>
      <c r="G10" s="542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87" t="s">
        <v>133</v>
      </c>
      <c r="C11" s="588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83" t="str">
        <f>'Matriz de riesgo'!E7</f>
        <v>La capacidad de administrar clientes disminuye en un 10% en 2023 y un 20% en 2024.</v>
      </c>
      <c r="J11" s="146"/>
      <c r="K11" s="146"/>
      <c r="L11" s="146"/>
      <c r="M11" s="146"/>
    </row>
    <row r="12" spans="1:13" ht="15.75" thickBot="1" x14ac:dyDescent="0.3">
      <c r="A12" s="1"/>
      <c r="B12" s="590" t="s">
        <v>51</v>
      </c>
      <c r="C12" s="591"/>
      <c r="D12" s="72" t="s">
        <v>125</v>
      </c>
      <c r="E12" s="109">
        <f>+'Mod. ingresos'!C20</f>
        <v>27200000</v>
      </c>
      <c r="F12" s="109">
        <f>+'Mod. ingresos'!D20*0.9</f>
        <v>69714000</v>
      </c>
      <c r="G12" s="109">
        <f>+'Mod. ingresos'!E20*0.8</f>
        <v>106920000</v>
      </c>
      <c r="H12" s="146"/>
      <c r="I12" s="589"/>
      <c r="J12" s="146"/>
      <c r="K12" s="146"/>
      <c r="L12" s="146"/>
      <c r="M12" s="146"/>
    </row>
    <row r="13" spans="1:13" ht="15" x14ac:dyDescent="0.25">
      <c r="A13" s="1"/>
      <c r="B13" s="592" t="s">
        <v>135</v>
      </c>
      <c r="C13" s="595" t="s">
        <v>132</v>
      </c>
      <c r="D13" s="597" t="s">
        <v>125</v>
      </c>
      <c r="E13" s="581">
        <f>'Costos fijos'!P15</f>
        <v>5450400</v>
      </c>
      <c r="F13" s="581">
        <f>'Costos fijos'!P24</f>
        <v>15530400</v>
      </c>
      <c r="G13" s="581">
        <f>'Costos fijos'!P33</f>
        <v>26604000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93"/>
      <c r="C14" s="596"/>
      <c r="D14" s="598"/>
      <c r="E14" s="582"/>
      <c r="F14" s="582"/>
      <c r="G14" s="582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93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94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99" t="s">
        <v>136</v>
      </c>
      <c r="C17" s="600"/>
      <c r="D17" s="76" t="s">
        <v>125</v>
      </c>
      <c r="E17" s="77">
        <f>E12-E13-E15-E14-E16</f>
        <v>-185073.63720000349</v>
      </c>
      <c r="F17" s="77">
        <f t="shared" ref="F17:G17" si="0">F12-F13-F15-F14-F16</f>
        <v>21086929.064400002</v>
      </c>
      <c r="G17" s="77">
        <f t="shared" si="0"/>
        <v>40923578.964000002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601" t="s">
        <v>137</v>
      </c>
      <c r="C18" s="602"/>
      <c r="D18" s="72" t="s">
        <v>125</v>
      </c>
      <c r="E18" s="73">
        <f>E12*0.03</f>
        <v>816000</v>
      </c>
      <c r="F18" s="73">
        <f>F12*0.03</f>
        <v>2091420</v>
      </c>
      <c r="G18" s="79">
        <f t="shared" ref="G18" si="1">G12*0.03</f>
        <v>3207600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603" t="s">
        <v>138</v>
      </c>
      <c r="C19" s="604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6648428.1725400006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99" t="s">
        <v>139</v>
      </c>
      <c r="C20" s="600"/>
      <c r="D20" s="76" t="s">
        <v>125</v>
      </c>
      <c r="E20" s="77">
        <f>E17-E18-E19</f>
        <v>-1001073.6372000035</v>
      </c>
      <c r="F20" s="77">
        <f>F17-F18-F19</f>
        <v>19345884.837420005</v>
      </c>
      <c r="G20" s="78">
        <f>G17-G18-G19</f>
        <v>31067550.79146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605" t="s">
        <v>140</v>
      </c>
      <c r="C21" s="606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99" t="s">
        <v>141</v>
      </c>
      <c r="C22" s="600"/>
      <c r="D22" s="83">
        <f>D21</f>
        <v>-6178491</v>
      </c>
      <c r="E22" s="77">
        <f t="shared" ref="E22:F22" si="2">E20+E21</f>
        <v>-1751073.6372000035</v>
      </c>
      <c r="F22" s="77">
        <f t="shared" si="2"/>
        <v>17794367.837420005</v>
      </c>
      <c r="G22" s="78">
        <f>G20+G21</f>
        <v>29883711.79146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-63502.765474515691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1.1318260153780684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F12" sqref="F1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259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83" t="str">
        <f>'Matriz de riesgo'!C11</f>
        <v>Aparecen nuevos competidores que logran captar mercado.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84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85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86" t="str">
        <f>'Matriz de riesgo'!D11</f>
        <v>Competidores con caracteristicas similares aparecen en el mercado.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84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85"/>
      <c r="J9" s="146"/>
      <c r="K9" s="146"/>
      <c r="L9" s="146"/>
      <c r="M9" s="146"/>
    </row>
    <row r="10" spans="1:13" ht="27" thickBot="1" x14ac:dyDescent="0.45">
      <c r="A10" s="1"/>
      <c r="B10" s="540" t="s">
        <v>131</v>
      </c>
      <c r="C10" s="541"/>
      <c r="D10" s="541"/>
      <c r="E10" s="541"/>
      <c r="F10" s="541"/>
      <c r="G10" s="542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87" t="s">
        <v>133</v>
      </c>
      <c r="C11" s="588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83" t="s">
        <v>267</v>
      </c>
      <c r="J11" s="146"/>
      <c r="K11" s="146"/>
      <c r="L11" s="146"/>
      <c r="M11" s="146"/>
    </row>
    <row r="12" spans="1:13" ht="15.75" thickBot="1" x14ac:dyDescent="0.3">
      <c r="A12" s="1"/>
      <c r="B12" s="590" t="s">
        <v>51</v>
      </c>
      <c r="C12" s="591"/>
      <c r="D12" s="72" t="s">
        <v>125</v>
      </c>
      <c r="E12" s="109">
        <f>+'Mod. ingresos'!C20</f>
        <v>27200000</v>
      </c>
      <c r="F12" s="109">
        <f>+'Mod. ingresos'!D20*0.85</f>
        <v>65841000</v>
      </c>
      <c r="G12" s="109">
        <f>+'Mod. ingresos'!E20*0.8</f>
        <v>106920000</v>
      </c>
      <c r="H12" s="146"/>
      <c r="I12" s="589"/>
      <c r="J12" s="146"/>
      <c r="K12" s="146"/>
      <c r="L12" s="146"/>
      <c r="M12" s="146"/>
    </row>
    <row r="13" spans="1:13" ht="15" x14ac:dyDescent="0.25">
      <c r="A13" s="1"/>
      <c r="B13" s="592" t="s">
        <v>135</v>
      </c>
      <c r="C13" s="595" t="s">
        <v>132</v>
      </c>
      <c r="D13" s="597" t="s">
        <v>125</v>
      </c>
      <c r="E13" s="581">
        <f>'Costos fijos'!P15</f>
        <v>5450400</v>
      </c>
      <c r="F13" s="581">
        <f>'Costos fijos'!P24</f>
        <v>15530400</v>
      </c>
      <c r="G13" s="581">
        <f>'Costos fijos'!P33</f>
        <v>26604000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93"/>
      <c r="C14" s="596"/>
      <c r="D14" s="598"/>
      <c r="E14" s="582"/>
      <c r="F14" s="582"/>
      <c r="G14" s="582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93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94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99" t="s">
        <v>136</v>
      </c>
      <c r="C17" s="600"/>
      <c r="D17" s="76" t="s">
        <v>125</v>
      </c>
      <c r="E17" s="77">
        <f>E12-E13-E15-E14-E16</f>
        <v>-185073.63720000349</v>
      </c>
      <c r="F17" s="77">
        <f t="shared" ref="F17:G17" si="0">F12-F13-F15-F14-F16</f>
        <v>17213929.064400002</v>
      </c>
      <c r="G17" s="77">
        <f t="shared" si="0"/>
        <v>40923578.964000002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601" t="s">
        <v>137</v>
      </c>
      <c r="C18" s="602"/>
      <c r="D18" s="72" t="s">
        <v>125</v>
      </c>
      <c r="E18" s="73">
        <f>E12*0.03</f>
        <v>816000</v>
      </c>
      <c r="F18" s="73">
        <f>F12*0.03</f>
        <v>1975230</v>
      </c>
      <c r="G18" s="79">
        <f t="shared" ref="G18" si="1">G12*0.03</f>
        <v>3207600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603" t="s">
        <v>138</v>
      </c>
      <c r="C19" s="604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5333544.6725400006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99" t="s">
        <v>139</v>
      </c>
      <c r="C20" s="600"/>
      <c r="D20" s="76" t="s">
        <v>125</v>
      </c>
      <c r="E20" s="77">
        <f>E17-E18-E19</f>
        <v>-1001073.6372000035</v>
      </c>
      <c r="F20" s="77">
        <f>F17-F18-F19</f>
        <v>15589074.837420003</v>
      </c>
      <c r="G20" s="78">
        <f>G17-G18-G19</f>
        <v>32382434.29146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605" t="s">
        <v>140</v>
      </c>
      <c r="C21" s="606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99" t="s">
        <v>141</v>
      </c>
      <c r="C22" s="600"/>
      <c r="D22" s="83">
        <f>D21</f>
        <v>-6178491</v>
      </c>
      <c r="E22" s="77">
        <f t="shared" ref="E22:F22" si="2">E20+E21</f>
        <v>-1751073.6372000035</v>
      </c>
      <c r="F22" s="77">
        <f t="shared" si="2"/>
        <v>14037557.837420003</v>
      </c>
      <c r="G22" s="78">
        <f>G20+G21</f>
        <v>31198595.29146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-379976.66377979895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1.0413461767448546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  <mergeCell ref="B22:C22"/>
    <mergeCell ref="B21:C21"/>
    <mergeCell ref="B20:C20"/>
    <mergeCell ref="B19:C19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tabSelected="1" workbookViewId="0">
      <selection activeCell="I31" sqref="I31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" x14ac:dyDescent="0.25">
      <c r="A2" s="1"/>
      <c r="B2" s="1"/>
      <c r="C2" s="1"/>
      <c r="D2" s="1"/>
      <c r="E2" s="1"/>
      <c r="F2" s="1"/>
      <c r="G2" s="1"/>
      <c r="H2" s="146"/>
      <c r="I2" s="583" t="s">
        <v>239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612"/>
      <c r="J3" s="146"/>
      <c r="K3" s="146"/>
      <c r="L3" s="146"/>
      <c r="M3" s="146"/>
    </row>
    <row r="4" spans="1:13" ht="15.75" thickBot="1" x14ac:dyDescent="0.3">
      <c r="A4" s="1"/>
      <c r="B4" s="1"/>
      <c r="C4" s="1"/>
      <c r="D4" s="1"/>
      <c r="E4" s="1"/>
      <c r="F4" s="1"/>
      <c r="G4" s="1"/>
      <c r="H4" s="146"/>
      <c r="I4" s="613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176" t="s">
        <v>147</v>
      </c>
      <c r="J5" s="146"/>
      <c r="K5" s="146"/>
      <c r="L5" s="146"/>
      <c r="M5" s="146"/>
    </row>
    <row r="6" spans="1:13" ht="15" x14ac:dyDescent="0.25">
      <c r="A6" s="1"/>
      <c r="B6" s="1"/>
      <c r="C6" s="1"/>
      <c r="D6" s="1"/>
      <c r="E6" s="1"/>
      <c r="F6" s="1"/>
      <c r="G6" s="1"/>
      <c r="H6" s="146"/>
      <c r="I6" s="586" t="s">
        <v>165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612"/>
      <c r="J7" s="146"/>
      <c r="K7" s="146"/>
      <c r="L7" s="146"/>
      <c r="M7" s="146"/>
    </row>
    <row r="8" spans="1:13" ht="15.75" thickBot="1" x14ac:dyDescent="0.3">
      <c r="A8" s="1"/>
      <c r="B8" s="1"/>
      <c r="C8" s="1"/>
      <c r="D8" s="1"/>
      <c r="E8" s="1"/>
      <c r="F8" s="1"/>
      <c r="G8" s="1"/>
      <c r="H8" s="146"/>
      <c r="I8" s="613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176" t="s">
        <v>148</v>
      </c>
      <c r="J9" s="146"/>
      <c r="K9" s="146"/>
      <c r="L9" s="146"/>
      <c r="M9" s="146"/>
    </row>
    <row r="10" spans="1:13" ht="27" thickBot="1" x14ac:dyDescent="0.45">
      <c r="A10" s="1"/>
      <c r="B10" s="540" t="s">
        <v>131</v>
      </c>
      <c r="C10" s="541"/>
      <c r="D10" s="541"/>
      <c r="E10" s="541"/>
      <c r="F10" s="541"/>
      <c r="G10" s="542"/>
      <c r="H10" s="146"/>
      <c r="I10" s="583" t="s">
        <v>267</v>
      </c>
      <c r="J10" s="146"/>
      <c r="K10" s="146"/>
      <c r="L10" s="146"/>
      <c r="M10" s="146"/>
    </row>
    <row r="11" spans="1:13" ht="15.75" thickBot="1" x14ac:dyDescent="0.3">
      <c r="A11" s="1"/>
      <c r="B11" s="587" t="s">
        <v>133</v>
      </c>
      <c r="C11" s="588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614"/>
      <c r="J11" s="146"/>
      <c r="K11" s="146"/>
      <c r="L11" s="146"/>
      <c r="M11" s="146"/>
    </row>
    <row r="12" spans="1:13" ht="15" x14ac:dyDescent="0.25">
      <c r="A12" s="1"/>
      <c r="B12" s="590" t="s">
        <v>51</v>
      </c>
      <c r="C12" s="591"/>
      <c r="D12" s="72" t="s">
        <v>125</v>
      </c>
      <c r="E12" s="109">
        <f>'Escenario 3'!E12</f>
        <v>27200000</v>
      </c>
      <c r="F12" s="109">
        <f>'Escenario 3'!F12</f>
        <v>65841000</v>
      </c>
      <c r="G12" s="109">
        <f>'Escenario 3'!G12</f>
        <v>106920000</v>
      </c>
      <c r="H12" s="146"/>
      <c r="J12" s="146"/>
      <c r="K12" s="146"/>
      <c r="L12" s="146"/>
      <c r="M12" s="146"/>
    </row>
    <row r="13" spans="1:13" ht="15" x14ac:dyDescent="0.25">
      <c r="A13" s="1"/>
      <c r="B13" s="592" t="s">
        <v>135</v>
      </c>
      <c r="C13" s="595" t="s">
        <v>132</v>
      </c>
      <c r="D13" s="597" t="s">
        <v>125</v>
      </c>
      <c r="E13" s="581">
        <f>'Costos fijos'!P15</f>
        <v>5450400</v>
      </c>
      <c r="F13" s="581">
        <f>'Costos fijos'!P24</f>
        <v>15530400</v>
      </c>
      <c r="G13" s="581">
        <f>'Costos fijos'!P33</f>
        <v>26604000</v>
      </c>
      <c r="H13" s="146"/>
      <c r="I13" s="290" t="s">
        <v>151</v>
      </c>
      <c r="J13" s="146"/>
      <c r="K13" s="146"/>
      <c r="L13" s="146"/>
      <c r="M13" s="146"/>
    </row>
    <row r="14" spans="1:13" ht="15" x14ac:dyDescent="0.25">
      <c r="A14" s="1"/>
      <c r="B14" s="593"/>
      <c r="C14" s="596"/>
      <c r="D14" s="598"/>
      <c r="E14" s="582"/>
      <c r="F14" s="582"/>
      <c r="G14" s="582"/>
      <c r="H14" s="146"/>
      <c r="I14" s="615" t="s">
        <v>325</v>
      </c>
      <c r="J14" s="146"/>
      <c r="K14" s="146"/>
      <c r="L14" s="146"/>
      <c r="M14" s="146"/>
    </row>
    <row r="15" spans="1:13" ht="15" x14ac:dyDescent="0.25">
      <c r="A15" s="93"/>
      <c r="B15" s="593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  * 0.9</f>
        <v>16002000</v>
      </c>
      <c r="H15" s="146"/>
      <c r="I15" s="610"/>
      <c r="J15" s="146"/>
      <c r="K15" s="146"/>
      <c r="L15" s="146"/>
      <c r="M15" s="146"/>
    </row>
    <row r="16" spans="1:13" ht="15.75" thickBot="1" x14ac:dyDescent="0.3">
      <c r="A16" s="1"/>
      <c r="B16" s="594"/>
      <c r="C16" s="357" t="s">
        <v>120</v>
      </c>
      <c r="D16" s="74" t="s">
        <v>125</v>
      </c>
      <c r="E16" s="75">
        <f>'Costos RRHH'!AA30</f>
        <v>13304673.637200003</v>
      </c>
      <c r="F16" s="75">
        <f>'Costos RRHH'!AA42 * 0.9</f>
        <v>16818003.842039999</v>
      </c>
      <c r="G16" s="75">
        <f>'Costos RRHH'!AA54 * 0.8</f>
        <v>17289936.8288</v>
      </c>
      <c r="H16" s="146"/>
      <c r="I16" s="610"/>
      <c r="J16" s="146"/>
      <c r="K16" s="146"/>
      <c r="L16" s="146"/>
      <c r="M16" s="146"/>
    </row>
    <row r="17" spans="1:15" ht="15.75" thickBot="1" x14ac:dyDescent="0.3">
      <c r="A17" s="1"/>
      <c r="B17" s="599" t="s">
        <v>136</v>
      </c>
      <c r="C17" s="600"/>
      <c r="D17" s="76" t="s">
        <v>125</v>
      </c>
      <c r="E17" s="77">
        <f>E12-E13-E15-E14-E16</f>
        <v>-185073.63720000349</v>
      </c>
      <c r="F17" s="77">
        <f t="shared" ref="F17:G17" si="0">F12-F13-F15-F14-F16</f>
        <v>19082596.157960001</v>
      </c>
      <c r="G17" s="77">
        <f t="shared" si="0"/>
        <v>47024063.1712</v>
      </c>
      <c r="H17" s="146"/>
      <c r="I17" s="610"/>
      <c r="J17" s="146"/>
      <c r="K17" s="146"/>
      <c r="L17" s="146"/>
      <c r="M17" s="146"/>
    </row>
    <row r="18" spans="1:15" ht="15" x14ac:dyDescent="0.25">
      <c r="A18" s="1"/>
      <c r="B18" s="601" t="s">
        <v>137</v>
      </c>
      <c r="C18" s="602"/>
      <c r="D18" s="72" t="s">
        <v>125</v>
      </c>
      <c r="E18" s="73">
        <f>E12*0.03</f>
        <v>816000</v>
      </c>
      <c r="F18" s="73">
        <f>F12*0.03</f>
        <v>1975230</v>
      </c>
      <c r="G18" s="79">
        <f t="shared" ref="G18" si="1">G12*0.03</f>
        <v>3207600</v>
      </c>
      <c r="H18" s="320"/>
      <c r="I18" s="610"/>
      <c r="J18" s="146"/>
      <c r="K18" s="146"/>
      <c r="L18" s="146"/>
      <c r="M18" s="146"/>
    </row>
    <row r="19" spans="1:15" ht="15.75" thickBot="1" x14ac:dyDescent="0.3">
      <c r="A19" s="1"/>
      <c r="B19" s="603" t="s">
        <v>138</v>
      </c>
      <c r="C19" s="604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5987578.1552860001</v>
      </c>
      <c r="H19" s="320"/>
      <c r="I19" s="610"/>
      <c r="J19" s="146"/>
      <c r="K19" s="146"/>
      <c r="L19" s="146"/>
      <c r="M19" s="146"/>
    </row>
    <row r="20" spans="1:15" ht="15.75" thickBot="1" x14ac:dyDescent="0.3">
      <c r="A20" s="1"/>
      <c r="B20" s="599" t="s">
        <v>139</v>
      </c>
      <c r="C20" s="600"/>
      <c r="D20" s="76" t="s">
        <v>125</v>
      </c>
      <c r="E20" s="77">
        <f>E17-E18-E19</f>
        <v>-1001073.6372000035</v>
      </c>
      <c r="F20" s="77">
        <f>F17-F18-F19</f>
        <v>17457741.930980004</v>
      </c>
      <c r="G20" s="78">
        <f>G17-G18-G19</f>
        <v>37828885.015914001</v>
      </c>
      <c r="H20" s="320"/>
      <c r="I20" s="610"/>
      <c r="J20" s="146"/>
      <c r="K20" s="146"/>
      <c r="L20" s="146"/>
      <c r="M20" s="146"/>
    </row>
    <row r="21" spans="1:15" ht="15.75" thickBot="1" x14ac:dyDescent="0.3">
      <c r="A21" s="1"/>
      <c r="B21" s="605" t="s">
        <v>140</v>
      </c>
      <c r="C21" s="606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610"/>
      <c r="J21" s="146"/>
      <c r="K21" s="146"/>
      <c r="L21" s="146"/>
      <c r="M21" s="146"/>
    </row>
    <row r="22" spans="1:15" ht="15.75" thickBot="1" x14ac:dyDescent="0.3">
      <c r="A22" s="1"/>
      <c r="B22" s="599" t="s">
        <v>141</v>
      </c>
      <c r="C22" s="600"/>
      <c r="D22" s="83">
        <f>D21</f>
        <v>-6178491</v>
      </c>
      <c r="E22" s="77">
        <f t="shared" ref="E22:F22" si="2">E20+E21</f>
        <v>-1751073.6372000035</v>
      </c>
      <c r="F22" s="77">
        <f t="shared" si="2"/>
        <v>15906224.930980004</v>
      </c>
      <c r="G22" s="78">
        <f>G20+G21</f>
        <v>36645046.015914001</v>
      </c>
      <c r="H22" s="320"/>
      <c r="I22" s="61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611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11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291" t="s">
        <v>89</v>
      </c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607" t="s">
        <v>238</v>
      </c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62942.82644419498</v>
      </c>
      <c r="H27" s="320"/>
      <c r="I27" s="608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1.1672377178681539</v>
      </c>
      <c r="H28" s="320"/>
      <c r="I28" s="609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20">
    <mergeCell ref="I26:I28"/>
    <mergeCell ref="I14:I23"/>
    <mergeCell ref="I2:I4"/>
    <mergeCell ref="I6:I8"/>
    <mergeCell ref="I10:I11"/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2022-11-07T13:33:49Z</dcterms:modified>
</cp:coreProperties>
</file>