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ranc\OneDrive\Escritorio\Excel\Chandoo Excel\"/>
    </mc:Choice>
  </mc:AlternateContent>
  <xr:revisionPtr revIDLastSave="0" documentId="13_ncr:1_{74686B65-537C-4904-9E98-D0614F660D04}" xr6:coauthVersionLast="47" xr6:coauthVersionMax="47" xr10:uidLastSave="{00000000-0000-0000-0000-000000000000}"/>
  <bookViews>
    <workbookView xWindow="0" yWindow="0" windowWidth="20490" windowHeight="10920" firstSheet="3" activeTab="7" xr2:uid="{26D4546B-D2A1-4444-8EAF-A6228F96F0C1}"/>
  </bookViews>
  <sheets>
    <sheet name="New Zealand Staff" sheetId="1" state="hidden" r:id="rId1"/>
    <sheet name="India Staff" sheetId="2" state="hidden" r:id="rId2"/>
    <sheet name="Todos los Empleados" sheetId="4" r:id="rId3"/>
    <sheet name="Salary Distribution" sheetId="8" r:id="rId4"/>
    <sheet name="Male vs Female" sheetId="6" r:id="rId5"/>
    <sheet name="Salary vs Rating" sheetId="11" r:id="rId6"/>
    <sheet name="Cantidad de Empleados" sheetId="12" r:id="rId7"/>
    <sheet name="India vs NZ" sheetId="13" r:id="rId8"/>
    <sheet name="Empleados por Departamento" sheetId="17" r:id="rId9"/>
  </sheets>
  <definedNames>
    <definedName name="_xlnm._FilterDatabase" localSheetId="1" hidden="1">'India Staff'!$B$2:$H$2</definedName>
    <definedName name="_xlnm._FilterDatabase" localSheetId="0" hidden="1">'New Zealand Staff'!$C$5:$I$96</definedName>
    <definedName name="_xlchart.v1.0" hidden="1">'Todos los Empleados'!$F$2:$F$184</definedName>
    <definedName name="_xlchart.v1.1" hidden="1">'Todos los Empleados'!$F$2:$F$184</definedName>
    <definedName name="_xlcn.WorksheetConnection_blankdatafile.xlsxallstaff" hidden="1">allstaff[]</definedName>
    <definedName name="DatosExternos_1" localSheetId="2" hidden="1">'Todos los Empleados'!$A$1:$H$184</definedName>
    <definedName name="SegmentaciónDeDatos_Country">#N/A</definedName>
  </definedNames>
  <calcPr calcId="191029"/>
  <pivotCaches>
    <pivotCache cacheId="5" r:id="rId10"/>
    <pivotCache cacheId="8" r:id="rId11"/>
    <pivotCache cacheId="14" r:id="rId12"/>
  </pivotCaches>
  <extLst>
    <ext xmlns:x14="http://schemas.microsoft.com/office/spreadsheetml/2009/9/main" uri="{BBE1A952-AA13-448e-AADC-164F8A28A991}">
      <x14:slicerCaches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llstaff" name="allstaff" connection="WorksheetConnection_blank-data-file.xlsx!allstaff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5" i="4" l="1"/>
  <c r="C185" i="4"/>
  <c r="D185" i="4"/>
  <c r="F185" i="4"/>
  <c r="I20" i="4"/>
  <c r="I99" i="4"/>
  <c r="I149" i="4"/>
  <c r="I10" i="4"/>
  <c r="J10" i="4" s="1"/>
  <c r="I145" i="4"/>
  <c r="J145" i="4" s="1"/>
  <c r="I25" i="4"/>
  <c r="I159" i="4"/>
  <c r="I123" i="4"/>
  <c r="J123" i="4" s="1"/>
  <c r="I22" i="4"/>
  <c r="J22" i="4" s="1"/>
  <c r="I143" i="4"/>
  <c r="I2" i="4"/>
  <c r="I27" i="4"/>
  <c r="J27" i="4" s="1"/>
  <c r="I117" i="4"/>
  <c r="I107" i="4"/>
  <c r="I33" i="4"/>
  <c r="I167" i="4"/>
  <c r="J167" i="4" s="1"/>
  <c r="I49" i="4"/>
  <c r="I177" i="4"/>
  <c r="I137" i="4"/>
  <c r="I171" i="4"/>
  <c r="J171" i="4" s="1"/>
  <c r="I87" i="4"/>
  <c r="J87" i="4" s="1"/>
  <c r="I133" i="4"/>
  <c r="I113" i="4"/>
  <c r="I135" i="4"/>
  <c r="J135" i="4" s="1"/>
  <c r="I155" i="4"/>
  <c r="J155" i="4" s="1"/>
  <c r="I121" i="4"/>
  <c r="I93" i="4"/>
  <c r="I67" i="4"/>
  <c r="J67" i="4" s="1"/>
  <c r="I181" i="4"/>
  <c r="I85" i="4"/>
  <c r="I127" i="4"/>
  <c r="I89" i="4"/>
  <c r="J89" i="4" s="1"/>
  <c r="I8" i="4"/>
  <c r="I79" i="4"/>
  <c r="I29" i="4"/>
  <c r="I153" i="4"/>
  <c r="J153" i="4" s="1"/>
  <c r="I47" i="4"/>
  <c r="J47" i="4" s="1"/>
  <c r="I53" i="4"/>
  <c r="I43" i="4"/>
  <c r="I157" i="4"/>
  <c r="J157" i="4" s="1"/>
  <c r="I151" i="4"/>
  <c r="J151" i="4" s="1"/>
  <c r="I81" i="4"/>
  <c r="I69" i="4"/>
  <c r="I73" i="4"/>
  <c r="J73" i="4" s="1"/>
  <c r="I57" i="4"/>
  <c r="I77" i="4"/>
  <c r="I109" i="4"/>
  <c r="I75" i="4"/>
  <c r="J75" i="4" s="1"/>
  <c r="I131" i="4"/>
  <c r="I4" i="4"/>
  <c r="I161" i="4"/>
  <c r="I165" i="4"/>
  <c r="J165" i="4" s="1"/>
  <c r="I12" i="4"/>
  <c r="J12" i="4" s="1"/>
  <c r="I103" i="4"/>
  <c r="I97" i="4"/>
  <c r="I31" i="4"/>
  <c r="J31" i="4" s="1"/>
  <c r="I18" i="4"/>
  <c r="I105" i="4"/>
  <c r="I6" i="4"/>
  <c r="I83" i="4"/>
  <c r="J83" i="4" s="1"/>
  <c r="I14" i="4"/>
  <c r="I61" i="4"/>
  <c r="I37" i="4"/>
  <c r="I141" i="4"/>
  <c r="J141" i="4" s="1"/>
  <c r="I63" i="4"/>
  <c r="I139" i="4"/>
  <c r="I55" i="4"/>
  <c r="I115" i="4"/>
  <c r="J115" i="4" s="1"/>
  <c r="I163" i="4"/>
  <c r="J163" i="4" s="1"/>
  <c r="I125" i="4"/>
  <c r="I41" i="4"/>
  <c r="I65" i="4"/>
  <c r="J65" i="4" s="1"/>
  <c r="I45" i="4"/>
  <c r="I16" i="4"/>
  <c r="I183" i="4"/>
  <c r="I35" i="4"/>
  <c r="J35" i="4" s="1"/>
  <c r="I175" i="4"/>
  <c r="I59" i="4"/>
  <c r="I179" i="4"/>
  <c r="I39" i="4"/>
  <c r="J39" i="4" s="1"/>
  <c r="I51" i="4"/>
  <c r="I71" i="4"/>
  <c r="I169" i="4"/>
  <c r="I129" i="4"/>
  <c r="J129" i="4" s="1"/>
  <c r="I119" i="4"/>
  <c r="J119" i="4" s="1"/>
  <c r="I173" i="4"/>
  <c r="I91" i="4"/>
  <c r="I95" i="4"/>
  <c r="J95" i="4" s="1"/>
  <c r="I111" i="4"/>
  <c r="I101" i="4"/>
  <c r="I146" i="4"/>
  <c r="I15" i="4"/>
  <c r="J15" i="4" s="1"/>
  <c r="I26" i="4"/>
  <c r="I17" i="4"/>
  <c r="I104" i="4"/>
  <c r="I170" i="4"/>
  <c r="J170" i="4" s="1"/>
  <c r="I70" i="4"/>
  <c r="I94" i="4"/>
  <c r="I62" i="4"/>
  <c r="I138" i="4"/>
  <c r="J138" i="4" s="1"/>
  <c r="I100" i="4"/>
  <c r="J100" i="4" s="1"/>
  <c r="I78" i="4"/>
  <c r="I102" i="4"/>
  <c r="I176" i="4"/>
  <c r="J176" i="4" s="1"/>
  <c r="I30" i="4"/>
  <c r="I44" i="4"/>
  <c r="I154" i="4"/>
  <c r="I23" i="4"/>
  <c r="J23" i="4" s="1"/>
  <c r="I108" i="4"/>
  <c r="I112" i="4"/>
  <c r="I160" i="4"/>
  <c r="I76" i="4"/>
  <c r="J76" i="4" s="1"/>
  <c r="I74" i="4"/>
  <c r="I46" i="4"/>
  <c r="I184" i="4"/>
  <c r="I126" i="4"/>
  <c r="J126" i="4" s="1"/>
  <c r="I136" i="4"/>
  <c r="J136" i="4" s="1"/>
  <c r="I134" i="4"/>
  <c r="I42" i="4"/>
  <c r="I48" i="4"/>
  <c r="J48" i="4" s="1"/>
  <c r="I180" i="4"/>
  <c r="I128" i="4"/>
  <c r="I174" i="4"/>
  <c r="I19" i="4"/>
  <c r="J19" i="4" s="1"/>
  <c r="I52" i="4"/>
  <c r="I122" i="4"/>
  <c r="I156" i="4"/>
  <c r="I110" i="4"/>
  <c r="J110" i="4" s="1"/>
  <c r="I82" i="4"/>
  <c r="I158" i="4"/>
  <c r="I144" i="4"/>
  <c r="I80" i="4"/>
  <c r="J80" i="4" s="1"/>
  <c r="I38" i="4"/>
  <c r="J38" i="4" s="1"/>
  <c r="I147" i="4"/>
  <c r="I72" i="4"/>
  <c r="I34" i="4"/>
  <c r="J34" i="4" s="1"/>
  <c r="I7" i="4"/>
  <c r="I84" i="4"/>
  <c r="I21" i="4"/>
  <c r="I58" i="4"/>
  <c r="J58" i="4" s="1"/>
  <c r="I36" i="4"/>
  <c r="I152" i="4"/>
  <c r="I148" i="4"/>
  <c r="I166" i="4"/>
  <c r="J166" i="4" s="1"/>
  <c r="I114" i="4"/>
  <c r="I96" i="4"/>
  <c r="I118" i="4"/>
  <c r="I40" i="4"/>
  <c r="J40" i="4" s="1"/>
  <c r="I32" i="4"/>
  <c r="J32" i="4" s="1"/>
  <c r="I90" i="4"/>
  <c r="I150" i="4"/>
  <c r="I168" i="4"/>
  <c r="J168" i="4" s="1"/>
  <c r="I66" i="4"/>
  <c r="I68" i="4"/>
  <c r="I98" i="4"/>
  <c r="I140" i="4"/>
  <c r="J140" i="4" s="1"/>
  <c r="I116" i="4"/>
  <c r="I92" i="4"/>
  <c r="I132" i="4"/>
  <c r="I106" i="4"/>
  <c r="J106" i="4" s="1"/>
  <c r="I64" i="4"/>
  <c r="I50" i="4"/>
  <c r="I130" i="4"/>
  <c r="I88" i="4"/>
  <c r="J88" i="4" s="1"/>
  <c r="I60" i="4"/>
  <c r="J60" i="4" s="1"/>
  <c r="I164" i="4"/>
  <c r="I56" i="4"/>
  <c r="I54" i="4"/>
  <c r="J54" i="4" s="1"/>
  <c r="I86" i="4"/>
  <c r="I24" i="4"/>
  <c r="I28" i="4"/>
  <c r="I9" i="4"/>
  <c r="J9" i="4" s="1"/>
  <c r="I124" i="4"/>
  <c r="I11" i="4"/>
  <c r="I172" i="4"/>
  <c r="I142" i="4"/>
  <c r="J142" i="4" s="1"/>
  <c r="I3" i="4"/>
  <c r="I178" i="4"/>
  <c r="I13" i="4"/>
  <c r="I120" i="4"/>
  <c r="J120" i="4" s="1"/>
  <c r="I162" i="4"/>
  <c r="J162" i="4" s="1"/>
  <c r="I182" i="4"/>
  <c r="I5" i="4"/>
  <c r="J20" i="4"/>
  <c r="J99" i="4"/>
  <c r="J149" i="4"/>
  <c r="J25" i="4"/>
  <c r="J159" i="4"/>
  <c r="J143" i="4"/>
  <c r="J2" i="4"/>
  <c r="J117" i="4"/>
  <c r="J107" i="4"/>
  <c r="J33" i="4"/>
  <c r="J49" i="4"/>
  <c r="J177" i="4"/>
  <c r="J137" i="4"/>
  <c r="J133" i="4"/>
  <c r="J113" i="4"/>
  <c r="J121" i="4"/>
  <c r="J93" i="4"/>
  <c r="J181" i="4"/>
  <c r="J85" i="4"/>
  <c r="J127" i="4"/>
  <c r="J8" i="4"/>
  <c r="J79" i="4"/>
  <c r="J29" i="4"/>
  <c r="J53" i="4"/>
  <c r="J43" i="4"/>
  <c r="J81" i="4"/>
  <c r="J69" i="4"/>
  <c r="J57" i="4"/>
  <c r="J77" i="4"/>
  <c r="J109" i="4"/>
  <c r="J131" i="4"/>
  <c r="J4" i="4"/>
  <c r="J161" i="4"/>
  <c r="J103" i="4"/>
  <c r="J97" i="4"/>
  <c r="J18" i="4"/>
  <c r="J105" i="4"/>
  <c r="J6" i="4"/>
  <c r="J14" i="4"/>
  <c r="J61" i="4"/>
  <c r="J37" i="4"/>
  <c r="J63" i="4"/>
  <c r="J139" i="4"/>
  <c r="J55" i="4"/>
  <c r="J125" i="4"/>
  <c r="J41" i="4"/>
  <c r="J45" i="4"/>
  <c r="J16" i="4"/>
  <c r="J183" i="4"/>
  <c r="J175" i="4"/>
  <c r="J59" i="4"/>
  <c r="J179" i="4"/>
  <c r="J51" i="4"/>
  <c r="J71" i="4"/>
  <c r="J169" i="4"/>
  <c r="J173" i="4"/>
  <c r="J91" i="4"/>
  <c r="J111" i="4"/>
  <c r="J101" i="4"/>
  <c r="J146" i="4"/>
  <c r="J26" i="4"/>
  <c r="J17" i="4"/>
  <c r="J104" i="4"/>
  <c r="J70" i="4"/>
  <c r="J94" i="4"/>
  <c r="J62" i="4"/>
  <c r="J78" i="4"/>
  <c r="J102" i="4"/>
  <c r="J30" i="4"/>
  <c r="J44" i="4"/>
  <c r="J154" i="4"/>
  <c r="J108" i="4"/>
  <c r="J112" i="4"/>
  <c r="J160" i="4"/>
  <c r="J74" i="4"/>
  <c r="J46" i="4"/>
  <c r="J184" i="4"/>
  <c r="J134" i="4"/>
  <c r="J42" i="4"/>
  <c r="J180" i="4"/>
  <c r="J128" i="4"/>
  <c r="J174" i="4"/>
  <c r="J52" i="4"/>
  <c r="J122" i="4"/>
  <c r="J156" i="4"/>
  <c r="J82" i="4"/>
  <c r="J158" i="4"/>
  <c r="J144" i="4"/>
  <c r="J147" i="4"/>
  <c r="J72" i="4"/>
  <c r="J7" i="4"/>
  <c r="J84" i="4"/>
  <c r="J21" i="4"/>
  <c r="J36" i="4"/>
  <c r="J152" i="4"/>
  <c r="J148" i="4"/>
  <c r="J114" i="4"/>
  <c r="J96" i="4"/>
  <c r="J118" i="4"/>
  <c r="J90" i="4"/>
  <c r="J150" i="4"/>
  <c r="J66" i="4"/>
  <c r="J68" i="4"/>
  <c r="J98" i="4"/>
  <c r="J116" i="4"/>
  <c r="J92" i="4"/>
  <c r="J132" i="4"/>
  <c r="J64" i="4"/>
  <c r="J50" i="4"/>
  <c r="J130" i="4"/>
  <c r="J164" i="4"/>
  <c r="J56" i="4"/>
  <c r="J86" i="4"/>
  <c r="J24" i="4"/>
  <c r="J28" i="4"/>
  <c r="J124" i="4"/>
  <c r="J11" i="4"/>
  <c r="J172" i="4"/>
  <c r="J3" i="4"/>
  <c r="J178" i="4"/>
  <c r="J13" i="4"/>
  <c r="J182" i="4"/>
  <c r="J5" i="4"/>
  <c r="K20" i="4"/>
  <c r="K99" i="4"/>
  <c r="K149" i="4"/>
  <c r="K10" i="4"/>
  <c r="K145" i="4"/>
  <c r="K25" i="4"/>
  <c r="K159" i="4"/>
  <c r="K123" i="4"/>
  <c r="K22" i="4"/>
  <c r="K143" i="4"/>
  <c r="K2" i="4"/>
  <c r="K27" i="4"/>
  <c r="K117" i="4"/>
  <c r="K107" i="4"/>
  <c r="K33" i="4"/>
  <c r="K167" i="4"/>
  <c r="K49" i="4"/>
  <c r="K177" i="4"/>
  <c r="K137" i="4"/>
  <c r="K171" i="4"/>
  <c r="K87" i="4"/>
  <c r="K133" i="4"/>
  <c r="K113" i="4"/>
  <c r="K135" i="4"/>
  <c r="K155" i="4"/>
  <c r="K121" i="4"/>
  <c r="K93" i="4"/>
  <c r="K67" i="4"/>
  <c r="K181" i="4"/>
  <c r="K85" i="4"/>
  <c r="K127" i="4"/>
  <c r="K89" i="4"/>
  <c r="K8" i="4"/>
  <c r="K79" i="4"/>
  <c r="K29" i="4"/>
  <c r="K153" i="4"/>
  <c r="K47" i="4"/>
  <c r="K53" i="4"/>
  <c r="K43" i="4"/>
  <c r="K157" i="4"/>
  <c r="K151" i="4"/>
  <c r="K81" i="4"/>
  <c r="K69" i="4"/>
  <c r="K73" i="4"/>
  <c r="K57" i="4"/>
  <c r="K77" i="4"/>
  <c r="K109" i="4"/>
  <c r="K75" i="4"/>
  <c r="K131" i="4"/>
  <c r="K4" i="4"/>
  <c r="K161" i="4"/>
  <c r="K165" i="4"/>
  <c r="K12" i="4"/>
  <c r="K103" i="4"/>
  <c r="K97" i="4"/>
  <c r="K31" i="4"/>
  <c r="K18" i="4"/>
  <c r="K105" i="4"/>
  <c r="K6" i="4"/>
  <c r="K83" i="4"/>
  <c r="K14" i="4"/>
  <c r="K61" i="4"/>
  <c r="K37" i="4"/>
  <c r="K141" i="4"/>
  <c r="K63" i="4"/>
  <c r="K139" i="4"/>
  <c r="K55" i="4"/>
  <c r="K115" i="4"/>
  <c r="K163" i="4"/>
  <c r="K125" i="4"/>
  <c r="K41" i="4"/>
  <c r="K65" i="4"/>
  <c r="K45" i="4"/>
  <c r="K16" i="4"/>
  <c r="K183" i="4"/>
  <c r="K35" i="4"/>
  <c r="K175" i="4"/>
  <c r="K59" i="4"/>
  <c r="K179" i="4"/>
  <c r="K39" i="4"/>
  <c r="K51" i="4"/>
  <c r="K71" i="4"/>
  <c r="K169" i="4"/>
  <c r="K129" i="4"/>
  <c r="K119" i="4"/>
  <c r="K173" i="4"/>
  <c r="K91" i="4"/>
  <c r="K95" i="4"/>
  <c r="K111" i="4"/>
  <c r="K101" i="4"/>
  <c r="K146" i="4"/>
  <c r="K15" i="4"/>
  <c r="K26" i="4"/>
  <c r="K17" i="4"/>
  <c r="K104" i="4"/>
  <c r="K170" i="4"/>
  <c r="K70" i="4"/>
  <c r="K94" i="4"/>
  <c r="K62" i="4"/>
  <c r="K138" i="4"/>
  <c r="K100" i="4"/>
  <c r="K78" i="4"/>
  <c r="K102" i="4"/>
  <c r="K176" i="4"/>
  <c r="K30" i="4"/>
  <c r="K44" i="4"/>
  <c r="K154" i="4"/>
  <c r="K23" i="4"/>
  <c r="K108" i="4"/>
  <c r="K112" i="4"/>
  <c r="K160" i="4"/>
  <c r="K76" i="4"/>
  <c r="K74" i="4"/>
  <c r="K46" i="4"/>
  <c r="K184" i="4"/>
  <c r="K126" i="4"/>
  <c r="K136" i="4"/>
  <c r="K134" i="4"/>
  <c r="K42" i="4"/>
  <c r="K48" i="4"/>
  <c r="K180" i="4"/>
  <c r="K128" i="4"/>
  <c r="K174" i="4"/>
  <c r="K19" i="4"/>
  <c r="K52" i="4"/>
  <c r="K122" i="4"/>
  <c r="K156" i="4"/>
  <c r="K110" i="4"/>
  <c r="K82" i="4"/>
  <c r="K158" i="4"/>
  <c r="K144" i="4"/>
  <c r="K80" i="4"/>
  <c r="K38" i="4"/>
  <c r="K147" i="4"/>
  <c r="K72" i="4"/>
  <c r="K34" i="4"/>
  <c r="K7" i="4"/>
  <c r="K84" i="4"/>
  <c r="K21" i="4"/>
  <c r="K58" i="4"/>
  <c r="K36" i="4"/>
  <c r="K152" i="4"/>
  <c r="K148" i="4"/>
  <c r="K166" i="4"/>
  <c r="K114" i="4"/>
  <c r="K96" i="4"/>
  <c r="K118" i="4"/>
  <c r="K40" i="4"/>
  <c r="K32" i="4"/>
  <c r="K90" i="4"/>
  <c r="K150" i="4"/>
  <c r="K168" i="4"/>
  <c r="K66" i="4"/>
  <c r="K68" i="4"/>
  <c r="K98" i="4"/>
  <c r="K140" i="4"/>
  <c r="K116" i="4"/>
  <c r="K92" i="4"/>
  <c r="K132" i="4"/>
  <c r="K106" i="4"/>
  <c r="K64" i="4"/>
  <c r="K50" i="4"/>
  <c r="K130" i="4"/>
  <c r="K88" i="4"/>
  <c r="K60" i="4"/>
  <c r="K164" i="4"/>
  <c r="K56" i="4"/>
  <c r="K54" i="4"/>
  <c r="K86" i="4"/>
  <c r="K24" i="4"/>
  <c r="K28" i="4"/>
  <c r="K9" i="4"/>
  <c r="K124" i="4"/>
  <c r="K11" i="4"/>
  <c r="K172" i="4"/>
  <c r="K142" i="4"/>
  <c r="K3" i="4"/>
  <c r="K178" i="4"/>
  <c r="K13" i="4"/>
  <c r="K120" i="4"/>
  <c r="K162" i="4"/>
  <c r="K182" i="4"/>
  <c r="K5" i="4"/>
  <c r="N3" i="13"/>
  <c r="G3" i="13"/>
  <c r="J3" i="13"/>
  <c r="L3" i="13" s="1"/>
  <c r="C3" i="13"/>
  <c r="E3" i="13" s="1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23" i="12"/>
  <c r="N19" i="4"/>
  <c r="N18" i="4"/>
  <c r="N17" i="4"/>
  <c r="N16" i="4"/>
  <c r="N15" i="4"/>
  <c r="N14" i="4"/>
  <c r="N13" i="4"/>
  <c r="O5" i="4"/>
  <c r="N5" i="4"/>
  <c r="O4" i="4"/>
  <c r="N4" i="4"/>
  <c r="N3" i="4"/>
  <c r="N7" i="4" s="1"/>
  <c r="J97" i="1"/>
  <c r="D95" i="2"/>
  <c r="F97" i="1"/>
  <c r="H97" i="1"/>
  <c r="I97" i="1"/>
  <c r="H95" i="2"/>
  <c r="H24" i="12" l="1"/>
  <c r="K185" i="4"/>
  <c r="H23" i="12"/>
  <c r="H55" i="12"/>
  <c r="H51" i="12"/>
  <c r="H47" i="12"/>
  <c r="H43" i="12"/>
  <c r="H39" i="12"/>
  <c r="H35" i="12"/>
  <c r="H31" i="12"/>
  <c r="H27" i="12"/>
  <c r="H58" i="12"/>
  <c r="H54" i="12"/>
  <c r="H50" i="12"/>
  <c r="H46" i="12"/>
  <c r="H42" i="12"/>
  <c r="H38" i="12"/>
  <c r="H34" i="12"/>
  <c r="H30" i="12"/>
  <c r="H26" i="12"/>
  <c r="H57" i="12"/>
  <c r="H53" i="12"/>
  <c r="H49" i="12"/>
  <c r="H45" i="12"/>
  <c r="H41" i="12"/>
  <c r="H37" i="12"/>
  <c r="H33" i="12"/>
  <c r="H29" i="12"/>
  <c r="H25" i="12"/>
  <c r="H56" i="12"/>
  <c r="H52" i="12"/>
  <c r="H48" i="12"/>
  <c r="H44" i="12"/>
  <c r="H40" i="12"/>
  <c r="H36" i="12"/>
  <c r="H32" i="12"/>
  <c r="H28" i="12"/>
  <c r="O9" i="4"/>
  <c r="N20" i="4"/>
  <c r="N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89175F-B8A6-4FF6-8D90-F2E99EB08E50}" keepAlive="1" name="Consulta - allstaff" description="Conexión a la consulta 'allstaff' en el libro." type="5" refreshedVersion="7" background="1" saveData="1">
    <dbPr connection="Provider=Microsoft.Mashup.OleDb.1;Data Source=$Workbook$;Location=allstaff;Extended Properties=&quot;&quot;" command="SELECT * FROM [allstaff]"/>
  </connection>
  <connection id="2" xr16:uid="{AB3BAD65-ADE2-42F7-8DAB-BEE16489951A}" keepAlive="1" name="Consulta - allstaff (2)" description="Conexión a la consulta 'allstaff (2)' en el libro." type="5" refreshedVersion="7" background="1" saveData="1">
    <dbPr connection="Provider=Microsoft.Mashup.OleDb.1;Data Source=$Workbook$;Location=&quot;allstaff (2)&quot;;Extended Properties=&quot;&quot;" command="SELECT * FROM [allstaff (2)]"/>
  </connection>
  <connection id="3" xr16:uid="{21BE4915-54B0-47A1-8888-AF6C582977D4}" keepAlive="1" name="Consulta - Anexar1" description="Conexión a la consulta 'Anexar1' en el libro." type="5" refreshedVersion="8" background="1" saveData="1">
    <dbPr connection="Provider=Microsoft.Mashup.OleDb.1;Data Source=$Workbook$;Location=Anexar1;Extended Properties=&quot;&quot;" command="SELECT * FROM [Anexar1]"/>
  </connection>
  <connection id="4" xr16:uid="{D610826E-A313-45E2-8B9E-F19ED4524223}" keepAlive="1" name="Consulta - india_staff" description="Conexión a la consulta 'india_staff' en el libro." type="5" refreshedVersion="0" background="1">
    <dbPr connection="Provider=Microsoft.Mashup.OleDb.1;Data Source=$Workbook$;Location=india_staff;Extended Properties=&quot;&quot;" command="SELECT * FROM [india_staff]"/>
  </connection>
  <connection id="5" xr16:uid="{08792788-AB90-4522-A327-D3A79FA160AA}" keepAlive="1" name="Consulta - newzealand_staff" description="Conexión a la consulta 'newzealand_staff' en el libro." type="5" refreshedVersion="0" background="1">
    <dbPr connection="Provider=Microsoft.Mashup.OleDb.1;Data Source=$Workbook$;Location=newzealand_staff;Extended Properties=&quot;&quot;" command="SELECT * FROM [newzealand_staff]"/>
  </connection>
  <connection id="6" xr16:uid="{FA8F7278-EBE1-4701-9E6D-F83901F9991B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832556BF-E12D-4A2F-A08B-DBE7D15DB43B}" name="WorksheetConnection_blank-data-file.xlsx!allstaff" type="102" refreshedVersion="8" minRefreshableVersion="5">
    <extLst>
      <ext xmlns:x15="http://schemas.microsoft.com/office/spreadsheetml/2010/11/main" uri="{DE250136-89BD-433C-8126-D09CA5730AF9}">
        <x15:connection id="allstaff" autoDelete="1">
          <x15:rangePr sourceName="_xlcn.WorksheetConnection_blankdatafile.xlsxallstaff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allstaff].[Country].&amp;[India]}"/>
    <s v="{[allstaff].[Country].&amp;[NZ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<sst xmlns="http://schemas.openxmlformats.org/spreadsheetml/2006/main" count="1971" uniqueCount="251">
  <si>
    <t>Name</t>
  </si>
  <si>
    <t>Gender</t>
  </si>
  <si>
    <t>Department</t>
  </si>
  <si>
    <t>Age</t>
  </si>
  <si>
    <t>Date Joined</t>
  </si>
  <si>
    <t>Salary</t>
  </si>
  <si>
    <t>Rating</t>
  </si>
  <si>
    <t>Barr Faughny</t>
  </si>
  <si>
    <t>Female</t>
  </si>
  <si>
    <t>Procurement</t>
  </si>
  <si>
    <t>Exceptional</t>
  </si>
  <si>
    <t>Dennison Crosswaite</t>
  </si>
  <si>
    <t>Website</t>
  </si>
  <si>
    <t>Above average</t>
  </si>
  <si>
    <t>Gunar Cockshoot</t>
  </si>
  <si>
    <t>Male</t>
  </si>
  <si>
    <t>Average</t>
  </si>
  <si>
    <t>Wilone O'Kielt</t>
  </si>
  <si>
    <t>Gigi Bohling</t>
  </si>
  <si>
    <t>Sales</t>
  </si>
  <si>
    <t>Curtice Advani</t>
  </si>
  <si>
    <t>Finance</t>
  </si>
  <si>
    <t>Kaine Padly</t>
  </si>
  <si>
    <t>Ches Bonnell</t>
  </si>
  <si>
    <t>Poor</t>
  </si>
  <si>
    <t>Andria Kimpton</t>
  </si>
  <si>
    <t>Brien Boise</t>
  </si>
  <si>
    <t>Husein Augar</t>
  </si>
  <si>
    <t>Karlen McCaffrey</t>
  </si>
  <si>
    <t>Jan Morforth</t>
  </si>
  <si>
    <t>Dotty Strutley</t>
  </si>
  <si>
    <t>Kelci Walkden</t>
  </si>
  <si>
    <t>Marney O'Breen</t>
  </si>
  <si>
    <t>Rafaelita Blaksland</t>
  </si>
  <si>
    <t>Madelene Upcott</t>
  </si>
  <si>
    <t>Beverie Moffet</t>
  </si>
  <si>
    <t>Oby Sorrel</t>
  </si>
  <si>
    <t>Mallorie Waber</t>
  </si>
  <si>
    <t>Jehu Rudeforth</t>
  </si>
  <si>
    <t>Van Tuxwell</t>
  </si>
  <si>
    <t>Roddy Speechley</t>
  </si>
  <si>
    <t>Camilla Castle</t>
  </si>
  <si>
    <t>Very poor</t>
  </si>
  <si>
    <t>Janene Hairsine</t>
  </si>
  <si>
    <t>Niall Selesnick</t>
  </si>
  <si>
    <t>Ebonee Roxburgh</t>
  </si>
  <si>
    <t>Zach Polon</t>
  </si>
  <si>
    <t>Orton Livick</t>
  </si>
  <si>
    <t>Gray Seamon</t>
  </si>
  <si>
    <t>Benny Karolovsky</t>
  </si>
  <si>
    <t>Dyna Doucette</t>
  </si>
  <si>
    <t>Erin Androsik</t>
  </si>
  <si>
    <t>Madge McCloughen</t>
  </si>
  <si>
    <t>Esmaria Denecamp</t>
  </si>
  <si>
    <t>Hogan Iles</t>
  </si>
  <si>
    <t>Valentia Etteridge</t>
  </si>
  <si>
    <t>HR</t>
  </si>
  <si>
    <t>Archibald Filliskirk</t>
  </si>
  <si>
    <t>Lindy Guillet</t>
  </si>
  <si>
    <t>Dell Molloy</t>
  </si>
  <si>
    <t>Ewart Laphorn</t>
  </si>
  <si>
    <t>Vic Radolf</t>
  </si>
  <si>
    <t>Virginia McConville</t>
  </si>
  <si>
    <t>Kaye Crocroft</t>
  </si>
  <si>
    <t>Mollie Hanway</t>
  </si>
  <si>
    <t>Hoyt D'Alesco</t>
  </si>
  <si>
    <t>Crissie Cordel</t>
  </si>
  <si>
    <t>Myer McCory</t>
  </si>
  <si>
    <t>Enoch Dowrey</t>
  </si>
  <si>
    <t>Kissiah Maydway</t>
  </si>
  <si>
    <t>Ambros Murthwaite</t>
  </si>
  <si>
    <t>Torrance Collier</t>
  </si>
  <si>
    <t>Allene Gobbet</t>
  </si>
  <si>
    <t>Violante Courtonne</t>
  </si>
  <si>
    <t>Merrilee Plenty</t>
  </si>
  <si>
    <t>Tatum Hush</t>
  </si>
  <si>
    <t>Kath Bletsoe</t>
  </si>
  <si>
    <t>Hinda Label</t>
  </si>
  <si>
    <t>Shari McNee</t>
  </si>
  <si>
    <t>My Hanscome</t>
  </si>
  <si>
    <t>Drusy MacCombe</t>
  </si>
  <si>
    <t>Halimeda Kuscha</t>
  </si>
  <si>
    <t>William Reeveley</t>
  </si>
  <si>
    <t>Tracy Renad</t>
  </si>
  <si>
    <t>Kassi Jonson</t>
  </si>
  <si>
    <t>Constantino Espley</t>
  </si>
  <si>
    <t>Gretchen Callow</t>
  </si>
  <si>
    <t>Bev Lashley</t>
  </si>
  <si>
    <t>Sibyl Dunkirk</t>
  </si>
  <si>
    <t>Alta Kaszper</t>
  </si>
  <si>
    <t>Shayne Stegel</t>
  </si>
  <si>
    <t>Hyacinthie Braybrooke</t>
  </si>
  <si>
    <t>Agnes Collicott</t>
  </si>
  <si>
    <t>Teressa Udden</t>
  </si>
  <si>
    <t>Bennie Pepis</t>
  </si>
  <si>
    <t>Elia Cockton</t>
  </si>
  <si>
    <t>Cherlyn Barter</t>
  </si>
  <si>
    <t>Murry Dryburgh</t>
  </si>
  <si>
    <t>Mahalia Larcher</t>
  </si>
  <si>
    <t>Bili Sizey</t>
  </si>
  <si>
    <t>Lilyan Klimpt</t>
  </si>
  <si>
    <t>Caro Chappel</t>
  </si>
  <si>
    <t>Leilah Yesinin</t>
  </si>
  <si>
    <t>Collin Jagson</t>
  </si>
  <si>
    <t>Kellsie Waby</t>
  </si>
  <si>
    <t>Simon Kembery</t>
  </si>
  <si>
    <t>Tawnya Tickel</t>
  </si>
  <si>
    <t>Bernie Gorges</t>
  </si>
  <si>
    <t>Florinda Crace</t>
  </si>
  <si>
    <t>Oran Buxcy</t>
  </si>
  <si>
    <t>Employee Data</t>
  </si>
  <si>
    <t>Nanak Sapna</t>
  </si>
  <si>
    <t>Karuna Pashupathy</t>
  </si>
  <si>
    <t>Amal Nimesh</t>
  </si>
  <si>
    <t>Ramnath Ravuri</t>
  </si>
  <si>
    <t>Yauvani Tarpa</t>
  </si>
  <si>
    <t>Upendra Swati</t>
  </si>
  <si>
    <t>Hridaynath Tendulkar</t>
  </si>
  <si>
    <t>Gangadutt Ragha</t>
  </si>
  <si>
    <t>Rameshwari Chikodi</t>
  </si>
  <si>
    <t>Pratigya Rema</t>
  </si>
  <si>
    <t>Kantimoy Pritish</t>
  </si>
  <si>
    <t>Tarala Vishaal</t>
  </si>
  <si>
    <t>Ardhendu Abhichandra Jayakar</t>
  </si>
  <si>
    <t>Jagajeet Viraj</t>
  </si>
  <si>
    <t>Shattesh Utpat</t>
  </si>
  <si>
    <t>Agrata Rajarama</t>
  </si>
  <si>
    <t>Sawini Chandan</t>
  </si>
  <si>
    <t>Damayanti Thangavadivelu</t>
  </si>
  <si>
    <t>Indu Varada Sumedh</t>
  </si>
  <si>
    <t>Krittika Gaekwad</t>
  </si>
  <si>
    <t>Mardav Ramaswami</t>
  </si>
  <si>
    <t>Lalit Kothari</t>
  </si>
  <si>
    <t>Bhuvan Pals</t>
  </si>
  <si>
    <t>Sarayu Ragunathan</t>
  </si>
  <si>
    <t>Ayog Chakrabarti</t>
  </si>
  <si>
    <t>Shevantilal Muppala</t>
  </si>
  <si>
    <t>Suchira Bhanupriya Tapti</t>
  </si>
  <si>
    <t>Mahindra Sreedharan</t>
  </si>
  <si>
    <t>Chitrasen Laul</t>
  </si>
  <si>
    <t>Akbar Sorabhjee</t>
  </si>
  <si>
    <t>Shulabh Qutub Sundaramoorthy</t>
  </si>
  <si>
    <t>Sahila Chandrasekhar</t>
  </si>
  <si>
    <t>Satyendra Venkatadri</t>
  </si>
  <si>
    <t>Piyali Mahanthapa</t>
  </si>
  <si>
    <t>Rukma Vinita</t>
  </si>
  <si>
    <t>Vanmala Shriharsha</t>
  </si>
  <si>
    <t>Sarojini Naueshwara</t>
  </si>
  <si>
    <t>Kaishori Harathi Kateel</t>
  </si>
  <si>
    <t>Shobhana Samuel</t>
  </si>
  <si>
    <t>Krishnakanta Vellanki</t>
  </si>
  <si>
    <t>Shiuli Sapna</t>
  </si>
  <si>
    <t>Anjushri Chandiramani</t>
  </si>
  <si>
    <t>Fullara Sushanti Mokate</t>
  </si>
  <si>
    <t>Shreela Ramasubraman</t>
  </si>
  <si>
    <t>Gumwant Veera</t>
  </si>
  <si>
    <t>Deepali Charan</t>
  </si>
  <si>
    <t>Geena Raghavanpillai</t>
  </si>
  <si>
    <t>Prerana Nishita</t>
  </si>
  <si>
    <t>Shekhar Eswara</t>
  </si>
  <si>
    <t>Kamalakshi Mukundan</t>
  </si>
  <si>
    <t>Sahas Sanabhi Shrikant</t>
  </si>
  <si>
    <t>Ranajay Kailashnath Richa</t>
  </si>
  <si>
    <t>Sukhdev Nageshwar</t>
  </si>
  <si>
    <t>Rushil Kripa</t>
  </si>
  <si>
    <t>Daruka Ghazali</t>
  </si>
  <si>
    <t>Godavari Veena</t>
  </si>
  <si>
    <t>Anumati Shyamari Meherhomji</t>
  </si>
  <si>
    <t>Abhaya Priyavardhan</t>
  </si>
  <si>
    <t>Purnendu Vijayarangan</t>
  </si>
  <si>
    <t>Sameer Shashank Sapra</t>
  </si>
  <si>
    <t>Asija Pothireddy</t>
  </si>
  <si>
    <t>Rupak Mehra</t>
  </si>
  <si>
    <t>Makshi Vinutha</t>
  </si>
  <si>
    <t>Pragya Nilufar</t>
  </si>
  <si>
    <t>Dhruv Manjunath</t>
  </si>
  <si>
    <t>Yagna Sujeev</t>
  </si>
  <si>
    <t>Mithil Nadkarni</t>
  </si>
  <si>
    <t>Bandhula Sathyanna</t>
  </si>
  <si>
    <t>Shubhra Potla</t>
  </si>
  <si>
    <t>Narois Motiwala</t>
  </si>
  <si>
    <t>Madhumati Gazala Soumitra</t>
  </si>
  <si>
    <t>Sanchali Shirish</t>
  </si>
  <si>
    <t>Chandana Sannidhi Surnilla</t>
  </si>
  <si>
    <t>Devasree Fullara Saurin</t>
  </si>
  <si>
    <t>Kunja Prashanta Vibha</t>
  </si>
  <si>
    <t>Kevalkumar Solanki</t>
  </si>
  <si>
    <t>Kulbhushan Moorthy</t>
  </si>
  <si>
    <t>Hemavati Muthiah</t>
  </si>
  <si>
    <t>Sartaj Probal</t>
  </si>
  <si>
    <t>Jaishree Atasi Yavatkar</t>
  </si>
  <si>
    <t>Ilesh Dasgupta</t>
  </si>
  <si>
    <t>Waheeda Vasuman</t>
  </si>
  <si>
    <t>Vinanti Choudhari</t>
  </si>
  <si>
    <t>Manjusri Ruchi</t>
  </si>
  <si>
    <t>Deepit Ranjana</t>
  </si>
  <si>
    <t>Amlankusum Rajabhushan</t>
  </si>
  <si>
    <t>Udyan Lanka</t>
  </si>
  <si>
    <t>Baruna Ogale</t>
  </si>
  <si>
    <t>Heer Pennathur</t>
  </si>
  <si>
    <t>Vasu Nandin</t>
  </si>
  <si>
    <t>Madhavdas Buhpathi</t>
  </si>
  <si>
    <t>Mirium Seemantini Shivakumar</t>
  </si>
  <si>
    <t>Total</t>
  </si>
  <si>
    <t>Country</t>
  </si>
  <si>
    <t>NZ</t>
  </si>
  <si>
    <t>India</t>
  </si>
  <si>
    <t>Other</t>
  </si>
  <si>
    <t>Count Of Employees</t>
  </si>
  <si>
    <t>Average Salary</t>
  </si>
  <si>
    <t>Average Age</t>
  </si>
  <si>
    <t>Average Tenure</t>
  </si>
  <si>
    <t>Female Ratio %</t>
  </si>
  <si>
    <t>Tenure in Years</t>
  </si>
  <si>
    <t>Ratio of $90.000 or more salaries</t>
  </si>
  <si>
    <t>Etiquetas de columna</t>
  </si>
  <si>
    <t>Valores</t>
  </si>
  <si>
    <t>Bonus</t>
  </si>
  <si>
    <t>Etiquetas de fila</t>
  </si>
  <si>
    <t>Total general</t>
  </si>
  <si>
    <t>Rating as Number</t>
  </si>
  <si>
    <t>2020</t>
  </si>
  <si>
    <t>may</t>
  </si>
  <si>
    <t>jun</t>
  </si>
  <si>
    <t>jul</t>
  </si>
  <si>
    <t>ago</t>
  </si>
  <si>
    <t>sep</t>
  </si>
  <si>
    <t>oct</t>
  </si>
  <si>
    <t>nov</t>
  </si>
  <si>
    <t>dic</t>
  </si>
  <si>
    <t>2021</t>
  </si>
  <si>
    <t>ene</t>
  </si>
  <si>
    <t>feb</t>
  </si>
  <si>
    <t>mar</t>
  </si>
  <si>
    <t>abr</t>
  </si>
  <si>
    <t>2022</t>
  </si>
  <si>
    <t>2023</t>
  </si>
  <si>
    <t>Contratados</t>
  </si>
  <si>
    <t>Mes</t>
  </si>
  <si>
    <t>Cantidad de contratados</t>
  </si>
  <si>
    <t>NUEVA ZELANDA</t>
  </si>
  <si>
    <t>INDIA</t>
  </si>
  <si>
    <t>Cantidad de empleados</t>
  </si>
  <si>
    <t>Porcentaje de Mujeres</t>
  </si>
  <si>
    <t>Salario Promedio</t>
  </si>
  <si>
    <t>Cantidad de empleados por departamento</t>
  </si>
  <si>
    <t>Recuento de Name</t>
  </si>
  <si>
    <t>Salario promedio</t>
  </si>
  <si>
    <t>Cantidad</t>
  </si>
  <si>
    <t>Promedio de edad</t>
  </si>
  <si>
    <t>Promedio de antigüedad en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</si>
</sst>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&quot;$&quot;\ #,##0.00"/>
    <numFmt numFmtId="165" formatCode="&quot;$&quot;\ #,##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6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15" fontId="0" fillId="0" borderId="0" xfId="0" applyNumberFormat="1"/>
    <xf numFmtId="14" fontId="0" fillId="0" borderId="0" xfId="0" applyNumberFormat="1"/>
    <xf numFmtId="0" fontId="0" fillId="4" borderId="1" xfId="0" applyFill="1" applyBorder="1"/>
    <xf numFmtId="0" fontId="0" fillId="5" borderId="1" xfId="0" applyFill="1" applyBorder="1"/>
    <xf numFmtId="15" fontId="0" fillId="5" borderId="1" xfId="0" applyNumberFormat="1" applyFill="1" applyBorder="1"/>
    <xf numFmtId="164" fontId="0" fillId="5" borderId="1" xfId="0" applyNumberFormat="1" applyFill="1" applyBorder="1"/>
    <xf numFmtId="164" fontId="0" fillId="0" borderId="0" xfId="0" applyNumberFormat="1"/>
    <xf numFmtId="165" fontId="0" fillId="0" borderId="0" xfId="0" applyNumberFormat="1"/>
    <xf numFmtId="164" fontId="0" fillId="4" borderId="1" xfId="0" applyNumberFormat="1" applyFill="1" applyBorder="1"/>
    <xf numFmtId="165" fontId="0" fillId="4" borderId="1" xfId="0" applyNumberFormat="1" applyFill="1" applyBorder="1"/>
    <xf numFmtId="0" fontId="0" fillId="0" borderId="2" xfId="0" applyBorder="1"/>
    <xf numFmtId="164" fontId="0" fillId="0" borderId="2" xfId="0" applyNumberFormat="1" applyBorder="1"/>
    <xf numFmtId="2" fontId="0" fillId="0" borderId="2" xfId="0" applyNumberFormat="1" applyBorder="1"/>
    <xf numFmtId="2" fontId="0" fillId="0" borderId="0" xfId="0" applyNumberFormat="1"/>
    <xf numFmtId="9" fontId="0" fillId="0" borderId="2" xfId="1" applyFont="1" applyBorder="1"/>
    <xf numFmtId="9" fontId="0" fillId="0" borderId="0" xfId="1" applyFont="1"/>
    <xf numFmtId="0" fontId="4" fillId="6" borderId="2" xfId="0" applyFont="1" applyFill="1" applyBorder="1" applyAlignment="1">
      <alignment horizontal="center"/>
    </xf>
    <xf numFmtId="0" fontId="0" fillId="7" borderId="0" xfId="0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pivotButton="1"/>
    <xf numFmtId="0" fontId="0" fillId="0" borderId="2" xfId="0" applyBorder="1" applyAlignment="1">
      <alignment horizontal="left"/>
    </xf>
    <xf numFmtId="166" fontId="0" fillId="0" borderId="2" xfId="0" applyNumberFormat="1" applyBorder="1"/>
    <xf numFmtId="0" fontId="0" fillId="0" borderId="3" xfId="0" applyBorder="1" applyAlignment="1">
      <alignment horizontal="left"/>
    </xf>
    <xf numFmtId="0" fontId="0" fillId="0" borderId="2" xfId="0" pivotButton="1" applyBorder="1"/>
    <xf numFmtId="14" fontId="0" fillId="0" borderId="0" xfId="0" applyNumberFormat="1" applyAlignment="1">
      <alignment horizontal="left" indent="1"/>
    </xf>
    <xf numFmtId="17" fontId="0" fillId="0" borderId="2" xfId="0" applyNumberFormat="1" applyBorder="1"/>
    <xf numFmtId="0" fontId="6" fillId="8" borderId="2" xfId="0" applyFont="1" applyFill="1" applyBorder="1" applyAlignment="1">
      <alignment horizontal="center" vertical="center"/>
    </xf>
    <xf numFmtId="9" fontId="6" fillId="8" borderId="2" xfId="0" applyNumberFormat="1" applyFont="1" applyFill="1" applyBorder="1" applyAlignment="1">
      <alignment horizontal="center" vertical="center"/>
    </xf>
    <xf numFmtId="165" fontId="7" fillId="8" borderId="2" xfId="2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6" fillId="6" borderId="2" xfId="0" applyFont="1" applyFill="1" applyBorder="1" applyAlignment="1">
      <alignment horizontal="center" vertical="center"/>
    </xf>
    <xf numFmtId="9" fontId="6" fillId="6" borderId="2" xfId="0" applyNumberFormat="1" applyFont="1" applyFill="1" applyBorder="1" applyAlignment="1">
      <alignment horizontal="center" vertical="center"/>
    </xf>
    <xf numFmtId="165" fontId="7" fillId="6" borderId="2" xfId="0" applyNumberFormat="1" applyFont="1" applyFill="1" applyBorder="1" applyAlignment="1">
      <alignment horizontal="center" vertical="center"/>
    </xf>
    <xf numFmtId="0" fontId="8" fillId="0" borderId="0" xfId="0" applyFont="1"/>
    <xf numFmtId="0" fontId="0" fillId="0" borderId="2" xfId="0" applyBorder="1" applyAlignment="1">
      <alignment horizontal="left"/>
    </xf>
    <xf numFmtId="0" fontId="0" fillId="9" borderId="2" xfId="0" applyFill="1" applyBorder="1" applyAlignment="1">
      <alignment horizontal="center"/>
    </xf>
    <xf numFmtId="0" fontId="5" fillId="9" borderId="2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2" xfId="0" applyNumberFormat="1" applyBorder="1"/>
  </cellXfs>
  <cellStyles count="3">
    <cellStyle name="Moneda" xfId="2" builtinId="4"/>
    <cellStyle name="Normal" xfId="0" builtinId="0"/>
    <cellStyle name="Porcentaje" xfId="1" builtinId="5"/>
  </cellStyles>
  <dxfs count="46">
    <dxf>
      <numFmt numFmtId="165" formatCode="&quot;$&quot;\ #,##0"/>
    </dxf>
    <dxf>
      <numFmt numFmtId="2" formatCode="0.00"/>
    </dxf>
    <dxf>
      <numFmt numFmtId="164" formatCode="&quot;$&quot;\ #,##0.00"/>
    </dxf>
    <dxf>
      <numFmt numFmtId="19" formatCode="d/m/yyyy"/>
    </dxf>
    <dxf>
      <numFmt numFmtId="164" formatCode="&quot;$&quot;\ #,##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$&quot;\ #,##0.00"/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64" formatCode="&quot;$&quot;\ #,##0.00"/>
    </dxf>
    <dxf>
      <numFmt numFmtId="164" formatCode="&quot;$&quot;\ #,##0.00"/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00"/>
    </dxf>
    <dxf>
      <numFmt numFmtId="166" formatCode="0.000"/>
    </dxf>
    <dxf>
      <numFmt numFmtId="167" formatCode="0.000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$&quot;\ #,##0.00"/>
    </dxf>
    <dxf>
      <numFmt numFmtId="164" formatCode="&quot;$&quot;\ #,##0.00"/>
    </dxf>
    <dxf>
      <numFmt numFmtId="165" formatCode="&quot;$&quot;\ #,##0"/>
    </dxf>
    <dxf>
      <numFmt numFmtId="20" formatCode="d\-mmm\-yy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&quot;$&quot;\ #,##0.00"/>
    </dxf>
    <dxf>
      <numFmt numFmtId="165" formatCode="&quot;$&quot;\ #,##0"/>
    </dxf>
    <dxf>
      <numFmt numFmtId="20" formatCode="d\-mmm\-yy"/>
    </dxf>
    <dxf>
      <fill>
        <patternFill patternType="solid">
          <fgColor rgb="FFFFC7CE"/>
          <bgColor rgb="FF000000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18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1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Salary vs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'Todos los Empleados'!$F$2:$F$184</c:f>
              <c:numCache>
                <c:formatCode>"$"\ #,##0.00</c:formatCode>
                <c:ptCount val="183"/>
                <c:pt idx="0">
                  <c:v>119110</c:v>
                </c:pt>
                <c:pt idx="1">
                  <c:v>119110</c:v>
                </c:pt>
                <c:pt idx="2">
                  <c:v>118840</c:v>
                </c:pt>
                <c:pt idx="3">
                  <c:v>118840</c:v>
                </c:pt>
                <c:pt idx="4">
                  <c:v>118100</c:v>
                </c:pt>
                <c:pt idx="5">
                  <c:v>118100</c:v>
                </c:pt>
                <c:pt idx="6">
                  <c:v>115920</c:v>
                </c:pt>
                <c:pt idx="7">
                  <c:v>115920</c:v>
                </c:pt>
                <c:pt idx="8">
                  <c:v>115440</c:v>
                </c:pt>
                <c:pt idx="9">
                  <c:v>115440</c:v>
                </c:pt>
                <c:pt idx="10">
                  <c:v>114890</c:v>
                </c:pt>
                <c:pt idx="11">
                  <c:v>114890</c:v>
                </c:pt>
                <c:pt idx="12">
                  <c:v>114870</c:v>
                </c:pt>
                <c:pt idx="13">
                  <c:v>114870</c:v>
                </c:pt>
                <c:pt idx="14">
                  <c:v>114180</c:v>
                </c:pt>
                <c:pt idx="15">
                  <c:v>114180</c:v>
                </c:pt>
                <c:pt idx="16">
                  <c:v>113280</c:v>
                </c:pt>
                <c:pt idx="17">
                  <c:v>113280</c:v>
                </c:pt>
                <c:pt idx="18">
                  <c:v>112780</c:v>
                </c:pt>
                <c:pt idx="19">
                  <c:v>112780</c:v>
                </c:pt>
                <c:pt idx="20">
                  <c:v>112650</c:v>
                </c:pt>
                <c:pt idx="21">
                  <c:v>112650</c:v>
                </c:pt>
                <c:pt idx="22">
                  <c:v>112650</c:v>
                </c:pt>
                <c:pt idx="23">
                  <c:v>112570</c:v>
                </c:pt>
                <c:pt idx="24">
                  <c:v>112570</c:v>
                </c:pt>
                <c:pt idx="25">
                  <c:v>112110</c:v>
                </c:pt>
                <c:pt idx="26">
                  <c:v>112110</c:v>
                </c:pt>
                <c:pt idx="27">
                  <c:v>109190</c:v>
                </c:pt>
                <c:pt idx="28">
                  <c:v>109190</c:v>
                </c:pt>
                <c:pt idx="29">
                  <c:v>109160</c:v>
                </c:pt>
                <c:pt idx="30">
                  <c:v>109160</c:v>
                </c:pt>
                <c:pt idx="31">
                  <c:v>107700</c:v>
                </c:pt>
                <c:pt idx="32">
                  <c:v>107700</c:v>
                </c:pt>
                <c:pt idx="33">
                  <c:v>106460</c:v>
                </c:pt>
                <c:pt idx="34">
                  <c:v>106460</c:v>
                </c:pt>
                <c:pt idx="35">
                  <c:v>104770</c:v>
                </c:pt>
                <c:pt idx="36">
                  <c:v>104770</c:v>
                </c:pt>
                <c:pt idx="37">
                  <c:v>104410</c:v>
                </c:pt>
                <c:pt idx="38">
                  <c:v>104410</c:v>
                </c:pt>
                <c:pt idx="39">
                  <c:v>104120</c:v>
                </c:pt>
                <c:pt idx="40">
                  <c:v>104120</c:v>
                </c:pt>
                <c:pt idx="41">
                  <c:v>103550</c:v>
                </c:pt>
                <c:pt idx="42">
                  <c:v>103550</c:v>
                </c:pt>
                <c:pt idx="43">
                  <c:v>100420</c:v>
                </c:pt>
                <c:pt idx="44">
                  <c:v>100420</c:v>
                </c:pt>
                <c:pt idx="45">
                  <c:v>99970</c:v>
                </c:pt>
                <c:pt idx="46">
                  <c:v>99970</c:v>
                </c:pt>
                <c:pt idx="47">
                  <c:v>99750</c:v>
                </c:pt>
                <c:pt idx="48">
                  <c:v>99750</c:v>
                </c:pt>
                <c:pt idx="49">
                  <c:v>96800</c:v>
                </c:pt>
                <c:pt idx="50">
                  <c:v>96800</c:v>
                </c:pt>
                <c:pt idx="51">
                  <c:v>96140</c:v>
                </c:pt>
                <c:pt idx="52">
                  <c:v>96140</c:v>
                </c:pt>
                <c:pt idx="53">
                  <c:v>92700</c:v>
                </c:pt>
                <c:pt idx="54">
                  <c:v>92700</c:v>
                </c:pt>
                <c:pt idx="55">
                  <c:v>92450</c:v>
                </c:pt>
                <c:pt idx="56">
                  <c:v>92450</c:v>
                </c:pt>
                <c:pt idx="57">
                  <c:v>91650</c:v>
                </c:pt>
                <c:pt idx="58">
                  <c:v>91650</c:v>
                </c:pt>
                <c:pt idx="59">
                  <c:v>91310</c:v>
                </c:pt>
                <c:pt idx="60">
                  <c:v>91310</c:v>
                </c:pt>
                <c:pt idx="61">
                  <c:v>90700</c:v>
                </c:pt>
                <c:pt idx="62">
                  <c:v>90700</c:v>
                </c:pt>
                <c:pt idx="63">
                  <c:v>88050</c:v>
                </c:pt>
                <c:pt idx="64">
                  <c:v>88050</c:v>
                </c:pt>
                <c:pt idx="65">
                  <c:v>87620</c:v>
                </c:pt>
                <c:pt idx="66">
                  <c:v>87620</c:v>
                </c:pt>
                <c:pt idx="67">
                  <c:v>86570</c:v>
                </c:pt>
                <c:pt idx="68">
                  <c:v>86570</c:v>
                </c:pt>
                <c:pt idx="69">
                  <c:v>85000</c:v>
                </c:pt>
                <c:pt idx="70">
                  <c:v>85000</c:v>
                </c:pt>
                <c:pt idx="71">
                  <c:v>83750</c:v>
                </c:pt>
                <c:pt idx="72">
                  <c:v>83750</c:v>
                </c:pt>
                <c:pt idx="73">
                  <c:v>80700</c:v>
                </c:pt>
                <c:pt idx="74">
                  <c:v>80700</c:v>
                </c:pt>
                <c:pt idx="75">
                  <c:v>79570</c:v>
                </c:pt>
                <c:pt idx="76">
                  <c:v>79570</c:v>
                </c:pt>
                <c:pt idx="77">
                  <c:v>78540</c:v>
                </c:pt>
                <c:pt idx="78">
                  <c:v>78540</c:v>
                </c:pt>
                <c:pt idx="79">
                  <c:v>78390</c:v>
                </c:pt>
                <c:pt idx="80">
                  <c:v>78390</c:v>
                </c:pt>
                <c:pt idx="81">
                  <c:v>76900</c:v>
                </c:pt>
                <c:pt idx="82">
                  <c:v>76900</c:v>
                </c:pt>
                <c:pt idx="83">
                  <c:v>75970</c:v>
                </c:pt>
                <c:pt idx="84">
                  <c:v>75970</c:v>
                </c:pt>
                <c:pt idx="85">
                  <c:v>75880</c:v>
                </c:pt>
                <c:pt idx="86">
                  <c:v>75880</c:v>
                </c:pt>
                <c:pt idx="87">
                  <c:v>75480</c:v>
                </c:pt>
                <c:pt idx="88">
                  <c:v>75480</c:v>
                </c:pt>
                <c:pt idx="89">
                  <c:v>75280</c:v>
                </c:pt>
                <c:pt idx="90">
                  <c:v>75280</c:v>
                </c:pt>
                <c:pt idx="91">
                  <c:v>75000</c:v>
                </c:pt>
                <c:pt idx="92">
                  <c:v>75000</c:v>
                </c:pt>
                <c:pt idx="93">
                  <c:v>74550</c:v>
                </c:pt>
                <c:pt idx="94">
                  <c:v>74550</c:v>
                </c:pt>
                <c:pt idx="95">
                  <c:v>71380</c:v>
                </c:pt>
                <c:pt idx="96">
                  <c:v>71380</c:v>
                </c:pt>
                <c:pt idx="97">
                  <c:v>70610</c:v>
                </c:pt>
                <c:pt idx="98">
                  <c:v>70610</c:v>
                </c:pt>
                <c:pt idx="99">
                  <c:v>70270</c:v>
                </c:pt>
                <c:pt idx="100">
                  <c:v>70270</c:v>
                </c:pt>
                <c:pt idx="101">
                  <c:v>69710</c:v>
                </c:pt>
                <c:pt idx="102">
                  <c:v>69710</c:v>
                </c:pt>
                <c:pt idx="103">
                  <c:v>69120</c:v>
                </c:pt>
                <c:pt idx="104">
                  <c:v>69120</c:v>
                </c:pt>
                <c:pt idx="105">
                  <c:v>69070</c:v>
                </c:pt>
                <c:pt idx="106">
                  <c:v>69070</c:v>
                </c:pt>
                <c:pt idx="107">
                  <c:v>68900</c:v>
                </c:pt>
                <c:pt idx="108">
                  <c:v>68900</c:v>
                </c:pt>
                <c:pt idx="109">
                  <c:v>67950</c:v>
                </c:pt>
                <c:pt idx="110">
                  <c:v>67950</c:v>
                </c:pt>
                <c:pt idx="111">
                  <c:v>67910</c:v>
                </c:pt>
                <c:pt idx="112">
                  <c:v>67910</c:v>
                </c:pt>
                <c:pt idx="113">
                  <c:v>65920</c:v>
                </c:pt>
                <c:pt idx="114">
                  <c:v>65920</c:v>
                </c:pt>
                <c:pt idx="115">
                  <c:v>65700</c:v>
                </c:pt>
                <c:pt idx="116">
                  <c:v>65700</c:v>
                </c:pt>
                <c:pt idx="117">
                  <c:v>65360</c:v>
                </c:pt>
                <c:pt idx="118">
                  <c:v>65360</c:v>
                </c:pt>
                <c:pt idx="119">
                  <c:v>64000</c:v>
                </c:pt>
                <c:pt idx="120">
                  <c:v>64000</c:v>
                </c:pt>
                <c:pt idx="121">
                  <c:v>62780</c:v>
                </c:pt>
                <c:pt idx="122">
                  <c:v>62780</c:v>
                </c:pt>
                <c:pt idx="123">
                  <c:v>60570</c:v>
                </c:pt>
                <c:pt idx="124">
                  <c:v>60570</c:v>
                </c:pt>
                <c:pt idx="125">
                  <c:v>60130</c:v>
                </c:pt>
                <c:pt idx="126">
                  <c:v>60130</c:v>
                </c:pt>
                <c:pt idx="127">
                  <c:v>59430</c:v>
                </c:pt>
                <c:pt idx="128">
                  <c:v>59430</c:v>
                </c:pt>
                <c:pt idx="129">
                  <c:v>58960</c:v>
                </c:pt>
                <c:pt idx="130">
                  <c:v>58960</c:v>
                </c:pt>
                <c:pt idx="131">
                  <c:v>58940</c:v>
                </c:pt>
                <c:pt idx="132">
                  <c:v>58940</c:v>
                </c:pt>
                <c:pt idx="133">
                  <c:v>58100</c:v>
                </c:pt>
                <c:pt idx="134">
                  <c:v>58100</c:v>
                </c:pt>
                <c:pt idx="135">
                  <c:v>57090</c:v>
                </c:pt>
                <c:pt idx="136">
                  <c:v>57090</c:v>
                </c:pt>
                <c:pt idx="137">
                  <c:v>56870</c:v>
                </c:pt>
                <c:pt idx="138">
                  <c:v>56870</c:v>
                </c:pt>
                <c:pt idx="139">
                  <c:v>54970</c:v>
                </c:pt>
                <c:pt idx="140">
                  <c:v>54970</c:v>
                </c:pt>
                <c:pt idx="141">
                  <c:v>53870</c:v>
                </c:pt>
                <c:pt idx="142">
                  <c:v>53870</c:v>
                </c:pt>
                <c:pt idx="143">
                  <c:v>53540</c:v>
                </c:pt>
                <c:pt idx="144">
                  <c:v>53540</c:v>
                </c:pt>
                <c:pt idx="145">
                  <c:v>53540</c:v>
                </c:pt>
                <c:pt idx="146">
                  <c:v>53540</c:v>
                </c:pt>
                <c:pt idx="147">
                  <c:v>53240</c:v>
                </c:pt>
                <c:pt idx="148">
                  <c:v>53240</c:v>
                </c:pt>
                <c:pt idx="149">
                  <c:v>52610</c:v>
                </c:pt>
                <c:pt idx="150">
                  <c:v>52610</c:v>
                </c:pt>
                <c:pt idx="151">
                  <c:v>49630</c:v>
                </c:pt>
                <c:pt idx="152">
                  <c:v>49630</c:v>
                </c:pt>
                <c:pt idx="153">
                  <c:v>48980</c:v>
                </c:pt>
                <c:pt idx="154">
                  <c:v>48980</c:v>
                </c:pt>
                <c:pt idx="155">
                  <c:v>48950</c:v>
                </c:pt>
                <c:pt idx="156">
                  <c:v>48950</c:v>
                </c:pt>
                <c:pt idx="157">
                  <c:v>48530</c:v>
                </c:pt>
                <c:pt idx="158">
                  <c:v>48530</c:v>
                </c:pt>
                <c:pt idx="159">
                  <c:v>48170</c:v>
                </c:pt>
                <c:pt idx="160">
                  <c:v>48170</c:v>
                </c:pt>
                <c:pt idx="161">
                  <c:v>47360</c:v>
                </c:pt>
                <c:pt idx="162">
                  <c:v>47360</c:v>
                </c:pt>
                <c:pt idx="163">
                  <c:v>45510</c:v>
                </c:pt>
                <c:pt idx="164">
                  <c:v>45510</c:v>
                </c:pt>
                <c:pt idx="165">
                  <c:v>43840</c:v>
                </c:pt>
                <c:pt idx="166">
                  <c:v>43840</c:v>
                </c:pt>
                <c:pt idx="167">
                  <c:v>43510</c:v>
                </c:pt>
                <c:pt idx="168">
                  <c:v>43510</c:v>
                </c:pt>
                <c:pt idx="169">
                  <c:v>41980</c:v>
                </c:pt>
                <c:pt idx="170">
                  <c:v>41980</c:v>
                </c:pt>
                <c:pt idx="171">
                  <c:v>41570</c:v>
                </c:pt>
                <c:pt idx="172">
                  <c:v>41570</c:v>
                </c:pt>
                <c:pt idx="173">
                  <c:v>40400</c:v>
                </c:pt>
                <c:pt idx="174">
                  <c:v>40400</c:v>
                </c:pt>
                <c:pt idx="175">
                  <c:v>37920</c:v>
                </c:pt>
                <c:pt idx="176">
                  <c:v>37920</c:v>
                </c:pt>
                <c:pt idx="177">
                  <c:v>36040</c:v>
                </c:pt>
                <c:pt idx="178">
                  <c:v>36040</c:v>
                </c:pt>
                <c:pt idx="179">
                  <c:v>34980</c:v>
                </c:pt>
                <c:pt idx="180">
                  <c:v>34980</c:v>
                </c:pt>
                <c:pt idx="181">
                  <c:v>33920</c:v>
                </c:pt>
                <c:pt idx="182">
                  <c:v>33920</c:v>
                </c:pt>
              </c:numCache>
            </c:numRef>
          </c:xVal>
          <c:yVal>
            <c:numRef>
              <c:f>'Todos los Empleados'!$K$2:$K$184</c:f>
              <c:numCache>
                <c:formatCode>General</c:formatCode>
                <c:ptCount val="18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3</c:v>
                </c:pt>
                <c:pt idx="91">
                  <c:v>5</c:v>
                </c:pt>
                <c:pt idx="92">
                  <c:v>5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2</c:v>
                </c:pt>
                <c:pt idx="108">
                  <c:v>2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4</c:v>
                </c:pt>
                <c:pt idx="138">
                  <c:v>4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4</c:v>
                </c:pt>
                <c:pt idx="166">
                  <c:v>4</c:v>
                </c:pt>
                <c:pt idx="167">
                  <c:v>1</c:v>
                </c:pt>
                <c:pt idx="168">
                  <c:v>1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3-40B6-80D7-5472B6014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644767"/>
        <c:axId val="1329622303"/>
      </c:scatterChart>
      <c:valAx>
        <c:axId val="132964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Salarios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&quot;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9622303"/>
        <c:crosses val="autoZero"/>
        <c:crossBetween val="midCat"/>
      </c:valAx>
      <c:valAx>
        <c:axId val="132962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964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[Empleados_Analisis.xlsx]Cantidad de Empleados!TablaDinámica7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por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'Cantidad de Empleados'!$C$2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'Cantidad de Empleados'!$B$3:$B$39</c:f>
              <c:multiLvlStrCache>
                <c:ptCount val="32"/>
                <c:lvl>
                  <c:pt idx="0">
                    <c:v>may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ago</c:v>
                  </c:pt>
                  <c:pt idx="4">
                    <c:v>sep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dic</c:v>
                  </c:pt>
                  <c:pt idx="8">
                    <c:v>ene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abr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ago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  <c:pt idx="19">
                    <c:v>dic</c:v>
                  </c:pt>
                  <c:pt idx="20">
                    <c:v>ene</c:v>
                  </c:pt>
                  <c:pt idx="21">
                    <c:v>feb</c:v>
                  </c:pt>
                  <c:pt idx="22">
                    <c:v>mar</c:v>
                  </c:pt>
                  <c:pt idx="23">
                    <c:v>abr</c:v>
                  </c:pt>
                  <c:pt idx="24">
                    <c:v>may</c:v>
                  </c:pt>
                  <c:pt idx="25">
                    <c:v>jun</c:v>
                  </c:pt>
                  <c:pt idx="26">
                    <c:v>jul</c:v>
                  </c:pt>
                  <c:pt idx="27">
                    <c:v>ago</c:v>
                  </c:pt>
                  <c:pt idx="28">
                    <c:v>sep</c:v>
                  </c:pt>
                  <c:pt idx="29">
                    <c:v>oct</c:v>
                  </c:pt>
                  <c:pt idx="30">
                    <c:v>feb</c:v>
                  </c:pt>
                  <c:pt idx="31">
                    <c:v>abr</c:v>
                  </c:pt>
                </c:lvl>
                <c:lvl>
                  <c:pt idx="0">
                    <c:v>2020</c:v>
                  </c:pt>
                  <c:pt idx="8">
                    <c:v>2021</c:v>
                  </c:pt>
                  <c:pt idx="20">
                    <c:v>2022</c:v>
                  </c:pt>
                  <c:pt idx="30">
                    <c:v>2023</c:v>
                  </c:pt>
                </c:lvl>
              </c:multiLvlStrCache>
            </c:multiLvlStrRef>
          </c:cat>
          <c:val>
            <c:numRef>
              <c:f>'Cantidad de Empleados'!$C$3:$C$39</c:f>
              <c:numCache>
                <c:formatCode>General</c:formatCode>
                <c:ptCount val="32"/>
                <c:pt idx="0">
                  <c:v>3</c:v>
                </c:pt>
                <c:pt idx="1">
                  <c:v>4</c:v>
                </c:pt>
                <c:pt idx="2">
                  <c:v>9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37</c:v>
                </c:pt>
                <c:pt idx="8">
                  <c:v>6</c:v>
                </c:pt>
                <c:pt idx="9">
                  <c:v>10</c:v>
                </c:pt>
                <c:pt idx="10">
                  <c:v>19</c:v>
                </c:pt>
                <c:pt idx="11">
                  <c:v>24</c:v>
                </c:pt>
                <c:pt idx="12">
                  <c:v>34</c:v>
                </c:pt>
                <c:pt idx="13">
                  <c:v>40</c:v>
                </c:pt>
                <c:pt idx="14">
                  <c:v>53</c:v>
                </c:pt>
                <c:pt idx="15">
                  <c:v>57</c:v>
                </c:pt>
                <c:pt idx="16">
                  <c:v>68</c:v>
                </c:pt>
                <c:pt idx="17">
                  <c:v>71</c:v>
                </c:pt>
                <c:pt idx="18">
                  <c:v>75</c:v>
                </c:pt>
                <c:pt idx="19">
                  <c:v>82</c:v>
                </c:pt>
                <c:pt idx="20">
                  <c:v>3</c:v>
                </c:pt>
                <c:pt idx="21">
                  <c:v>13</c:v>
                </c:pt>
                <c:pt idx="22">
                  <c:v>22</c:v>
                </c:pt>
                <c:pt idx="23">
                  <c:v>31</c:v>
                </c:pt>
                <c:pt idx="24">
                  <c:v>40</c:v>
                </c:pt>
                <c:pt idx="25">
                  <c:v>47</c:v>
                </c:pt>
                <c:pt idx="26">
                  <c:v>52</c:v>
                </c:pt>
                <c:pt idx="27">
                  <c:v>57</c:v>
                </c:pt>
                <c:pt idx="28">
                  <c:v>59</c:v>
                </c:pt>
                <c:pt idx="29">
                  <c:v>62</c:v>
                </c:pt>
                <c:pt idx="30">
                  <c:v>1</c:v>
                </c:pt>
                <c:pt idx="3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A-4D31-925A-04C6C6218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646895"/>
        <c:axId val="1082644815"/>
      </c:lineChart>
      <c:catAx>
        <c:axId val="108264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2644815"/>
        <c:crosses val="autoZero"/>
        <c:auto val="1"/>
        <c:lblAlgn val="ctr"/>
        <c:lblOffset val="100"/>
        <c:noMultiLvlLbl val="0"/>
      </c:catAx>
      <c:valAx>
        <c:axId val="108264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264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</a:t>
            </a:r>
            <a:r>
              <a:rPr lang="en-US" baseline="0"/>
              <a:t> de empleados a través del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'Cantidad de Empleados'!$H$22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'Cantidad de Empleados'!$F$23:$F$58</c:f>
              <c:numCache>
                <c:formatCode>mmm\-yy</c:formatCode>
                <c:ptCount val="36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  <c:pt idx="11">
                  <c:v>44287</c:v>
                </c:pt>
                <c:pt idx="12">
                  <c:v>44317</c:v>
                </c:pt>
                <c:pt idx="13">
                  <c:v>44348</c:v>
                </c:pt>
                <c:pt idx="14">
                  <c:v>44378</c:v>
                </c:pt>
                <c:pt idx="15">
                  <c:v>44409</c:v>
                </c:pt>
                <c:pt idx="16">
                  <c:v>44440</c:v>
                </c:pt>
                <c:pt idx="17">
                  <c:v>44470</c:v>
                </c:pt>
                <c:pt idx="18">
                  <c:v>44501</c:v>
                </c:pt>
                <c:pt idx="19">
                  <c:v>44531</c:v>
                </c:pt>
                <c:pt idx="20">
                  <c:v>44562</c:v>
                </c:pt>
                <c:pt idx="21">
                  <c:v>44593</c:v>
                </c:pt>
                <c:pt idx="22">
                  <c:v>44621</c:v>
                </c:pt>
                <c:pt idx="23">
                  <c:v>44652</c:v>
                </c:pt>
                <c:pt idx="24">
                  <c:v>44682</c:v>
                </c:pt>
                <c:pt idx="25">
                  <c:v>44713</c:v>
                </c:pt>
                <c:pt idx="26">
                  <c:v>44743</c:v>
                </c:pt>
                <c:pt idx="27">
                  <c:v>44774</c:v>
                </c:pt>
                <c:pt idx="28">
                  <c:v>44805</c:v>
                </c:pt>
                <c:pt idx="29">
                  <c:v>44835</c:v>
                </c:pt>
                <c:pt idx="30">
                  <c:v>44866</c:v>
                </c:pt>
                <c:pt idx="31">
                  <c:v>44896</c:v>
                </c:pt>
                <c:pt idx="32">
                  <c:v>44927</c:v>
                </c:pt>
                <c:pt idx="33">
                  <c:v>44958</c:v>
                </c:pt>
                <c:pt idx="34">
                  <c:v>44986</c:v>
                </c:pt>
                <c:pt idx="35">
                  <c:v>45017</c:v>
                </c:pt>
              </c:numCache>
            </c:numRef>
          </c:cat>
          <c:val>
            <c:numRef>
              <c:f>'Cantidad de Empleados'!$H$23:$H$58</c:f>
              <c:numCache>
                <c:formatCode>General</c:formatCode>
                <c:ptCount val="36"/>
                <c:pt idx="0">
                  <c:v>3</c:v>
                </c:pt>
                <c:pt idx="1">
                  <c:v>4</c:v>
                </c:pt>
                <c:pt idx="2">
                  <c:v>9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37</c:v>
                </c:pt>
                <c:pt idx="8">
                  <c:v>43</c:v>
                </c:pt>
                <c:pt idx="9">
                  <c:v>47</c:v>
                </c:pt>
                <c:pt idx="10">
                  <c:v>56</c:v>
                </c:pt>
                <c:pt idx="11">
                  <c:v>61</c:v>
                </c:pt>
                <c:pt idx="12">
                  <c:v>71</c:v>
                </c:pt>
                <c:pt idx="13">
                  <c:v>77</c:v>
                </c:pt>
                <c:pt idx="14">
                  <c:v>90</c:v>
                </c:pt>
                <c:pt idx="15">
                  <c:v>94</c:v>
                </c:pt>
                <c:pt idx="16">
                  <c:v>105</c:v>
                </c:pt>
                <c:pt idx="17">
                  <c:v>108</c:v>
                </c:pt>
                <c:pt idx="18">
                  <c:v>112</c:v>
                </c:pt>
                <c:pt idx="19">
                  <c:v>119</c:v>
                </c:pt>
                <c:pt idx="20">
                  <c:v>122</c:v>
                </c:pt>
                <c:pt idx="21">
                  <c:v>132</c:v>
                </c:pt>
                <c:pt idx="22">
                  <c:v>141</c:v>
                </c:pt>
                <c:pt idx="23">
                  <c:v>150</c:v>
                </c:pt>
                <c:pt idx="24">
                  <c:v>159</c:v>
                </c:pt>
                <c:pt idx="25">
                  <c:v>166</c:v>
                </c:pt>
                <c:pt idx="26">
                  <c:v>171</c:v>
                </c:pt>
                <c:pt idx="27">
                  <c:v>176</c:v>
                </c:pt>
                <c:pt idx="28">
                  <c:v>178</c:v>
                </c:pt>
                <c:pt idx="29">
                  <c:v>181</c:v>
                </c:pt>
                <c:pt idx="30">
                  <c:v>181</c:v>
                </c:pt>
                <c:pt idx="31">
                  <c:v>181</c:v>
                </c:pt>
                <c:pt idx="32">
                  <c:v>181</c:v>
                </c:pt>
                <c:pt idx="33">
                  <c:v>182</c:v>
                </c:pt>
                <c:pt idx="34">
                  <c:v>182</c:v>
                </c:pt>
                <c:pt idx="35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1-4335-BBF0-D3ED464D0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857535"/>
        <c:axId val="1324874591"/>
      </c:lineChart>
      <c:dateAx>
        <c:axId val="132485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4874591"/>
        <c:crosses val="autoZero"/>
        <c:auto val="1"/>
        <c:lblOffset val="100"/>
        <c:baseTimeUnit val="months"/>
      </c:dateAx>
      <c:valAx>
        <c:axId val="132487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485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[Empleados_Analisis.xlsx]Empleados por Departamento!TablaDinámica15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931736657917762"/>
          <c:y val="5.0925925925925923E-2"/>
          <c:w val="0.78190485564304457"/>
          <c:h val="0.84167468649752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'Empleados por Departamento'!$E$3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'Empleados por Departamento'!$D$4:$D$9</c:f>
              <c:strCache>
                <c:ptCount val="5"/>
                <c:pt idx="0">
                  <c:v>HR</c:v>
                </c:pt>
                <c:pt idx="1">
                  <c:v>Sales</c:v>
                </c:pt>
                <c:pt idx="2">
                  <c:v>Finance</c:v>
                </c:pt>
                <c:pt idx="3">
                  <c:v>Procurement</c:v>
                </c:pt>
                <c:pt idx="4">
                  <c:v>Website</c:v>
                </c:pt>
              </c:strCache>
            </c:strRef>
          </c:cat>
          <c:val>
            <c:numRef>
              <c:f>'Empleados por Departamento'!$E$4:$E$9</c:f>
              <c:numCache>
                <c:formatCode>General</c:formatCode>
                <c:ptCount val="5"/>
                <c:pt idx="0">
                  <c:v>4</c:v>
                </c:pt>
                <c:pt idx="1">
                  <c:v>14</c:v>
                </c:pt>
                <c:pt idx="2">
                  <c:v>19</c:v>
                </c:pt>
                <c:pt idx="3">
                  <c:v>27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1-41C1-904C-BE359A5FF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4855871"/>
        <c:axId val="1324860031"/>
      </c:barChart>
      <c:catAx>
        <c:axId val="1324855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4860031"/>
        <c:crosses val="autoZero"/>
        <c:auto val="1"/>
        <c:lblAlgn val="ctr"/>
        <c:lblOffset val="100"/>
        <c:noMultiLvlLbl val="0"/>
      </c:catAx>
      <c:valAx>
        <c:axId val="132486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485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[Empleados_Analisis.xlsx]Empleados por Departamento!TablaDinámica14</c:name>
    <c:fmtId val="2"/>
  </c:pivotSource>
  <c:chart>
    <c:autoTitleDeleted val="1"/>
    <c:pivotFmts>
      <c:pivotFmt>
        <c:idx val="0"/>
        <c:spPr>
          <a:solidFill>
            <a:schemeClr val="accent2"/>
          </a:solidFill>
          <a:ln>
            <a:solidFill>
              <a:schemeClr val="accent2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solidFill>
              <a:schemeClr val="accent2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solidFill>
              <a:schemeClr val="accent2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'Empleados por Departamento'!$B$3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'Empleados por Departamento'!$A$4:$A$9</c:f>
              <c:strCache>
                <c:ptCount val="5"/>
                <c:pt idx="0">
                  <c:v>HR</c:v>
                </c:pt>
                <c:pt idx="1">
                  <c:v>Sales</c:v>
                </c:pt>
                <c:pt idx="2">
                  <c:v>Finance</c:v>
                </c:pt>
                <c:pt idx="3">
                  <c:v>Website</c:v>
                </c:pt>
                <c:pt idx="4">
                  <c:v>Procurement</c:v>
                </c:pt>
              </c:strCache>
            </c:strRef>
          </c:cat>
          <c:val>
            <c:numRef>
              <c:f>'Empleados por Departamento'!$B$4:$B$9</c:f>
              <c:numCache>
                <c:formatCode>General</c:formatCode>
                <c:ptCount val="5"/>
                <c:pt idx="0">
                  <c:v>4</c:v>
                </c:pt>
                <c:pt idx="1">
                  <c:v>14</c:v>
                </c:pt>
                <c:pt idx="2">
                  <c:v>19</c:v>
                </c:pt>
                <c:pt idx="3">
                  <c:v>27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0-4514-862B-24B6C9550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5438671"/>
        <c:axId val="1195440335"/>
      </c:barChart>
      <c:catAx>
        <c:axId val="1195438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5440335"/>
        <c:crosses val="autoZero"/>
        <c:auto val="1"/>
        <c:lblAlgn val="ctr"/>
        <c:lblOffset val="100"/>
        <c:noMultiLvlLbl val="0"/>
      </c:catAx>
      <c:valAx>
        <c:axId val="119544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543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[Empleados_Analisis.xlsx]Empleados por Departamento!TablaDinámica14</c:name>
    <c:fmtId val="0"/>
  </c:pivotSource>
  <c:chart>
    <c:autoTitleDeleted val="1"/>
    <c:pivotFmts>
      <c:pivotFmt>
        <c:idx val="0"/>
        <c:spPr>
          <a:solidFill>
            <a:schemeClr val="accent2"/>
          </a:solidFill>
          <a:ln>
            <a:solidFill>
              <a:schemeClr val="accent2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'Empleados por Departamento'!$B$3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'Empleados por Departamento'!$A$4:$A$9</c:f>
              <c:strCache>
                <c:ptCount val="5"/>
                <c:pt idx="0">
                  <c:v>HR</c:v>
                </c:pt>
                <c:pt idx="1">
                  <c:v>Sales</c:v>
                </c:pt>
                <c:pt idx="2">
                  <c:v>Finance</c:v>
                </c:pt>
                <c:pt idx="3">
                  <c:v>Website</c:v>
                </c:pt>
                <c:pt idx="4">
                  <c:v>Procurement</c:v>
                </c:pt>
              </c:strCache>
            </c:strRef>
          </c:cat>
          <c:val>
            <c:numRef>
              <c:f>'Empleados por Departamento'!$B$4:$B$9</c:f>
              <c:numCache>
                <c:formatCode>General</c:formatCode>
                <c:ptCount val="5"/>
                <c:pt idx="0">
                  <c:v>4</c:v>
                </c:pt>
                <c:pt idx="1">
                  <c:v>14</c:v>
                </c:pt>
                <c:pt idx="2">
                  <c:v>19</c:v>
                </c:pt>
                <c:pt idx="3">
                  <c:v>27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B-494B-963C-D46B4DE70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5438671"/>
        <c:axId val="1195440335"/>
      </c:barChart>
      <c:catAx>
        <c:axId val="1195438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5440335"/>
        <c:crosses val="autoZero"/>
        <c:auto val="1"/>
        <c:lblAlgn val="ctr"/>
        <c:lblOffset val="100"/>
        <c:noMultiLvlLbl val="0"/>
      </c:catAx>
      <c:valAx>
        <c:axId val="119544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543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[Empleados_Analisis.xlsx]Empleados por Departamento!TablaDinámica15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'Empleados por Departamento'!$E$3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'Empleados por Departamento'!$D$4:$D$9</c:f>
              <c:strCache>
                <c:ptCount val="5"/>
                <c:pt idx="0">
                  <c:v>HR</c:v>
                </c:pt>
                <c:pt idx="1">
                  <c:v>Sales</c:v>
                </c:pt>
                <c:pt idx="2">
                  <c:v>Finance</c:v>
                </c:pt>
                <c:pt idx="3">
                  <c:v>Procurement</c:v>
                </c:pt>
                <c:pt idx="4">
                  <c:v>Website</c:v>
                </c:pt>
              </c:strCache>
            </c:strRef>
          </c:cat>
          <c:val>
            <c:numRef>
              <c:f>'Empleados por Departamento'!$E$4:$E$9</c:f>
              <c:numCache>
                <c:formatCode>General</c:formatCode>
                <c:ptCount val="5"/>
                <c:pt idx="0">
                  <c:v>4</c:v>
                </c:pt>
                <c:pt idx="1">
                  <c:v>14</c:v>
                </c:pt>
                <c:pt idx="2">
                  <c:v>19</c:v>
                </c:pt>
                <c:pt idx="3">
                  <c:v>27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7-4D68-B89C-ACD8E6C05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4855871"/>
        <c:axId val="1324860031"/>
      </c:barChart>
      <c:catAx>
        <c:axId val="1324855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4860031"/>
        <c:crosses val="autoZero"/>
        <c:auto val="1"/>
        <c:lblAlgn val="ctr"/>
        <c:lblOffset val="100"/>
        <c:noMultiLvlLbl val="0"/>
      </c:catAx>
      <c:valAx>
        <c:axId val="132486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485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Distribución de Salarios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Distribución de Salarios</a:t>
          </a:r>
        </a:p>
      </cx:txPr>
    </cx:title>
    <cx:plotArea>
      <cx:plotAreaRegion>
        <cx:series layoutId="clusteredColumn" uniqueId="{8FB98DE4-256E-4F5C-8970-7241FE8D1BEB}">
          <cx:dataId val="0"/>
          <cx:layoutPr>
            <cx:binning intervalClosed="r" underflow="40000">
              <cx:binSize val="10000"/>
            </cx:binning>
          </cx:layoutPr>
        </cx:series>
      </cx:plotAreaRegion>
      <cx:axis id="0">
        <cx:catScaling gapWidth="0"/>
        <cx:tickLabels/>
      </cx:axis>
      <cx:axis id="1">
        <cx:valScaling/>
        <cx:title>
          <cx:tx>
            <cx:txData>
              <cx:v>Cantidad de Empleados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Cantidad de Empleados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Distribución de Salarios - 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Distribución de Salarios - Box Plot</a:t>
          </a:r>
        </a:p>
      </cx:txPr>
    </cx:title>
    <cx:plotArea>
      <cx:plotAreaRegion>
        <cx:series layoutId="boxWhisker" uniqueId="{A39B6EAD-1062-4BB7-99EF-955DD45966F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449494</xdr:colOff>
      <xdr:row>1</xdr:row>
      <xdr:rowOff>10703</xdr:rowOff>
    </xdr:from>
    <xdr:to>
      <xdr:col>12</xdr:col>
      <xdr:colOff>224747</xdr:colOff>
      <xdr:row>25</xdr:row>
      <xdr:rowOff>134528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9494" y="201203"/>
              <a:ext cx="8919253" cy="4695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1</xdr:colOff>
      <xdr:row>1</xdr:row>
      <xdr:rowOff>45357</xdr:rowOff>
    </xdr:from>
    <xdr:to>
      <xdr:col>20</xdr:col>
      <xdr:colOff>294822</xdr:colOff>
      <xdr:row>19</xdr:row>
      <xdr:rowOff>11340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01" y="235857"/>
              <a:ext cx="4104821" cy="33949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</xdr:colOff>
      <xdr:row>0</xdr:row>
      <xdr:rowOff>152401</xdr:rowOff>
    </xdr:from>
    <xdr:to>
      <xdr:col>5</xdr:col>
      <xdr:colOff>476250</xdr:colOff>
      <xdr:row>5</xdr:row>
      <xdr:rowOff>152401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ountry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7750" y="152401"/>
              <a:ext cx="182880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1495424</xdr:colOff>
      <xdr:row>0</xdr:row>
      <xdr:rowOff>190498</xdr:rowOff>
    </xdr:from>
    <xdr:to>
      <xdr:col>9</xdr:col>
      <xdr:colOff>104774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733425</xdr:colOff>
      <xdr:row>1</xdr:row>
      <xdr:rowOff>14287</xdr:rowOff>
    </xdr:from>
    <xdr:to>
      <xdr:col>12</xdr:col>
      <xdr:colOff>333375</xdr:colOff>
      <xdr:row>18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21</xdr:row>
      <xdr:rowOff>4762</xdr:rowOff>
    </xdr:from>
    <xdr:to>
      <xdr:col>15</xdr:col>
      <xdr:colOff>228600</xdr:colOff>
      <xdr:row>36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7</xdr:col>
      <xdr:colOff>9525</xdr:colOff>
      <xdr:row>19</xdr:row>
      <xdr:rowOff>0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1524000" y="1933575"/>
          <a:ext cx="3124200" cy="247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9</xdr:col>
      <xdr:colOff>0</xdr:colOff>
      <xdr:row>6</xdr:row>
      <xdr:rowOff>9525</xdr:rowOff>
    </xdr:from>
    <xdr:to>
      <xdr:col>14</xdr:col>
      <xdr:colOff>0</xdr:colOff>
      <xdr:row>19</xdr:row>
      <xdr:rowOff>9525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5734050" y="1943100"/>
          <a:ext cx="3076575" cy="247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581025</xdr:colOff>
      <xdr:row>6</xdr:row>
      <xdr:rowOff>0</xdr:rowOff>
    </xdr:from>
    <xdr:to>
      <xdr:col>7</xdr:col>
      <xdr:colOff>314325</xdr:colOff>
      <xdr:row>20</xdr:row>
      <xdr:rowOff>76200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5</xdr:row>
      <xdr:rowOff>171450</xdr:rowOff>
    </xdr:from>
    <xdr:to>
      <xdr:col>15</xdr:col>
      <xdr:colOff>438150</xdr:colOff>
      <xdr:row>20</xdr:row>
      <xdr:rowOff>57150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71437</xdr:rowOff>
    </xdr:from>
    <xdr:to>
      <xdr:col>4</xdr:col>
      <xdr:colOff>266700</xdr:colOff>
      <xdr:row>24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638175</xdr:colOff>
      <xdr:row>10</xdr:row>
      <xdr:rowOff>90487</xdr:rowOff>
    </xdr:from>
    <xdr:to>
      <xdr:col>10</xdr:col>
      <xdr:colOff>200025</xdr:colOff>
      <xdr:row>24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anco giovannone" refreshedDate="45170.599335879633" backgroundQuery="1" createdVersion="7" refreshedVersion="8" minRefreshableVersion="3" recordCount="0" supportSubquery="1" supportAdvancedDrill="1" xr:uid="{7CD9E725-E708-41FC-B512-B460B623B523}">
  <cacheSource type="external" connectionId="6"/>
  <cacheFields count="3">
    <cacheField name="[allstaff].[Department].[Department]" caption="Department" numFmtId="0" hierarchy="2" level="1">
      <sharedItems count="5">
        <s v="Finance"/>
        <s v="HR"/>
        <s v="Procurement"/>
        <s v="Sales"/>
        <s v="Website"/>
      </sharedItems>
    </cacheField>
    <cacheField name="[Measures].[Recuento de Name]" caption="Recuento de Name" numFmtId="0" hierarchy="13" level="32767"/>
    <cacheField name="[allstaff].[Country].[Country]" caption="Country" numFmtId="0" hierarchy="7" level="1">
      <sharedItems containsSemiMixedTypes="0" containsNonDate="0" containsString="0"/>
    </cacheField>
  </cacheFields>
  <cacheHierarchies count="14">
    <cacheHierarchy uniqueName="[allstaff].[Name]" caption="Name" attribute="1" defaultMemberUniqueName="[allstaff].[Name].[All]" allUniqueName="[allstaff].[Name].[All]" dimensionUniqueName="[allstaff]" displayFolder="" count="0" memberValueDatatype="130" unbalanced="0"/>
    <cacheHierarchy uniqueName="[allstaff].[Gender]" caption="Gender" attribute="1" defaultMemberUniqueName="[allstaff].[Gender].[All]" allUniqueName="[allstaff].[Gender].[All]" dimensionUniqueName="[allstaff]" displayFolder="" count="0" memberValueDatatype="130" unbalanced="0"/>
    <cacheHierarchy uniqueName="[allstaff].[Department]" caption="Department" attribute="1" defaultMemberUniqueName="[allstaff].[Department].[All]" allUniqueName="[allstaff].[Department].[All]" dimensionUniqueName="[allstaff]" displayFolder="" count="2" memberValueDatatype="130" unbalanced="0">
      <fieldsUsage count="2">
        <fieldUsage x="-1"/>
        <fieldUsage x="0"/>
      </fieldsUsage>
    </cacheHierarchy>
    <cacheHierarchy uniqueName="[allstaff].[Age]" caption="Age" attribute="1" defaultMemberUniqueName="[allstaff].[Age].[All]" allUniqueName="[allstaff].[Age].[All]" dimensionUniqueName="[allstaff]" displayFolder="" count="0" memberValueDatatype="20" unbalanced="0"/>
    <cacheHierarchy uniqueName="[allstaff].[Date Joined]" caption="Date Joined" attribute="1" time="1" defaultMemberUniqueName="[allstaff].[Date Joined].[All]" allUniqueName="[allstaff].[Date Joined].[All]" dimensionUniqueName="[allstaff]" displayFolder="" count="0" memberValueDatatype="7" unbalanced="0"/>
    <cacheHierarchy uniqueName="[allstaff].[Salary]" caption="Salary" attribute="1" defaultMemberUniqueName="[allstaff].[Salary].[All]" allUniqueName="[allstaff].[Salary].[All]" dimensionUniqueName="[allstaff]" displayFolder="" count="0" memberValueDatatype="20" unbalanced="0"/>
    <cacheHierarchy uniqueName="[allstaff].[Rating]" caption="Rating" attribute="1" defaultMemberUniqueName="[allstaff].[Rating].[All]" allUniqueName="[allstaff].[Rating].[All]" dimensionUniqueName="[allstaff]" displayFolder="" count="0" memberValueDatatype="130" unbalanced="0"/>
    <cacheHierarchy uniqueName="[allstaff].[Country]" caption="Country" attribute="1" defaultMemberUniqueName="[allstaff].[Country].[All]" allUniqueName="[allstaff].[Country].[All]" dimensionUniqueName="[allstaff]" displayFolder="" count="2" memberValueDatatype="130" unbalanced="0">
      <fieldsUsage count="2">
        <fieldUsage x="-1"/>
        <fieldUsage x="2"/>
      </fieldsUsage>
    </cacheHierarchy>
    <cacheHierarchy uniqueName="[allstaff].[Tenure in Years]" caption="Tenure in Years" attribute="1" defaultMemberUniqueName="[allstaff].[Tenure in Years].[All]" allUniqueName="[allstaff].[Tenure in Years].[All]" dimensionUniqueName="[allstaff]" displayFolder="" count="0" memberValueDatatype="5" unbalanced="0"/>
    <cacheHierarchy uniqueName="[allstaff].[Bonus]" caption="Bonus" attribute="1" defaultMemberUniqueName="[allstaff].[Bonus].[All]" allUniqueName="[allstaff].[Bonus].[All]" dimensionUniqueName="[allstaff]" displayFolder="" count="0" memberValueDatatype="20" unbalanced="0"/>
    <cacheHierarchy uniqueName="[allstaff].[Rating as Number]" caption="Rating as Number" attribute="1" defaultMemberUniqueName="[allstaff].[Rating as Number].[All]" allUniqueName="[allstaff].[Rating as Number].[All]" dimensionUniqueName="[allstaff]" displayFolder="" count="0" memberValueDatatype="20" unbalanced="0"/>
    <cacheHierarchy uniqueName="[Measures].[__XL_Count allstaff]" caption="__XL_Count allstaff" measure="1" displayFolder="" measureGroup="allstaff" count="0" hidden="1"/>
    <cacheHierarchy uniqueName="[Measures].[__No measures defined]" caption="__No measures defined" measure="1" displayFolder="" count="0" hidden="1"/>
    <cacheHierarchy uniqueName="[Measures].[Recuento de Name]" caption="Recuento de Name" measure="1" displayFolder="" measureGroup="allstaff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allstaff" uniqueName="[allstaff]" caption="allstaff"/>
    <dimension measure="1" name="Measures" uniqueName="[Measures]" caption="Measures"/>
  </dimensions>
  <measureGroups count="1">
    <measureGroup name="allstaff" caption="allstaff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anco giovannone" refreshedDate="45170.599337268519" backgroundQuery="1" createdVersion="7" refreshedVersion="8" minRefreshableVersion="3" recordCount="0" supportSubquery="1" supportAdvancedDrill="1" xr:uid="{0F274BA6-A25B-4CD2-8B40-24106BD5FCAC}">
  <cacheSource type="external" connectionId="6"/>
  <cacheFields count="3">
    <cacheField name="[allstaff].[Department].[Department]" caption="Department" numFmtId="0" hierarchy="2" level="1">
      <sharedItems count="5">
        <s v="Finance"/>
        <s v="HR"/>
        <s v="Procurement"/>
        <s v="Sales"/>
        <s v="Website"/>
      </sharedItems>
    </cacheField>
    <cacheField name="[Measures].[Recuento de Name]" caption="Recuento de Name" numFmtId="0" hierarchy="13" level="32767"/>
    <cacheField name="[allstaff].[Country].[Country]" caption="Country" numFmtId="0" hierarchy="7" level="1">
      <sharedItems containsSemiMixedTypes="0" containsNonDate="0" containsString="0"/>
    </cacheField>
  </cacheFields>
  <cacheHierarchies count="14">
    <cacheHierarchy uniqueName="[allstaff].[Name]" caption="Name" attribute="1" defaultMemberUniqueName="[allstaff].[Name].[All]" allUniqueName="[allstaff].[Name].[All]" dimensionUniqueName="[allstaff]" displayFolder="" count="0" memberValueDatatype="130" unbalanced="0"/>
    <cacheHierarchy uniqueName="[allstaff].[Gender]" caption="Gender" attribute="1" defaultMemberUniqueName="[allstaff].[Gender].[All]" allUniqueName="[allstaff].[Gender].[All]" dimensionUniqueName="[allstaff]" displayFolder="" count="0" memberValueDatatype="130" unbalanced="0"/>
    <cacheHierarchy uniqueName="[allstaff].[Department]" caption="Department" attribute="1" defaultMemberUniqueName="[allstaff].[Department].[All]" allUniqueName="[allstaff].[Department].[All]" dimensionUniqueName="[allstaff]" displayFolder="" count="2" memberValueDatatype="130" unbalanced="0">
      <fieldsUsage count="2">
        <fieldUsage x="-1"/>
        <fieldUsage x="0"/>
      </fieldsUsage>
    </cacheHierarchy>
    <cacheHierarchy uniqueName="[allstaff].[Age]" caption="Age" attribute="1" defaultMemberUniqueName="[allstaff].[Age].[All]" allUniqueName="[allstaff].[Age].[All]" dimensionUniqueName="[allstaff]" displayFolder="" count="0" memberValueDatatype="20" unbalanced="0"/>
    <cacheHierarchy uniqueName="[allstaff].[Date Joined]" caption="Date Joined" attribute="1" time="1" defaultMemberUniqueName="[allstaff].[Date Joined].[All]" allUniqueName="[allstaff].[Date Joined].[All]" dimensionUniqueName="[allstaff]" displayFolder="" count="0" memberValueDatatype="7" unbalanced="0"/>
    <cacheHierarchy uniqueName="[allstaff].[Salary]" caption="Salary" attribute="1" defaultMemberUniqueName="[allstaff].[Salary].[All]" allUniqueName="[allstaff].[Salary].[All]" dimensionUniqueName="[allstaff]" displayFolder="" count="0" memberValueDatatype="20" unbalanced="0"/>
    <cacheHierarchy uniqueName="[allstaff].[Rating]" caption="Rating" attribute="1" defaultMemberUniqueName="[allstaff].[Rating].[All]" allUniqueName="[allstaff].[Rating].[All]" dimensionUniqueName="[allstaff]" displayFolder="" count="0" memberValueDatatype="130" unbalanced="0"/>
    <cacheHierarchy uniqueName="[allstaff].[Country]" caption="Country" attribute="1" defaultMemberUniqueName="[allstaff].[Country].[All]" allUniqueName="[allstaff].[Country].[All]" dimensionUniqueName="[allstaff]" displayFolder="" count="2" memberValueDatatype="130" unbalanced="0">
      <fieldsUsage count="2">
        <fieldUsage x="-1"/>
        <fieldUsage x="2"/>
      </fieldsUsage>
    </cacheHierarchy>
    <cacheHierarchy uniqueName="[allstaff].[Tenure in Years]" caption="Tenure in Years" attribute="1" defaultMemberUniqueName="[allstaff].[Tenure in Years].[All]" allUniqueName="[allstaff].[Tenure in Years].[All]" dimensionUniqueName="[allstaff]" displayFolder="" count="0" memberValueDatatype="5" unbalanced="0"/>
    <cacheHierarchy uniqueName="[allstaff].[Bonus]" caption="Bonus" attribute="1" defaultMemberUniqueName="[allstaff].[Bonus].[All]" allUniqueName="[allstaff].[Bonus].[All]" dimensionUniqueName="[allstaff]" displayFolder="" count="0" memberValueDatatype="20" unbalanced="0"/>
    <cacheHierarchy uniqueName="[allstaff].[Rating as Number]" caption="Rating as Number" attribute="1" defaultMemberUniqueName="[allstaff].[Rating as Number].[All]" allUniqueName="[allstaff].[Rating as Number].[All]" dimensionUniqueName="[allstaff]" displayFolder="" count="0" memberValueDatatype="20" unbalanced="0"/>
    <cacheHierarchy uniqueName="[Measures].[__XL_Count allstaff]" caption="__XL_Count allstaff" measure="1" displayFolder="" measureGroup="allstaff" count="0" hidden="1"/>
    <cacheHierarchy uniqueName="[Measures].[__No measures defined]" caption="__No measures defined" measure="1" displayFolder="" count="0" hidden="1"/>
    <cacheHierarchy uniqueName="[Measures].[Recuento de Name]" caption="Recuento de Name" measure="1" displayFolder="" measureGroup="allstaff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allstaff" uniqueName="[allstaff]" caption="allstaff"/>
    <dimension measure="1" name="Measures" uniqueName="[Measures]" caption="Measures"/>
  </dimensions>
  <measureGroups count="1">
    <measureGroup name="allstaff" caption="allstaff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o giovannone" refreshedDate="45170.599337962965" createdVersion="7" refreshedVersion="8" minRefreshableVersion="3" recordCount="183" xr:uid="{E9B27C03-7A7F-415B-AD39-2AA1C27F9FC0}">
  <cacheSource type="worksheet">
    <worksheetSource name="allstaff"/>
  </cacheSource>
  <cacheFields count="13">
    <cacheField name="Name" numFmtId="0">
      <sharedItems/>
    </cacheField>
    <cacheField name="Gender" numFmtId="0">
      <sharedItems count="3">
        <s v="Female"/>
        <s v="Male"/>
        <s v="Other"/>
      </sharedItems>
    </cacheField>
    <cacheField name="Department" numFmtId="0">
      <sharedItems/>
    </cacheField>
    <cacheField name="Age" numFmtId="0">
      <sharedItems containsSemiMixedTypes="0" containsString="0" containsNumber="1" containsInteger="1" minValue="19" maxValue="46"/>
    </cacheField>
    <cacheField name="Date Joined" numFmtId="14">
      <sharedItems containsSemiMixedTypes="0" containsNonDate="0" containsDate="1" containsString="0" minDate="2020-05-07T00:00:00" maxDate="2023-04-30T00:00:00" count="160">
        <d v="2020-10-18T00:00:00"/>
        <d v="2020-08-18T00:00:00"/>
        <d v="2020-07-07T00:00:00"/>
        <d v="2020-05-07T00:00:00"/>
        <d v="2021-09-12T00:00:00"/>
        <d v="2021-07-12T00:00:00"/>
        <d v="2020-11-29T00:00:00"/>
        <d v="2020-09-29T00:00:00"/>
        <d v="2020-11-11T00:00:00"/>
        <d v="2020-09-11T00:00:00"/>
        <d v="2020-07-11T00:00:00"/>
        <d v="2023-04-29T00:00:00"/>
        <d v="2023-02-28T00:00:00"/>
        <d v="2022-10-16T00:00:00"/>
        <d v="2022-08-16T00:00:00"/>
        <d v="2022-02-17T00:00:00"/>
        <d v="2021-12-17T00:00:00"/>
        <d v="2021-09-07T00:00:00"/>
        <d v="2021-07-07T00:00:00"/>
        <d v="2020-12-18T00:00:00"/>
        <d v="2022-03-22T00:00:00"/>
        <d v="2022-10-27T00:00:00"/>
        <d v="2022-08-27T00:00:00"/>
        <d v="2020-12-15T00:00:00"/>
        <d v="2020-10-15T00:00:00"/>
        <d v="2022-06-14T00:00:00"/>
        <d v="2022-04-14T00:00:00"/>
        <d v="2021-06-30T00:00:00"/>
        <d v="2021-04-30T00:00:00"/>
        <d v="2021-09-20T00:00:00"/>
        <d v="2021-07-20T00:00:00"/>
        <d v="2021-09-01T00:00:00"/>
        <d v="2021-07-01T00:00:00"/>
        <d v="2021-10-17T00:00:00"/>
        <d v="2021-08-17T00:00:00"/>
        <d v="2021-07-04T00:00:00"/>
        <d v="2021-05-04T00:00:00"/>
        <d v="2022-03-29T00:00:00"/>
        <d v="2022-01-29T00:00:00"/>
        <d v="2022-06-12T00:00:00"/>
        <d v="2022-04-12T00:00:00"/>
        <d v="2022-05-05T00:00:00"/>
        <d v="2022-03-05T00:00:00"/>
        <d v="2022-03-10T00:00:00"/>
        <d v="2022-01-10T00:00:00"/>
        <d v="2021-03-08T00:00:00"/>
        <d v="2021-01-08T00:00:00"/>
        <d v="2022-02-14T00:00:00"/>
        <d v="2021-12-14T00:00:00"/>
        <d v="2020-12-25T00:00:00"/>
        <d v="2020-10-25T00:00:00"/>
        <d v="2021-01-09T00:00:00"/>
        <d v="2020-11-09T00:00:00"/>
        <d v="2021-09-06T00:00:00"/>
        <d v="2021-07-06T00:00:00"/>
        <d v="2021-02-09T00:00:00"/>
        <d v="2020-12-09T00:00:00"/>
        <d v="2022-08-01T00:00:00"/>
        <d v="2022-06-01T00:00:00"/>
        <d v="2021-03-16T00:00:00"/>
        <d v="2021-01-16T00:00:00"/>
        <d v="2021-05-22T00:00:00"/>
        <d v="2021-03-22T00:00:00"/>
        <d v="2021-05-21T00:00:00"/>
        <d v="2021-03-21T00:00:00"/>
        <d v="2022-09-05T00:00:00"/>
        <d v="2022-07-05T00:00:00"/>
        <d v="2022-05-13T00:00:00"/>
        <d v="2022-03-13T00:00:00"/>
        <d v="2022-07-02T00:00:00"/>
        <d v="2022-05-02T00:00:00"/>
        <d v="2021-10-25T00:00:00"/>
        <d v="2021-08-25T00:00:00"/>
        <d v="2021-11-29T00:00:00"/>
        <d v="2021-09-29T00:00:00"/>
        <d v="2021-09-11T00:00:00"/>
        <d v="2021-07-11T00:00:00"/>
        <d v="2020-12-20T00:00:00"/>
        <d v="2020-10-20T00:00:00"/>
        <d v="2021-02-15T00:00:00"/>
        <d v="2021-06-27T00:00:00"/>
        <d v="2021-04-27T00:00:00"/>
        <d v="2021-04-26T00:00:00"/>
        <d v="2021-02-26T00:00:00"/>
        <d v="2022-08-06T00:00:00"/>
        <d v="2022-06-06T00:00:00"/>
        <d v="2021-07-08T00:00:00"/>
        <d v="2021-05-08T00:00:00"/>
        <d v="2021-05-17T00:00:00"/>
        <d v="2021-03-17T00:00:00"/>
        <d v="2022-07-16T00:00:00"/>
        <d v="2022-05-16T00:00:00"/>
        <d v="2022-06-19T00:00:00"/>
        <d v="2022-04-19T00:00:00"/>
        <d v="2021-03-18T00:00:00"/>
        <d v="2021-01-18T00:00:00"/>
        <d v="2022-05-20T00:00:00"/>
        <d v="2022-03-20T00:00:00"/>
        <d v="2021-12-07T00:00:00"/>
        <d v="2021-10-07T00:00:00"/>
        <d v="2021-05-12T00:00:00"/>
        <d v="2021-05-01T00:00:00"/>
        <d v="2021-03-01T00:00:00"/>
        <d v="2021-05-06T00:00:00"/>
        <d v="2020-08-24T00:00:00"/>
        <d v="2020-06-24T00:00:00"/>
        <d v="2022-02-05T00:00:00"/>
        <d v="2021-12-05T00:00:00"/>
        <d v="2020-11-13T00:00:00"/>
        <d v="2020-09-13T00:00:00"/>
        <d v="2022-04-15T00:00:00"/>
        <d v="2022-02-15T00:00:00"/>
        <d v="2022-02-20T00:00:00"/>
        <d v="2021-12-20T00:00:00"/>
        <d v="2021-02-16T00:00:00"/>
        <d v="2020-12-16T00:00:00"/>
        <d v="2021-01-22T00:00:00"/>
        <d v="2022-04-02T00:00:00"/>
        <d v="2022-02-02T00:00:00"/>
        <d v="2022-02-12T00:00:00"/>
        <d v="2022-07-20T00:00:00"/>
        <d v="2021-05-13T00:00:00"/>
        <d v="2021-03-13T00:00:00"/>
        <d v="2020-10-30T00:00:00"/>
        <d v="2020-08-30T00:00:00"/>
        <d v="2021-11-09T00:00:00"/>
        <d v="2021-09-09T00:00:00"/>
        <d v="2021-09-26T00:00:00"/>
        <d v="2021-08-03T00:00:00"/>
        <d v="2021-07-26T00:00:00"/>
        <d v="2021-06-03T00:00:00"/>
        <d v="2021-06-10T00:00:00"/>
        <d v="2021-04-10T00:00:00"/>
        <d v="2021-08-28T00:00:00"/>
        <d v="2021-06-28T00:00:00"/>
        <d v="2022-06-09T00:00:00"/>
        <d v="2022-04-09T00:00:00"/>
        <d v="2022-01-06T00:00:00"/>
        <d v="2021-11-06T00:00:00"/>
        <d v="2021-11-11T00:00:00"/>
        <d v="2020-07-29T00:00:00"/>
        <d v="2020-05-29T00:00:00"/>
        <d v="2021-01-29T00:00:00"/>
        <d v="2021-07-23T00:00:00"/>
        <d v="2021-05-23T00:00:00"/>
        <d v="2021-06-07T00:00:00"/>
        <d v="2021-04-07T00:00:00"/>
        <d v="2022-09-16T00:00:00"/>
        <d v="2020-11-10T00:00:00"/>
        <d v="2020-09-10T00:00:00"/>
        <d v="2022-02-19T00:00:00"/>
        <d v="2021-12-19T00:00:00"/>
        <d v="2022-06-15T00:00:00"/>
        <d v="2020-09-30T00:00:00"/>
        <d v="2020-07-30T00:00:00"/>
        <d v="2022-02-28T00:00:00"/>
        <d v="2021-12-28T00:00:00"/>
        <d v="2020-05-11T00:00:00"/>
        <d v="2022-04-27T00:00:00"/>
        <d v="2022-02-27T00:00:00"/>
      </sharedItems>
      <fieldGroup par="12" base="4">
        <rangePr groupBy="months" startDate="2020-05-07T00:00:00" endDate="2023-04-30T00:00:00"/>
        <groupItems count="14">
          <s v="&lt;7/5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4/2023"/>
        </groupItems>
      </fieldGroup>
    </cacheField>
    <cacheField name="Salary" numFmtId="164">
      <sharedItems containsSemiMixedTypes="0" containsString="0" containsNumber="1" containsInteger="1" minValue="33920" maxValue="119110"/>
    </cacheField>
    <cacheField name="Rating" numFmtId="0">
      <sharedItems count="5">
        <s v="Average"/>
        <s v="Poor"/>
        <s v="Very poor"/>
        <s v="Above average"/>
        <s v="Exceptional"/>
      </sharedItems>
    </cacheField>
    <cacheField name="Country" numFmtId="0">
      <sharedItems count="2">
        <s v="NZ"/>
        <s v="India"/>
      </sharedItems>
    </cacheField>
    <cacheField name="Tenure in Years" numFmtId="2">
      <sharedItems containsSemiMixedTypes="0" containsString="0" containsNumber="1" minValue="0.34246575342465752" maxValue="3.3205479452054796"/>
    </cacheField>
    <cacheField name="Bonus" numFmtId="165">
      <sharedItems containsSemiMixedTypes="0" containsString="0" containsNumber="1" containsInteger="1" minValue="679" maxValue="3574"/>
    </cacheField>
    <cacheField name="Rating as Number" numFmtId="0">
      <sharedItems containsSemiMixedTypes="0" containsString="0" containsNumber="1" containsInteger="1" minValue="1" maxValue="5"/>
    </cacheField>
    <cacheField name="Trimestres" numFmtId="0" databaseField="0">
      <fieldGroup base="4">
        <rangePr groupBy="quarters" startDate="2020-05-07T00:00:00" endDate="2023-04-30T00:00:00"/>
        <groupItems count="6">
          <s v="&lt;7/5/2020"/>
          <s v="Trim.1"/>
          <s v="Trim.2"/>
          <s v="Trim.3"/>
          <s v="Trim.4"/>
          <s v="&gt;30/4/2023"/>
        </groupItems>
      </fieldGroup>
    </cacheField>
    <cacheField name="Años" numFmtId="0" databaseField="0">
      <fieldGroup base="4">
        <rangePr groupBy="years" startDate="2020-05-07T00:00:00" endDate="2023-04-30T00:00:00"/>
        <groupItems count="6">
          <s v="&lt;7/5/2020"/>
          <s v="2020"/>
          <s v="2021"/>
          <s v="2022"/>
          <s v="2023"/>
          <s v="&gt;30/4/2023"/>
        </groupItems>
      </fieldGroup>
    </cacheField>
  </cacheFields>
  <extLst>
    <ext xmlns:x14="http://schemas.microsoft.com/office/spreadsheetml/2009/9/main" uri="{725AE2AE-9491-48be-B2B4-4EB974FC3084}">
      <x14:pivotCacheDefinition pivotCacheId="162867172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s v="Ewart Laphorn"/>
    <x v="0"/>
    <s v="HR"/>
    <n v="27"/>
    <x v="0"/>
    <n v="119110"/>
    <x v="0"/>
    <x v="0"/>
    <n v="2.871232876712329"/>
    <n v="3574"/>
    <n v="3"/>
  </r>
  <r>
    <s v="Anjushri Chandiramani"/>
    <x v="0"/>
    <s v="HR"/>
    <n v="27"/>
    <x v="1"/>
    <n v="119110"/>
    <x v="0"/>
    <x v="1"/>
    <n v="3.0383561643835617"/>
    <n v="3574"/>
    <n v="3"/>
  </r>
  <r>
    <s v="Tawnya Tickel"/>
    <x v="1"/>
    <s v="Website"/>
    <n v="36"/>
    <x v="2"/>
    <n v="118840"/>
    <x v="0"/>
    <x v="0"/>
    <n v="3.1534246575342464"/>
    <n v="3566"/>
    <n v="3"/>
  </r>
  <r>
    <s v="Heer Pennathur"/>
    <x v="1"/>
    <s v="Website"/>
    <n v="36"/>
    <x v="3"/>
    <n v="118840"/>
    <x v="0"/>
    <x v="1"/>
    <n v="3.3205479452054796"/>
    <n v="3566"/>
    <n v="3"/>
  </r>
  <r>
    <s v="Valentia Etteridge"/>
    <x v="0"/>
    <s v="HR"/>
    <n v="37"/>
    <x v="4"/>
    <n v="118100"/>
    <x v="0"/>
    <x v="0"/>
    <n v="1.9698630136986301"/>
    <n v="2362"/>
    <n v="3"/>
  </r>
  <r>
    <s v="Kaishori Harathi Kateel"/>
    <x v="0"/>
    <s v="HR"/>
    <n v="37"/>
    <x v="5"/>
    <n v="118100"/>
    <x v="0"/>
    <x v="1"/>
    <n v="2.1397260273972605"/>
    <n v="3543"/>
    <n v="3"/>
  </r>
  <r>
    <s v="Roddy Speechley"/>
    <x v="1"/>
    <s v="Procurement"/>
    <n v="33"/>
    <x v="6"/>
    <n v="115920"/>
    <x v="0"/>
    <x v="0"/>
    <n v="2.7561643835616438"/>
    <n v="3478"/>
    <n v="3"/>
  </r>
  <r>
    <s v="Sarayu Ragunathan"/>
    <x v="1"/>
    <s v="Procurement"/>
    <n v="33"/>
    <x v="7"/>
    <n v="115920"/>
    <x v="0"/>
    <x v="1"/>
    <n v="2.9232876712328766"/>
    <n v="3478"/>
    <n v="3"/>
  </r>
  <r>
    <s v="Benny Karolovsky"/>
    <x v="2"/>
    <s v="Finance"/>
    <n v="37"/>
    <x v="8"/>
    <n v="115440"/>
    <x v="1"/>
    <x v="0"/>
    <n v="2.8054794520547945"/>
    <n v="3464"/>
    <n v="2"/>
  </r>
  <r>
    <s v="Sahila Chandrasekhar"/>
    <x v="2"/>
    <s v="Finance"/>
    <n v="37"/>
    <x v="9"/>
    <n v="115440"/>
    <x v="1"/>
    <x v="1"/>
    <n v="2.9726027397260273"/>
    <n v="3464"/>
    <n v="2"/>
  </r>
  <r>
    <s v="Tracy Renad"/>
    <x v="0"/>
    <s v="Procurement"/>
    <n v="36"/>
    <x v="9"/>
    <n v="114890"/>
    <x v="0"/>
    <x v="0"/>
    <n v="2.9726027397260273"/>
    <n v="3447"/>
    <n v="3"/>
  </r>
  <r>
    <s v="Dhruv Manjunath"/>
    <x v="0"/>
    <s v="Procurement"/>
    <n v="36"/>
    <x v="10"/>
    <n v="114890"/>
    <x v="0"/>
    <x v="1"/>
    <n v="3.1424657534246574"/>
    <n v="3447"/>
    <n v="3"/>
  </r>
  <r>
    <s v="Wilone O'Kielt"/>
    <x v="0"/>
    <s v="Website"/>
    <n v="43"/>
    <x v="11"/>
    <n v="114870"/>
    <x v="0"/>
    <x v="0"/>
    <n v="0.34246575342465752"/>
    <n v="2298"/>
    <n v="3"/>
  </r>
  <r>
    <s v="Ramnath Ravuri"/>
    <x v="0"/>
    <s v="Website"/>
    <n v="44"/>
    <x v="12"/>
    <n v="114870"/>
    <x v="0"/>
    <x v="1"/>
    <n v="0.50684931506849318"/>
    <n v="2298"/>
    <n v="3"/>
  </r>
  <r>
    <s v="Hogan Iles"/>
    <x v="0"/>
    <s v="Procurement"/>
    <n v="30"/>
    <x v="13"/>
    <n v="114180"/>
    <x v="0"/>
    <x v="0"/>
    <n v="0.87671232876712324"/>
    <n v="2284"/>
    <n v="3"/>
  </r>
  <r>
    <s v="Sarojini Naueshwara"/>
    <x v="0"/>
    <s v="Procurement"/>
    <n v="30"/>
    <x v="14"/>
    <n v="114180"/>
    <x v="0"/>
    <x v="1"/>
    <n v="1.0438356164383562"/>
    <n v="2284"/>
    <n v="3"/>
  </r>
  <r>
    <s v="Mahalia Larcher"/>
    <x v="1"/>
    <s v="Procurement"/>
    <n v="27"/>
    <x v="15"/>
    <n v="113280"/>
    <x v="2"/>
    <x v="0"/>
    <n v="1.536986301369863"/>
    <n v="2266"/>
    <n v="1"/>
  </r>
  <r>
    <s v="Ilesh Dasgupta"/>
    <x v="1"/>
    <s v="Procurement"/>
    <n v="27"/>
    <x v="16"/>
    <n v="113280"/>
    <x v="2"/>
    <x v="1"/>
    <n v="1.7068493150684931"/>
    <n v="2266"/>
    <n v="1"/>
  </r>
  <r>
    <s v="Lindy Guillet"/>
    <x v="1"/>
    <s v="Sales"/>
    <n v="22"/>
    <x v="17"/>
    <n v="112780"/>
    <x v="3"/>
    <x v="0"/>
    <n v="1.9835616438356165"/>
    <n v="2256"/>
    <n v="4"/>
  </r>
  <r>
    <s v="Krishnakanta Vellanki"/>
    <x v="1"/>
    <s v="Sales"/>
    <n v="22"/>
    <x v="18"/>
    <n v="112780"/>
    <x v="3"/>
    <x v="1"/>
    <n v="2.1534246575342464"/>
    <n v="3384"/>
    <n v="4"/>
  </r>
  <r>
    <s v="Mollie Hanway"/>
    <x v="1"/>
    <s v="Website"/>
    <n v="20"/>
    <x v="19"/>
    <n v="112650"/>
    <x v="0"/>
    <x v="0"/>
    <n v="2.7041095890410958"/>
    <n v="3380"/>
    <n v="3"/>
  </r>
  <r>
    <s v="Bandhula Sathyanna"/>
    <x v="1"/>
    <s v="Procurement"/>
    <n v="34"/>
    <x v="20"/>
    <n v="112650"/>
    <x v="0"/>
    <x v="1"/>
    <n v="1.4465753424657535"/>
    <n v="2253"/>
    <n v="3"/>
  </r>
  <r>
    <s v="Deepali Charan"/>
    <x v="1"/>
    <s v="Website"/>
    <n v="20"/>
    <x v="0"/>
    <n v="112650"/>
    <x v="0"/>
    <x v="1"/>
    <n v="2.871232876712329"/>
    <n v="3380"/>
    <n v="3"/>
  </r>
  <r>
    <s v="Halimeda Kuscha"/>
    <x v="0"/>
    <s v="Procurement"/>
    <n v="30"/>
    <x v="21"/>
    <n v="112570"/>
    <x v="0"/>
    <x v="0"/>
    <n v="0.84657534246575339"/>
    <n v="2252"/>
    <n v="3"/>
  </r>
  <r>
    <s v="Makshi Vinutha"/>
    <x v="0"/>
    <s v="Procurement"/>
    <n v="30"/>
    <x v="22"/>
    <n v="112570"/>
    <x v="0"/>
    <x v="1"/>
    <n v="1.0136986301369864"/>
    <n v="2252"/>
    <n v="3"/>
  </r>
  <r>
    <s v="Bev Lashley"/>
    <x v="1"/>
    <s v="Website"/>
    <n v="29"/>
    <x v="23"/>
    <n v="112110"/>
    <x v="1"/>
    <x v="0"/>
    <n v="2.7123287671232879"/>
    <n v="3364"/>
    <n v="2"/>
  </r>
  <r>
    <s v="Narois Motiwala"/>
    <x v="1"/>
    <s v="Website"/>
    <n v="29"/>
    <x v="24"/>
    <n v="112110"/>
    <x v="1"/>
    <x v="1"/>
    <n v="2.8794520547945206"/>
    <n v="3364"/>
    <n v="2"/>
  </r>
  <r>
    <s v="Madelene Upcott"/>
    <x v="1"/>
    <s v="Procurement"/>
    <n v="25"/>
    <x v="25"/>
    <n v="109190"/>
    <x v="3"/>
    <x v="0"/>
    <n v="1.2164383561643837"/>
    <n v="2184"/>
    <n v="4"/>
  </r>
  <r>
    <s v="Damayanti Thangavadivelu"/>
    <x v="1"/>
    <s v="Procurement"/>
    <n v="25"/>
    <x v="26"/>
    <n v="109190"/>
    <x v="3"/>
    <x v="1"/>
    <n v="1.3835616438356164"/>
    <n v="2184"/>
    <n v="4"/>
  </r>
  <r>
    <s v="Rafaelita Blaksland"/>
    <x v="0"/>
    <s v="Sales"/>
    <n v="38"/>
    <x v="27"/>
    <n v="109160"/>
    <x v="4"/>
    <x v="0"/>
    <n v="2.1726027397260275"/>
    <n v="3275"/>
    <n v="5"/>
  </r>
  <r>
    <s v="Sawini Chandan"/>
    <x v="0"/>
    <s v="Sales"/>
    <n v="38"/>
    <x v="28"/>
    <n v="109160"/>
    <x v="4"/>
    <x v="1"/>
    <n v="2.3397260273972602"/>
    <n v="3275"/>
    <n v="5"/>
  </r>
  <r>
    <s v="Kaine Padly"/>
    <x v="1"/>
    <s v="Website"/>
    <n v="20"/>
    <x v="29"/>
    <n v="107700"/>
    <x v="0"/>
    <x v="0"/>
    <n v="1.9479452054794522"/>
    <n v="2154"/>
    <n v="3"/>
  </r>
  <r>
    <s v="Hridaynath Tendulkar"/>
    <x v="1"/>
    <s v="Website"/>
    <n v="20"/>
    <x v="30"/>
    <n v="107700"/>
    <x v="0"/>
    <x v="1"/>
    <n v="2.117808219178082"/>
    <n v="3231"/>
    <n v="3"/>
  </r>
  <r>
    <s v="Kissiah Maydway"/>
    <x v="1"/>
    <s v="Procurement"/>
    <n v="23"/>
    <x v="31"/>
    <n v="106460"/>
    <x v="0"/>
    <x v="0"/>
    <n v="2"/>
    <n v="2130"/>
    <n v="3"/>
  </r>
  <r>
    <s v="Sahas Sanabhi Shrikant"/>
    <x v="1"/>
    <s v="Procurement"/>
    <n v="23"/>
    <x v="32"/>
    <n v="106460"/>
    <x v="0"/>
    <x v="1"/>
    <n v="2.1698630136986301"/>
    <n v="3194"/>
    <n v="3"/>
  </r>
  <r>
    <s v="Janene Hairsine"/>
    <x v="0"/>
    <s v="Procurement"/>
    <n v="28"/>
    <x v="33"/>
    <n v="104770"/>
    <x v="0"/>
    <x v="0"/>
    <n v="1.8739726027397261"/>
    <n v="2096"/>
    <n v="3"/>
  </r>
  <r>
    <s v="Shevantilal Muppala"/>
    <x v="0"/>
    <s v="Procurement"/>
    <n v="28"/>
    <x v="34"/>
    <n v="104770"/>
    <x v="0"/>
    <x v="1"/>
    <n v="2.0410958904109591"/>
    <n v="3144"/>
    <n v="3"/>
  </r>
  <r>
    <s v="Caro Chappel"/>
    <x v="0"/>
    <s v="Website"/>
    <n v="40"/>
    <x v="35"/>
    <n v="104410"/>
    <x v="0"/>
    <x v="0"/>
    <n v="2.1616438356164385"/>
    <n v="3133"/>
    <n v="3"/>
  </r>
  <r>
    <s v="Manjusri Ruchi"/>
    <x v="0"/>
    <s v="Website"/>
    <n v="40"/>
    <x v="36"/>
    <n v="104410"/>
    <x v="0"/>
    <x v="1"/>
    <n v="2.3287671232876712"/>
    <n v="3133"/>
    <n v="3"/>
  </r>
  <r>
    <s v="Cherlyn Barter"/>
    <x v="0"/>
    <s v="Procurement"/>
    <n v="28"/>
    <x v="37"/>
    <n v="104120"/>
    <x v="0"/>
    <x v="0"/>
    <n v="1.4273972602739726"/>
    <n v="2083"/>
    <n v="3"/>
  </r>
  <r>
    <s v="Sartaj Probal"/>
    <x v="0"/>
    <s v="Procurement"/>
    <n v="28"/>
    <x v="38"/>
    <n v="104120"/>
    <x v="0"/>
    <x v="1"/>
    <n v="1.5890410958904109"/>
    <n v="2083"/>
    <n v="3"/>
  </r>
  <r>
    <s v="Dyna Doucette"/>
    <x v="1"/>
    <s v="Procurement"/>
    <n v="31"/>
    <x v="39"/>
    <n v="103550"/>
    <x v="0"/>
    <x v="0"/>
    <n v="1.2219178082191782"/>
    <n v="2071"/>
    <n v="3"/>
  </r>
  <r>
    <s v="Satyendra Venkatadri"/>
    <x v="1"/>
    <s v="Procurement"/>
    <n v="31"/>
    <x v="40"/>
    <n v="103550"/>
    <x v="0"/>
    <x v="1"/>
    <n v="1.3890410958904109"/>
    <n v="2071"/>
    <n v="3"/>
  </r>
  <r>
    <s v="Collin Jagson"/>
    <x v="1"/>
    <s v="Website"/>
    <n v="24"/>
    <x v="41"/>
    <n v="100420"/>
    <x v="0"/>
    <x v="0"/>
    <n v="1.3260273972602741"/>
    <n v="2009"/>
    <n v="3"/>
  </r>
  <r>
    <s v="Amlankusum Rajabhushan"/>
    <x v="1"/>
    <s v="Website"/>
    <n v="24"/>
    <x v="42"/>
    <n v="100420"/>
    <x v="0"/>
    <x v="1"/>
    <n v="1.4931506849315068"/>
    <n v="2009"/>
    <n v="3"/>
  </r>
  <r>
    <s v="Bernie Gorges"/>
    <x v="0"/>
    <s v="Procurement"/>
    <n v="28"/>
    <x v="43"/>
    <n v="99970"/>
    <x v="0"/>
    <x v="0"/>
    <n v="1.4794520547945205"/>
    <n v="2000"/>
    <n v="3"/>
  </r>
  <r>
    <s v="Vasu Nandin"/>
    <x v="0"/>
    <s v="Procurement"/>
    <n v="28"/>
    <x v="44"/>
    <n v="99970"/>
    <x v="0"/>
    <x v="1"/>
    <n v="1.6410958904109589"/>
    <n v="2000"/>
    <n v="3"/>
  </r>
  <r>
    <s v="Simon Kembery"/>
    <x v="1"/>
    <s v="Procurement"/>
    <n v="40"/>
    <x v="45"/>
    <n v="99750"/>
    <x v="0"/>
    <x v="0"/>
    <n v="2.484931506849315"/>
    <n v="2993"/>
    <n v="3"/>
  </r>
  <r>
    <s v="Baruna Ogale"/>
    <x v="1"/>
    <s v="Procurement"/>
    <n v="40"/>
    <x v="46"/>
    <n v="99750"/>
    <x v="0"/>
    <x v="1"/>
    <n v="2.6465753424657534"/>
    <n v="2993"/>
    <n v="3"/>
  </r>
  <r>
    <s v="Constantino Espley"/>
    <x v="1"/>
    <s v="Finance"/>
    <n v="30"/>
    <x v="47"/>
    <n v="96800"/>
    <x v="0"/>
    <x v="0"/>
    <n v="1.5452054794520549"/>
    <n v="1936"/>
    <n v="3"/>
  </r>
  <r>
    <s v="Mithil Nadkarni"/>
    <x v="1"/>
    <s v="Finance"/>
    <n v="30"/>
    <x v="48"/>
    <n v="96800"/>
    <x v="0"/>
    <x v="1"/>
    <n v="1.715068493150685"/>
    <n v="1936"/>
    <n v="3"/>
  </r>
  <r>
    <s v="Torrance Collier"/>
    <x v="0"/>
    <s v="Website"/>
    <n v="33"/>
    <x v="49"/>
    <n v="96140"/>
    <x v="0"/>
    <x v="0"/>
    <n v="2.6849315068493151"/>
    <n v="2885"/>
    <n v="3"/>
  </r>
  <r>
    <s v="Sukhdev Nageshwar"/>
    <x v="0"/>
    <s v="Website"/>
    <n v="33"/>
    <x v="50"/>
    <n v="96140"/>
    <x v="0"/>
    <x v="1"/>
    <n v="2.8520547945205479"/>
    <n v="2885"/>
    <n v="3"/>
  </r>
  <r>
    <s v="Hinda Label"/>
    <x v="0"/>
    <s v="Sales"/>
    <n v="25"/>
    <x v="51"/>
    <n v="92700"/>
    <x v="0"/>
    <x v="0"/>
    <n v="2.6438356164383561"/>
    <n v="2781"/>
    <n v="3"/>
  </r>
  <r>
    <s v="Purnendu Vijayarangan"/>
    <x v="0"/>
    <s v="Sales"/>
    <n v="25"/>
    <x v="52"/>
    <n v="92700"/>
    <x v="0"/>
    <x v="1"/>
    <n v="2.8109589041095893"/>
    <n v="2781"/>
    <n v="3"/>
  </r>
  <r>
    <s v="Leilah Yesinin"/>
    <x v="0"/>
    <s v="Finance"/>
    <n v="34"/>
    <x v="53"/>
    <n v="92450"/>
    <x v="0"/>
    <x v="0"/>
    <n v="1.9863013698630136"/>
    <n v="1849"/>
    <n v="3"/>
  </r>
  <r>
    <s v="Deepit Ranjana"/>
    <x v="0"/>
    <s v="Finance"/>
    <n v="34"/>
    <x v="54"/>
    <n v="92450"/>
    <x v="0"/>
    <x v="1"/>
    <n v="2.1561643835616437"/>
    <n v="2774"/>
    <n v="3"/>
  </r>
  <r>
    <s v="Enoch Dowrey"/>
    <x v="1"/>
    <s v="Finance"/>
    <n v="27"/>
    <x v="55"/>
    <n v="91650"/>
    <x v="3"/>
    <x v="0"/>
    <n v="2.558904109589041"/>
    <n v="2750"/>
    <n v="4"/>
  </r>
  <r>
    <s v="Kamalakshi Mukundan"/>
    <x v="1"/>
    <s v="Finance"/>
    <n v="27"/>
    <x v="56"/>
    <n v="91650"/>
    <x v="3"/>
    <x v="1"/>
    <n v="2.7287671232876711"/>
    <n v="2750"/>
    <n v="4"/>
  </r>
  <r>
    <s v="Madge McCloughen"/>
    <x v="2"/>
    <s v="Website"/>
    <n v="32"/>
    <x v="57"/>
    <n v="91310"/>
    <x v="0"/>
    <x v="0"/>
    <n v="1.0849315068493151"/>
    <n v="1827"/>
    <n v="3"/>
  </r>
  <r>
    <s v="Rukma Vinita"/>
    <x v="2"/>
    <s v="Website"/>
    <n v="32"/>
    <x v="58"/>
    <n v="91310"/>
    <x v="0"/>
    <x v="1"/>
    <n v="1.252054794520548"/>
    <n v="1827"/>
    <n v="3"/>
  </r>
  <r>
    <s v="Dennison Crosswaite"/>
    <x v="2"/>
    <s v="Website"/>
    <n v="26"/>
    <x v="59"/>
    <n v="90700"/>
    <x v="3"/>
    <x v="0"/>
    <n v="2.463013698630137"/>
    <n v="2721"/>
    <n v="4"/>
  </r>
  <r>
    <s v="Karuna Pashupathy"/>
    <x v="2"/>
    <s v="Website"/>
    <n v="27"/>
    <x v="60"/>
    <n v="90700"/>
    <x v="3"/>
    <x v="1"/>
    <n v="2.6246575342465754"/>
    <n v="2721"/>
    <n v="4"/>
  </r>
  <r>
    <s v="Ches Bonnell"/>
    <x v="1"/>
    <s v="Website"/>
    <n v="37"/>
    <x v="61"/>
    <n v="88050"/>
    <x v="1"/>
    <x v="0"/>
    <n v="2.2794520547945205"/>
    <n v="2642"/>
    <n v="2"/>
  </r>
  <r>
    <s v="Gangadutt Ragha"/>
    <x v="1"/>
    <s v="Website"/>
    <n v="37"/>
    <x v="62"/>
    <n v="88050"/>
    <x v="1"/>
    <x v="1"/>
    <n v="2.4465753424657533"/>
    <n v="2642"/>
    <n v="2"/>
  </r>
  <r>
    <s v="Merrilee Plenty"/>
    <x v="0"/>
    <s v="Website"/>
    <n v="40"/>
    <x v="63"/>
    <n v="87620"/>
    <x v="0"/>
    <x v="0"/>
    <n v="2.2821917808219179"/>
    <n v="2629"/>
    <n v="3"/>
  </r>
  <r>
    <s v="Godavari Veena"/>
    <x v="0"/>
    <s v="Website"/>
    <n v="40"/>
    <x v="64"/>
    <n v="87620"/>
    <x v="0"/>
    <x v="1"/>
    <n v="2.4493150684931506"/>
    <n v="2629"/>
    <n v="3"/>
  </r>
  <r>
    <s v="Sibyl Dunkirk"/>
    <x v="0"/>
    <s v="Finance"/>
    <n v="33"/>
    <x v="65"/>
    <n v="86570"/>
    <x v="0"/>
    <x v="0"/>
    <n v="0.989041095890411"/>
    <n v="1732"/>
    <n v="3"/>
  </r>
  <r>
    <s v="Madhumati Gazala Soumitra"/>
    <x v="0"/>
    <s v="Finance"/>
    <n v="33"/>
    <x v="66"/>
    <n v="86570"/>
    <x v="0"/>
    <x v="1"/>
    <n v="1.1589041095890411"/>
    <n v="1732"/>
    <n v="3"/>
  </r>
  <r>
    <s v="Karlen McCaffrey"/>
    <x v="0"/>
    <s v="Finance"/>
    <n v="34"/>
    <x v="29"/>
    <n v="85000"/>
    <x v="0"/>
    <x v="0"/>
    <n v="1.9479452054794522"/>
    <n v="1700"/>
    <n v="3"/>
  </r>
  <r>
    <s v="Tarala Vishaal"/>
    <x v="0"/>
    <s v="Finance"/>
    <n v="34"/>
    <x v="30"/>
    <n v="85000"/>
    <x v="0"/>
    <x v="1"/>
    <n v="2.117808219178082"/>
    <n v="2550"/>
    <n v="3"/>
  </r>
  <r>
    <s v="Agnes Collicott"/>
    <x v="0"/>
    <s v="Website"/>
    <n v="27"/>
    <x v="41"/>
    <n v="83750"/>
    <x v="0"/>
    <x v="0"/>
    <n v="1.3260273972602741"/>
    <n v="1675"/>
    <n v="3"/>
  </r>
  <r>
    <s v="Kunja Prashanta Vibha"/>
    <x v="0"/>
    <s v="Website"/>
    <n v="27"/>
    <x v="42"/>
    <n v="83750"/>
    <x v="0"/>
    <x v="1"/>
    <n v="1.4931506849315068"/>
    <n v="1675"/>
    <n v="3"/>
  </r>
  <r>
    <s v="Van Tuxwell"/>
    <x v="0"/>
    <s v="Website"/>
    <n v="25"/>
    <x v="67"/>
    <n v="80700"/>
    <x v="3"/>
    <x v="0"/>
    <n v="1.3041095890410959"/>
    <n v="1614"/>
    <n v="4"/>
  </r>
  <r>
    <s v="Bhuvan Pals"/>
    <x v="0"/>
    <s v="Website"/>
    <n v="25"/>
    <x v="68"/>
    <n v="80700"/>
    <x v="3"/>
    <x v="1"/>
    <n v="1.4712328767123288"/>
    <n v="1614"/>
    <n v="4"/>
  </r>
  <r>
    <s v="Kellsie Waby"/>
    <x v="1"/>
    <s v="Procurement"/>
    <n v="20"/>
    <x v="69"/>
    <n v="79570"/>
    <x v="0"/>
    <x v="0"/>
    <n v="1.167123287671233"/>
    <n v="1592"/>
    <n v="3"/>
  </r>
  <r>
    <s v="Udyan Lanka"/>
    <x v="1"/>
    <s v="Procurement"/>
    <n v="20"/>
    <x v="70"/>
    <n v="79570"/>
    <x v="0"/>
    <x v="1"/>
    <n v="1.3342465753424657"/>
    <n v="1592"/>
    <n v="3"/>
  </r>
  <r>
    <s v="Gray Seamon"/>
    <x v="0"/>
    <s v="Sales"/>
    <n v="36"/>
    <x v="71"/>
    <n v="78540"/>
    <x v="0"/>
    <x v="0"/>
    <n v="1.8520547945205479"/>
    <n v="1571"/>
    <n v="3"/>
  </r>
  <r>
    <s v="Shulabh Qutub Sundaramoorthy"/>
    <x v="0"/>
    <s v="Sales"/>
    <n v="36"/>
    <x v="72"/>
    <n v="78540"/>
    <x v="0"/>
    <x v="1"/>
    <n v="2.0191780821917806"/>
    <n v="2357"/>
    <n v="3"/>
  </r>
  <r>
    <s v="Allene Gobbet"/>
    <x v="0"/>
    <s v="Procurement"/>
    <n v="36"/>
    <x v="73"/>
    <n v="78390"/>
    <x v="0"/>
    <x v="0"/>
    <n v="1.7561643835616438"/>
    <n v="1568"/>
    <n v="3"/>
  </r>
  <r>
    <s v="Rushil Kripa"/>
    <x v="0"/>
    <s v="Procurement"/>
    <n v="36"/>
    <x v="74"/>
    <n v="78390"/>
    <x v="0"/>
    <x v="1"/>
    <n v="1.9232876712328768"/>
    <n v="1568"/>
    <n v="3"/>
  </r>
  <r>
    <s v="Virginia McConville"/>
    <x v="0"/>
    <s v="Procurement"/>
    <n v="22"/>
    <x v="75"/>
    <n v="76900"/>
    <x v="3"/>
    <x v="0"/>
    <n v="1.9726027397260273"/>
    <n v="1538"/>
    <n v="4"/>
  </r>
  <r>
    <s v="Shreela Ramasubraman"/>
    <x v="0"/>
    <s v="Procurement"/>
    <n v="22"/>
    <x v="76"/>
    <n v="76900"/>
    <x v="3"/>
    <x v="1"/>
    <n v="2.1424657534246574"/>
    <n v="2307"/>
    <n v="4"/>
  </r>
  <r>
    <s v="Beverie Moffet"/>
    <x v="0"/>
    <s v="Finance"/>
    <n v="28"/>
    <x v="77"/>
    <n v="75970"/>
    <x v="0"/>
    <x v="0"/>
    <n v="2.6986301369863015"/>
    <n v="2280"/>
    <n v="3"/>
  </r>
  <r>
    <s v="Indu Varada Sumedh"/>
    <x v="0"/>
    <s v="Finance"/>
    <n v="28"/>
    <x v="78"/>
    <n v="75970"/>
    <x v="0"/>
    <x v="1"/>
    <n v="2.8657534246575342"/>
    <n v="2280"/>
    <n v="3"/>
  </r>
  <r>
    <s v="Shari McNee"/>
    <x v="1"/>
    <s v="HR"/>
    <n v="21"/>
    <x v="79"/>
    <n v="75880"/>
    <x v="0"/>
    <x v="0"/>
    <n v="2.5424657534246577"/>
    <n v="2277"/>
    <n v="3"/>
  </r>
  <r>
    <s v="Sameer Shashank Sapra"/>
    <x v="1"/>
    <s v="HR"/>
    <n v="21"/>
    <x v="23"/>
    <n v="75880"/>
    <x v="0"/>
    <x v="1"/>
    <n v="2.7123287671232879"/>
    <n v="2277"/>
    <n v="3"/>
  </r>
  <r>
    <s v="Camilla Castle"/>
    <x v="0"/>
    <s v="Website"/>
    <n v="33"/>
    <x v="80"/>
    <n v="75480"/>
    <x v="2"/>
    <x v="0"/>
    <n v="2.1808219178082191"/>
    <n v="2265"/>
    <n v="1"/>
  </r>
  <r>
    <s v="Ayog Chakrabarti"/>
    <x v="0"/>
    <s v="Website"/>
    <n v="33"/>
    <x v="81"/>
    <n v="75480"/>
    <x v="2"/>
    <x v="1"/>
    <n v="2.3479452054794518"/>
    <n v="2265"/>
    <n v="1"/>
  </r>
  <r>
    <s v="Elia Cockton"/>
    <x v="0"/>
    <s v="Website"/>
    <n v="33"/>
    <x v="82"/>
    <n v="75280"/>
    <x v="0"/>
    <x v="0"/>
    <n v="2.3506849315068492"/>
    <n v="2259"/>
    <n v="3"/>
  </r>
  <r>
    <s v="Hemavati Muthiah"/>
    <x v="0"/>
    <s v="Website"/>
    <n v="33"/>
    <x v="83"/>
    <n v="75280"/>
    <x v="0"/>
    <x v="1"/>
    <n v="2.5123287671232877"/>
    <n v="2259"/>
    <n v="3"/>
  </r>
  <r>
    <s v="Barr Faughny"/>
    <x v="0"/>
    <s v="Procurement"/>
    <n v="42"/>
    <x v="84"/>
    <n v="75000"/>
    <x v="4"/>
    <x v="0"/>
    <n v="1.0712328767123287"/>
    <n v="1500"/>
    <n v="5"/>
  </r>
  <r>
    <s v="Nanak Sapna"/>
    <x v="0"/>
    <s v="Procurement"/>
    <n v="42"/>
    <x v="85"/>
    <n v="75000"/>
    <x v="4"/>
    <x v="1"/>
    <n v="1.2383561643835617"/>
    <n v="1500"/>
    <n v="5"/>
  </r>
  <r>
    <s v="Gigi Bohling"/>
    <x v="1"/>
    <s v="Sales"/>
    <n v="33"/>
    <x v="86"/>
    <n v="74550"/>
    <x v="0"/>
    <x v="0"/>
    <n v="2.1506849315068495"/>
    <n v="2237"/>
    <n v="3"/>
  </r>
  <r>
    <s v="Yauvani Tarpa"/>
    <x v="1"/>
    <s v="Sales"/>
    <n v="33"/>
    <x v="87"/>
    <n v="74550"/>
    <x v="0"/>
    <x v="1"/>
    <n v="2.3178082191780822"/>
    <n v="2237"/>
    <n v="3"/>
  </r>
  <r>
    <s v="Bennie Pepis"/>
    <x v="1"/>
    <s v="Finance"/>
    <n v="36"/>
    <x v="88"/>
    <n v="71380"/>
    <x v="0"/>
    <x v="0"/>
    <n v="2.2931506849315069"/>
    <n v="2142"/>
    <n v="3"/>
  </r>
  <r>
    <s v="Kulbhushan Moorthy"/>
    <x v="1"/>
    <s v="Finance"/>
    <n v="36"/>
    <x v="89"/>
    <n v="71380"/>
    <x v="0"/>
    <x v="1"/>
    <n v="2.4602739726027396"/>
    <n v="2142"/>
    <n v="3"/>
  </r>
  <r>
    <s v="Ambros Murthwaite"/>
    <x v="1"/>
    <s v="Procurement"/>
    <n v="46"/>
    <x v="90"/>
    <n v="70610"/>
    <x v="0"/>
    <x v="0"/>
    <n v="1.1287671232876713"/>
    <n v="1413"/>
    <n v="3"/>
  </r>
  <r>
    <s v="Ranajay Kailashnath Richa"/>
    <x v="1"/>
    <s v="Procurement"/>
    <n v="46"/>
    <x v="91"/>
    <n v="70610"/>
    <x v="0"/>
    <x v="1"/>
    <n v="1.295890410958904"/>
    <n v="1413"/>
    <n v="3"/>
  </r>
  <r>
    <s v="Shayne Stegel"/>
    <x v="1"/>
    <s v="Finance"/>
    <n v="42"/>
    <x v="92"/>
    <n v="70270"/>
    <x v="1"/>
    <x v="0"/>
    <n v="1.2027397260273973"/>
    <n v="1406"/>
    <n v="2"/>
  </r>
  <r>
    <s v="Chandana Sannidhi Surnilla"/>
    <x v="1"/>
    <s v="Finance"/>
    <n v="42"/>
    <x v="93"/>
    <n v="70270"/>
    <x v="1"/>
    <x v="1"/>
    <n v="1.3698630136986301"/>
    <n v="1406"/>
    <n v="2"/>
  </r>
  <r>
    <s v="Myer McCory"/>
    <x v="1"/>
    <s v="Website"/>
    <n v="30"/>
    <x v="13"/>
    <n v="69710"/>
    <x v="0"/>
    <x v="0"/>
    <n v="0.87671232876712324"/>
    <n v="1395"/>
    <n v="3"/>
  </r>
  <r>
    <s v="Shekhar Eswara"/>
    <x v="1"/>
    <s v="Website"/>
    <n v="30"/>
    <x v="14"/>
    <n v="69710"/>
    <x v="0"/>
    <x v="1"/>
    <n v="1.0438356164383562"/>
    <n v="1395"/>
    <n v="3"/>
  </r>
  <r>
    <s v="Andria Kimpton"/>
    <x v="1"/>
    <s v="Website"/>
    <n v="30"/>
    <x v="94"/>
    <n v="69120"/>
    <x v="0"/>
    <x v="0"/>
    <n v="2.4575342465753423"/>
    <n v="2074"/>
    <n v="3"/>
  </r>
  <r>
    <s v="Rameshwari Chikodi"/>
    <x v="1"/>
    <s v="Website"/>
    <n v="30"/>
    <x v="95"/>
    <n v="69120"/>
    <x v="0"/>
    <x v="1"/>
    <n v="2.6191780821917807"/>
    <n v="2074"/>
    <n v="3"/>
  </r>
  <r>
    <s v="Murry Dryburgh"/>
    <x v="1"/>
    <s v="Website"/>
    <n v="37"/>
    <x v="96"/>
    <n v="69070"/>
    <x v="0"/>
    <x v="0"/>
    <n v="1.284931506849315"/>
    <n v="1382"/>
    <n v="3"/>
  </r>
  <r>
    <s v="Jaishree Atasi Yavatkar"/>
    <x v="1"/>
    <s v="Website"/>
    <n v="37"/>
    <x v="97"/>
    <n v="69070"/>
    <x v="0"/>
    <x v="1"/>
    <n v="1.452054794520548"/>
    <n v="1382"/>
    <n v="3"/>
  </r>
  <r>
    <s v="Hyacinthie Braybrooke"/>
    <x v="0"/>
    <s v="Sales"/>
    <n v="20"/>
    <x v="98"/>
    <n v="68900"/>
    <x v="1"/>
    <x v="0"/>
    <n v="1.7342465753424658"/>
    <n v="1378"/>
    <n v="2"/>
  </r>
  <r>
    <s v="Devasree Fullara Saurin"/>
    <x v="0"/>
    <s v="Sales"/>
    <n v="20"/>
    <x v="99"/>
    <n v="68900"/>
    <x v="1"/>
    <x v="1"/>
    <n v="1.9013698630136986"/>
    <n v="1378"/>
    <n v="2"/>
  </r>
  <r>
    <s v="Ebonee Roxburgh"/>
    <x v="1"/>
    <s v="Procurement"/>
    <n v="30"/>
    <x v="96"/>
    <n v="67950"/>
    <x v="0"/>
    <x v="0"/>
    <n v="1.284931506849315"/>
    <n v="1359"/>
    <n v="3"/>
  </r>
  <r>
    <s v="Mahindra Sreedharan"/>
    <x v="1"/>
    <s v="Procurement"/>
    <n v="30"/>
    <x v="97"/>
    <n v="67950"/>
    <x v="0"/>
    <x v="1"/>
    <n v="1.452054794520548"/>
    <n v="1359"/>
    <n v="3"/>
  </r>
  <r>
    <s v="Husein Augar"/>
    <x v="0"/>
    <s v="Finance"/>
    <n v="30"/>
    <x v="5"/>
    <n v="67910"/>
    <x v="1"/>
    <x v="0"/>
    <n v="2.1397260273972605"/>
    <n v="2038"/>
    <n v="2"/>
  </r>
  <r>
    <s v="Kantimoy Pritish"/>
    <x v="0"/>
    <s v="Finance"/>
    <n v="30"/>
    <x v="100"/>
    <n v="67910"/>
    <x v="1"/>
    <x v="1"/>
    <n v="2.3068493150684932"/>
    <n v="2038"/>
    <n v="2"/>
  </r>
  <r>
    <s v="Marney O'Breen"/>
    <x v="0"/>
    <s v="Finance"/>
    <n v="21"/>
    <x v="101"/>
    <n v="65920"/>
    <x v="0"/>
    <x v="0"/>
    <n v="2.3369863013698629"/>
    <n v="1978"/>
    <n v="3"/>
  </r>
  <r>
    <s v="Agrata Rajarama"/>
    <x v="0"/>
    <s v="Finance"/>
    <n v="21"/>
    <x v="102"/>
    <n v="65920"/>
    <x v="0"/>
    <x v="1"/>
    <n v="2.504109589041096"/>
    <n v="1978"/>
    <n v="3"/>
  </r>
  <r>
    <s v="Kath Bletsoe"/>
    <x v="1"/>
    <s v="Sales"/>
    <n v="25"/>
    <x v="54"/>
    <n v="65700"/>
    <x v="0"/>
    <x v="0"/>
    <n v="2.1561643835616437"/>
    <n v="1971"/>
    <n v="3"/>
  </r>
  <r>
    <s v="Abhaya Priyavardhan"/>
    <x v="1"/>
    <s v="Sales"/>
    <n v="25"/>
    <x v="103"/>
    <n v="65700"/>
    <x v="0"/>
    <x v="1"/>
    <n v="2.3232876712328765"/>
    <n v="1971"/>
    <n v="3"/>
  </r>
  <r>
    <s v="Teressa Udden"/>
    <x v="0"/>
    <s v="Finance"/>
    <n v="33"/>
    <x v="104"/>
    <n v="65360"/>
    <x v="0"/>
    <x v="0"/>
    <n v="3.021917808219178"/>
    <n v="1961"/>
    <n v="3"/>
  </r>
  <r>
    <s v="Kevalkumar Solanki"/>
    <x v="0"/>
    <s v="Finance"/>
    <n v="33"/>
    <x v="105"/>
    <n v="65360"/>
    <x v="0"/>
    <x v="1"/>
    <n v="3.1890410958904107"/>
    <n v="1961"/>
    <n v="3"/>
  </r>
  <r>
    <s v="Curtice Advani"/>
    <x v="2"/>
    <s v="Finance"/>
    <n v="30"/>
    <x v="106"/>
    <n v="64000"/>
    <x v="0"/>
    <x v="0"/>
    <n v="1.5698630136986302"/>
    <n v="1280"/>
    <n v="3"/>
  </r>
  <r>
    <s v="Upendra Swati"/>
    <x v="2"/>
    <s v="Finance"/>
    <n v="30"/>
    <x v="107"/>
    <n v="64000"/>
    <x v="0"/>
    <x v="1"/>
    <n v="1.7397260273972603"/>
    <n v="1280"/>
    <n v="3"/>
  </r>
  <r>
    <s v="Vic Radolf"/>
    <x v="0"/>
    <s v="Website"/>
    <n v="24"/>
    <x v="108"/>
    <n v="62780"/>
    <x v="0"/>
    <x v="0"/>
    <n v="2.8"/>
    <n v="1884"/>
    <n v="3"/>
  </r>
  <r>
    <s v="Fullara Sushanti Mokate"/>
    <x v="0"/>
    <s v="Website"/>
    <n v="24"/>
    <x v="109"/>
    <n v="62780"/>
    <x v="0"/>
    <x v="1"/>
    <n v="2.967123287671233"/>
    <n v="1884"/>
    <n v="3"/>
  </r>
  <r>
    <s v="Mallorie Waber"/>
    <x v="1"/>
    <s v="Procurement"/>
    <n v="30"/>
    <x v="110"/>
    <n v="60570"/>
    <x v="0"/>
    <x v="0"/>
    <n v="1.3808219178082193"/>
    <n v="1212"/>
    <n v="3"/>
  </r>
  <r>
    <s v="Mardav Ramaswami"/>
    <x v="1"/>
    <s v="Procurement"/>
    <n v="30"/>
    <x v="111"/>
    <n v="60570"/>
    <x v="0"/>
    <x v="1"/>
    <n v="1.5424657534246575"/>
    <n v="1212"/>
    <n v="3"/>
  </r>
  <r>
    <s v="Jehu Rudeforth"/>
    <x v="0"/>
    <s v="Finance"/>
    <n v="34"/>
    <x v="112"/>
    <n v="60130"/>
    <x v="0"/>
    <x v="0"/>
    <n v="1.5287671232876712"/>
    <n v="1203"/>
    <n v="3"/>
  </r>
  <r>
    <s v="Lalit Kothari"/>
    <x v="0"/>
    <s v="Finance"/>
    <n v="34"/>
    <x v="113"/>
    <n v="60130"/>
    <x v="0"/>
    <x v="1"/>
    <n v="1.6986301369863013"/>
    <n v="1203"/>
    <n v="3"/>
  </r>
  <r>
    <s v="My Hanscome"/>
    <x v="1"/>
    <s v="Finance"/>
    <n v="33"/>
    <x v="114"/>
    <n v="59430"/>
    <x v="0"/>
    <x v="0"/>
    <n v="2.5397260273972604"/>
    <n v="1783"/>
    <n v="3"/>
  </r>
  <r>
    <s v="Asija Pothireddy"/>
    <x v="1"/>
    <s v="Finance"/>
    <n v="33"/>
    <x v="115"/>
    <n v="59430"/>
    <x v="0"/>
    <x v="1"/>
    <n v="2.7095890410958905"/>
    <n v="1783"/>
    <n v="3"/>
  </r>
  <r>
    <s v="Lilyan Klimpt"/>
    <x v="1"/>
    <s v="Procurement"/>
    <n v="19"/>
    <x v="62"/>
    <n v="58960"/>
    <x v="0"/>
    <x v="0"/>
    <n v="2.4465753424657533"/>
    <n v="1769"/>
    <n v="3"/>
  </r>
  <r>
    <s v="Vinanti Choudhari"/>
    <x v="1"/>
    <s v="Procurement"/>
    <n v="19"/>
    <x v="116"/>
    <n v="58960"/>
    <x v="0"/>
    <x v="1"/>
    <n v="2.6082191780821917"/>
    <n v="1769"/>
    <n v="3"/>
  </r>
  <r>
    <s v="Oby Sorrel"/>
    <x v="0"/>
    <s v="Finance"/>
    <n v="34"/>
    <x v="117"/>
    <n v="58940"/>
    <x v="0"/>
    <x v="0"/>
    <n v="1.4164383561643836"/>
    <n v="1179"/>
    <n v="3"/>
  </r>
  <r>
    <s v="Krittika Gaekwad"/>
    <x v="0"/>
    <s v="Finance"/>
    <n v="34"/>
    <x v="118"/>
    <n v="58940"/>
    <x v="0"/>
    <x v="1"/>
    <n v="1.5780821917808219"/>
    <n v="1179"/>
    <n v="3"/>
  </r>
  <r>
    <s v="Brien Boise"/>
    <x v="0"/>
    <s v="Website"/>
    <n v="31"/>
    <x v="40"/>
    <n v="58100"/>
    <x v="0"/>
    <x v="0"/>
    <n v="1.3890410958904109"/>
    <n v="1162"/>
    <n v="3"/>
  </r>
  <r>
    <s v="Pratigya Rema"/>
    <x v="0"/>
    <s v="Website"/>
    <n v="31"/>
    <x v="119"/>
    <n v="58100"/>
    <x v="0"/>
    <x v="1"/>
    <n v="1.5506849315068494"/>
    <n v="1162"/>
    <n v="3"/>
  </r>
  <r>
    <s v="Kelci Walkden"/>
    <x v="1"/>
    <s v="Procurement"/>
    <n v="21"/>
    <x v="120"/>
    <n v="57090"/>
    <x v="0"/>
    <x v="0"/>
    <n v="1.1178082191780823"/>
    <n v="1142"/>
    <n v="3"/>
  </r>
  <r>
    <s v="Shattesh Utpat"/>
    <x v="1"/>
    <s v="Procurement"/>
    <n v="21"/>
    <x v="96"/>
    <n v="57090"/>
    <x v="0"/>
    <x v="1"/>
    <n v="1.284931506849315"/>
    <n v="1142"/>
    <n v="3"/>
  </r>
  <r>
    <s v="Oran Buxcy"/>
    <x v="0"/>
    <s v="Sales"/>
    <n v="38"/>
    <x v="121"/>
    <n v="56870"/>
    <x v="3"/>
    <x v="0"/>
    <n v="2.3041095890410959"/>
    <n v="1707"/>
    <n v="4"/>
  </r>
  <r>
    <s v="Mirium Seemantini Shivakumar"/>
    <x v="0"/>
    <s v="Sales"/>
    <n v="38"/>
    <x v="122"/>
    <n v="56870"/>
    <x v="3"/>
    <x v="1"/>
    <n v="2.4712328767123286"/>
    <n v="1707"/>
    <n v="4"/>
  </r>
  <r>
    <s v="Alta Kaszper"/>
    <x v="1"/>
    <s v="Sales"/>
    <n v="27"/>
    <x v="123"/>
    <n v="54970"/>
    <x v="0"/>
    <x v="0"/>
    <n v="2.8383561643835615"/>
    <n v="1650"/>
    <n v="3"/>
  </r>
  <r>
    <s v="Sanchali Shirish"/>
    <x v="1"/>
    <s v="Sales"/>
    <n v="27"/>
    <x v="124"/>
    <n v="54970"/>
    <x v="0"/>
    <x v="1"/>
    <n v="3.0054794520547947"/>
    <n v="1650"/>
    <n v="3"/>
  </r>
  <r>
    <s v="William Reeveley"/>
    <x v="1"/>
    <s v="Website"/>
    <n v="33"/>
    <x v="125"/>
    <n v="53870"/>
    <x v="0"/>
    <x v="0"/>
    <n v="1.810958904109589"/>
    <n v="1078"/>
    <n v="3"/>
  </r>
  <r>
    <s v="Pragya Nilufar"/>
    <x v="1"/>
    <s v="Website"/>
    <n v="33"/>
    <x v="126"/>
    <n v="53870"/>
    <x v="0"/>
    <x v="1"/>
    <n v="1.978082191780822"/>
    <n v="1078"/>
    <n v="3"/>
  </r>
  <r>
    <s v="Hoyt D'Alesco"/>
    <x v="1"/>
    <s v="Sales"/>
    <n v="32"/>
    <x v="127"/>
    <n v="53540"/>
    <x v="0"/>
    <x v="0"/>
    <n v="1.9315068493150684"/>
    <n v="1071"/>
    <n v="3"/>
  </r>
  <r>
    <s v="Zach Polon"/>
    <x v="1"/>
    <s v="Procurement"/>
    <n v="26"/>
    <x v="128"/>
    <n v="53540"/>
    <x v="0"/>
    <x v="0"/>
    <n v="2.0794520547945203"/>
    <n v="1607"/>
    <n v="3"/>
  </r>
  <r>
    <s v="Geena Raghavanpillai"/>
    <x v="1"/>
    <s v="Sales"/>
    <n v="32"/>
    <x v="129"/>
    <n v="53540"/>
    <x v="0"/>
    <x v="1"/>
    <n v="2.1013698630136988"/>
    <n v="1607"/>
    <n v="3"/>
  </r>
  <r>
    <s v="Chitrasen Laul"/>
    <x v="1"/>
    <s v="Procurement"/>
    <n v="26"/>
    <x v="130"/>
    <n v="53540"/>
    <x v="0"/>
    <x v="1"/>
    <n v="2.2465753424657535"/>
    <n v="1607"/>
    <n v="3"/>
  </r>
  <r>
    <s v="Tatum Hush"/>
    <x v="0"/>
    <s v="Sales"/>
    <n v="28"/>
    <x v="131"/>
    <n v="53240"/>
    <x v="0"/>
    <x v="0"/>
    <n v="2.2273972602739724"/>
    <n v="1598"/>
    <n v="3"/>
  </r>
  <r>
    <s v="Anumati Shyamari Meherhomji"/>
    <x v="0"/>
    <s v="Sales"/>
    <n v="28"/>
    <x v="132"/>
    <n v="53240"/>
    <x v="0"/>
    <x v="1"/>
    <n v="2.3945205479452056"/>
    <n v="1598"/>
    <n v="3"/>
  </r>
  <r>
    <s v="Kaye Crocroft"/>
    <x v="1"/>
    <s v="Finance"/>
    <n v="24"/>
    <x v="133"/>
    <n v="52610"/>
    <x v="1"/>
    <x v="0"/>
    <n v="2.010958904109589"/>
    <n v="1579"/>
    <n v="2"/>
  </r>
  <r>
    <s v="Gumwant Veera"/>
    <x v="1"/>
    <s v="Finance"/>
    <n v="24"/>
    <x v="134"/>
    <n v="52610"/>
    <x v="1"/>
    <x v="1"/>
    <n v="2.1780821917808217"/>
    <n v="1579"/>
    <n v="2"/>
  </r>
  <r>
    <s v="Violante Courtonne"/>
    <x v="0"/>
    <s v="Sales"/>
    <n v="34"/>
    <x v="135"/>
    <n v="49630"/>
    <x v="1"/>
    <x v="0"/>
    <n v="1.2301369863013698"/>
    <n v="993"/>
    <n v="2"/>
  </r>
  <r>
    <s v="Daruka Ghazali"/>
    <x v="0"/>
    <s v="Sales"/>
    <n v="34"/>
    <x v="136"/>
    <n v="49630"/>
    <x v="1"/>
    <x v="1"/>
    <n v="1.3972602739726028"/>
    <n v="993"/>
    <n v="2"/>
  </r>
  <r>
    <s v="Esmaria Denecamp"/>
    <x v="1"/>
    <s v="Finance"/>
    <n v="27"/>
    <x v="137"/>
    <n v="48980"/>
    <x v="0"/>
    <x v="0"/>
    <n v="1.6520547945205479"/>
    <n v="980"/>
    <n v="3"/>
  </r>
  <r>
    <s v="Vanmala Shriharsha"/>
    <x v="1"/>
    <s v="Finance"/>
    <n v="27"/>
    <x v="138"/>
    <n v="48980"/>
    <x v="0"/>
    <x v="1"/>
    <n v="1.8191780821917809"/>
    <n v="980"/>
    <n v="3"/>
  </r>
  <r>
    <s v="Gunar Cockshoot"/>
    <x v="1"/>
    <s v="Website"/>
    <n v="31"/>
    <x v="139"/>
    <n v="48950"/>
    <x v="0"/>
    <x v="0"/>
    <n v="1.8054794520547945"/>
    <n v="979"/>
    <n v="3"/>
  </r>
  <r>
    <s v="Amal Nimesh"/>
    <x v="1"/>
    <s v="Website"/>
    <n v="31"/>
    <x v="75"/>
    <n v="48950"/>
    <x v="0"/>
    <x v="1"/>
    <n v="1.9726027397260273"/>
    <n v="979"/>
    <n v="3"/>
  </r>
  <r>
    <s v="Erin Androsik"/>
    <x v="1"/>
    <s v="Procurement"/>
    <n v="33"/>
    <x v="96"/>
    <n v="48530"/>
    <x v="3"/>
    <x v="0"/>
    <n v="1.284931506849315"/>
    <n v="971"/>
    <n v="4"/>
  </r>
  <r>
    <s v="Piyali Mahanthapa"/>
    <x v="1"/>
    <s v="Procurement"/>
    <n v="33"/>
    <x v="97"/>
    <n v="48530"/>
    <x v="3"/>
    <x v="1"/>
    <n v="1.452054794520548"/>
    <n v="971"/>
    <n v="4"/>
  </r>
  <r>
    <s v="Jan Morforth"/>
    <x v="1"/>
    <s v="Finance"/>
    <n v="28"/>
    <x v="140"/>
    <n v="48170"/>
    <x v="3"/>
    <x v="0"/>
    <n v="3.0931506849315067"/>
    <n v="1446"/>
    <n v="4"/>
  </r>
  <r>
    <s v="Ardhendu Abhichandra Jayakar"/>
    <x v="1"/>
    <s v="Finance"/>
    <n v="28"/>
    <x v="141"/>
    <n v="48170"/>
    <x v="3"/>
    <x v="1"/>
    <n v="3.2602739726027399"/>
    <n v="1446"/>
    <n v="4"/>
  </r>
  <r>
    <s v="Dell Molloy"/>
    <x v="1"/>
    <s v="Procurement"/>
    <n v="26"/>
    <x v="142"/>
    <n v="47360"/>
    <x v="0"/>
    <x v="0"/>
    <n v="2.5890410958904111"/>
    <n v="1421"/>
    <n v="3"/>
  </r>
  <r>
    <s v="Shiuli Sapna"/>
    <x v="1"/>
    <s v="Procurement"/>
    <n v="26"/>
    <x v="6"/>
    <n v="47360"/>
    <x v="0"/>
    <x v="1"/>
    <n v="2.7561643835616438"/>
    <n v="1421"/>
    <n v="3"/>
  </r>
  <r>
    <s v="Florinda Crace"/>
    <x v="0"/>
    <s v="HR"/>
    <n v="32"/>
    <x v="143"/>
    <n v="45510"/>
    <x v="0"/>
    <x v="0"/>
    <n v="2.1095890410958904"/>
    <n v="1366"/>
    <n v="3"/>
  </r>
  <r>
    <s v="Madhavdas Buhpathi"/>
    <x v="0"/>
    <s v="HR"/>
    <n v="32"/>
    <x v="144"/>
    <n v="45510"/>
    <x v="0"/>
    <x v="1"/>
    <n v="2.2767123287671232"/>
    <n v="1366"/>
    <n v="3"/>
  </r>
  <r>
    <s v="Kassi Jonson"/>
    <x v="0"/>
    <s v="Website"/>
    <n v="32"/>
    <x v="145"/>
    <n v="43840"/>
    <x v="3"/>
    <x v="0"/>
    <n v="2.2356164383561645"/>
    <n v="1316"/>
    <n v="4"/>
  </r>
  <r>
    <s v="Yagna Sujeev"/>
    <x v="0"/>
    <s v="Website"/>
    <n v="32"/>
    <x v="146"/>
    <n v="43840"/>
    <x v="3"/>
    <x v="1"/>
    <n v="2.4027397260273973"/>
    <n v="1316"/>
    <n v="4"/>
  </r>
  <r>
    <s v="Drusy MacCombe"/>
    <x v="1"/>
    <s v="Sales"/>
    <n v="28"/>
    <x v="147"/>
    <n v="43510"/>
    <x v="2"/>
    <x v="0"/>
    <n v="0.95890410958904104"/>
    <n v="871"/>
    <n v="1"/>
  </r>
  <r>
    <s v="Rupak Mehra"/>
    <x v="1"/>
    <s v="Sales"/>
    <n v="28"/>
    <x v="90"/>
    <n v="43510"/>
    <x v="2"/>
    <x v="1"/>
    <n v="1.1287671232876713"/>
    <n v="871"/>
    <n v="1"/>
  </r>
  <r>
    <s v="Dotty Strutley"/>
    <x v="0"/>
    <s v="Website"/>
    <n v="31"/>
    <x v="148"/>
    <n v="41980"/>
    <x v="0"/>
    <x v="0"/>
    <n v="2.8082191780821919"/>
    <n v="1260"/>
    <n v="3"/>
  </r>
  <r>
    <s v="Jagajeet Viraj"/>
    <x v="0"/>
    <s v="Website"/>
    <n v="31"/>
    <x v="149"/>
    <n v="41980"/>
    <x v="0"/>
    <x v="1"/>
    <n v="2.9753424657534246"/>
    <n v="1260"/>
    <n v="3"/>
  </r>
  <r>
    <s v="Crissie Cordel"/>
    <x v="0"/>
    <s v="Procurement"/>
    <n v="32"/>
    <x v="150"/>
    <n v="41570"/>
    <x v="0"/>
    <x v="0"/>
    <n v="1.5315068493150685"/>
    <n v="832"/>
    <n v="3"/>
  </r>
  <r>
    <s v="Prerana Nishita"/>
    <x v="0"/>
    <s v="Procurement"/>
    <n v="32"/>
    <x v="151"/>
    <n v="41570"/>
    <x v="0"/>
    <x v="1"/>
    <n v="1.7013698630136986"/>
    <n v="832"/>
    <n v="3"/>
  </r>
  <r>
    <s v="Archibald Filliskirk"/>
    <x v="1"/>
    <s v="Procurement"/>
    <n v="35"/>
    <x v="152"/>
    <n v="40400"/>
    <x v="0"/>
    <x v="0"/>
    <n v="1.2136986301369863"/>
    <n v="808"/>
    <n v="3"/>
  </r>
  <r>
    <s v="Shobhana Samuel"/>
    <x v="1"/>
    <s v="Procurement"/>
    <n v="35"/>
    <x v="110"/>
    <n v="40400"/>
    <x v="0"/>
    <x v="1"/>
    <n v="1.3808219178082193"/>
    <n v="808"/>
    <n v="3"/>
  </r>
  <r>
    <s v="Orton Livick"/>
    <x v="1"/>
    <s v="Procurement"/>
    <n v="21"/>
    <x v="153"/>
    <n v="37920"/>
    <x v="0"/>
    <x v="0"/>
    <n v="2.9205479452054797"/>
    <n v="1138"/>
    <n v="3"/>
  </r>
  <r>
    <s v="Akbar Sorabhjee"/>
    <x v="1"/>
    <s v="Procurement"/>
    <n v="21"/>
    <x v="154"/>
    <n v="37920"/>
    <x v="0"/>
    <x v="1"/>
    <n v="3.0904109589041098"/>
    <n v="1138"/>
    <n v="3"/>
  </r>
  <r>
    <s v="Bili Sizey"/>
    <x v="1"/>
    <s v="Sales"/>
    <n v="43"/>
    <x v="155"/>
    <n v="36040"/>
    <x v="0"/>
    <x v="0"/>
    <n v="1.5068493150684932"/>
    <n v="721"/>
    <n v="3"/>
  </r>
  <r>
    <s v="Waheeda Vasuman"/>
    <x v="1"/>
    <s v="Sales"/>
    <n v="43"/>
    <x v="156"/>
    <n v="36040"/>
    <x v="0"/>
    <x v="1"/>
    <n v="1.6767123287671233"/>
    <n v="721"/>
    <n v="3"/>
  </r>
  <r>
    <s v="Niall Selesnick"/>
    <x v="0"/>
    <s v="Website"/>
    <n v="29"/>
    <x v="10"/>
    <n v="34980"/>
    <x v="0"/>
    <x v="0"/>
    <n v="3.1424657534246574"/>
    <n v="1050"/>
    <n v="3"/>
  </r>
  <r>
    <s v="Suchira Bhanupriya Tapti"/>
    <x v="0"/>
    <s v="Website"/>
    <n v="29"/>
    <x v="157"/>
    <n v="34980"/>
    <x v="0"/>
    <x v="1"/>
    <n v="3.3095890410958906"/>
    <n v="1050"/>
    <n v="3"/>
  </r>
  <r>
    <s v="Gretchen Callow"/>
    <x v="0"/>
    <s v="Website"/>
    <n v="21"/>
    <x v="158"/>
    <n v="33920"/>
    <x v="0"/>
    <x v="0"/>
    <n v="1.3479452054794521"/>
    <n v="679"/>
    <n v="3"/>
  </r>
  <r>
    <s v="Shubhra Potla"/>
    <x v="0"/>
    <s v="Website"/>
    <n v="21"/>
    <x v="159"/>
    <n v="33920"/>
    <x v="0"/>
    <x v="1"/>
    <n v="1.5095890410958903"/>
    <n v="679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82070D-1775-4719-A28B-CB6078DABAE5}" name="TablaDinámica1" cacheId="14" dataOnRows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7" indent="0" outline="1" outlineData="1" multipleFieldFilters="0">
  <location ref="A1:C6" firstHeaderRow="1" firstDataRow="2" firstDataCol="1"/>
  <pivotFields count="13">
    <pivotField dataField="1" showAll="0"/>
    <pivotField axis="axisCol" showAll="0">
      <items count="4">
        <item x="0"/>
        <item x="1"/>
        <item h="1" x="2"/>
        <item t="default"/>
      </items>
    </pivotField>
    <pivotField showAll="0"/>
    <pivotField dataField="1" showAll="0" avgSubtotal="1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 avgSubtotal="1"/>
    <pivotField showAll="0"/>
    <pivotField showAll="0">
      <items count="3">
        <item x="1"/>
        <item x="0"/>
        <item t="default"/>
      </items>
    </pivotField>
    <pivotField dataField="1" numFmtId="2" showAll="0"/>
    <pivotField numFmtId="165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1"/>
  </colFields>
  <colItems count="2">
    <i>
      <x/>
    </i>
    <i>
      <x v="1"/>
    </i>
  </colItems>
  <dataFields count="4">
    <dataField name="Cantidad" fld="0" subtotal="count" baseField="0" baseItem="0"/>
    <dataField name="Promedio de edad" fld="3" subtotal="average" baseField="1" baseItem="0"/>
    <dataField name="Salario Promedio" fld="5" subtotal="average" baseField="1" baseItem="0"/>
    <dataField name="Promedio de antigüedad en años" fld="8" subtotal="average" baseField="0" baseItem="0"/>
  </dataFields>
  <formats count="8">
    <format dxfId="27">
      <pivotArea collapsedLevelsAreSubtotals="1" fieldPosition="0">
        <references count="1">
          <reference field="4294967294" count="1">
            <x v="1"/>
          </reference>
        </references>
      </pivotArea>
    </format>
    <format dxfId="26">
      <pivotArea outline="0" collapsedLevelsAreSubtotals="1" fieldPosition="0"/>
    </format>
    <format dxfId="2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4">
      <pivotArea collapsedLevelsAreSubtotals="1" fieldPosition="0">
        <references count="1">
          <reference field="4294967294" count="1">
            <x v="3"/>
          </reference>
        </references>
      </pivotArea>
    </format>
    <format dxfId="23">
      <pivotArea collapsedLevelsAreSubtotals="1" fieldPosition="0">
        <references count="2">
          <reference field="4294967294" count="1">
            <x v="3"/>
          </reference>
          <reference field="1" count="1" selected="0">
            <x v="1"/>
          </reference>
        </references>
      </pivotArea>
    </format>
    <format dxfId="22">
      <pivotArea collapsedLevelsAreSubtotals="1" fieldPosition="0">
        <references count="2">
          <reference field="4294967294" count="1">
            <x v="3"/>
          </reference>
          <reference field="1" count="1" selected="0">
            <x v="0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0">
      <pivotArea collapsedLevelsAreSubtotals="1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3F4282-D2C1-4F24-93D4-9C2BCD7E4C73}" name="TablaDinámica4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B2:D8" firstHeaderRow="0" firstDataRow="1" firstDataCol="1"/>
  <pivotFields count="13">
    <pivotField dataField="1"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axis="axisRow" showAll="0">
      <items count="6">
        <item x="4"/>
        <item x="3"/>
        <item x="0"/>
        <item x="1"/>
        <item x="2"/>
        <item t="default"/>
      </items>
    </pivotField>
    <pivotField showAll="0"/>
    <pivotField numFmtId="2" showAll="0"/>
    <pivotField numFmtId="165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antidad de empleados" fld="0" subtotal="count" baseField="6" baseItem="4"/>
    <dataField name="Salario promedio" fld="5" subtotal="average" baseField="6" baseItem="0"/>
  </dataFields>
  <formats count="13">
    <format dxfId="19">
      <pivotArea collapsedLevelsAreSubtotals="1" fieldPosition="0">
        <references count="1">
          <reference field="6" count="0"/>
        </references>
      </pivotArea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6" type="button" dataOnly="0" labelOnly="1" outline="0" axis="axisRow" fieldPosition="0"/>
    </format>
    <format dxfId="15">
      <pivotArea dataOnly="0" labelOnly="1" fieldPosition="0">
        <references count="1">
          <reference field="6" count="0"/>
        </references>
      </pivotArea>
    </format>
    <format dxfId="14">
      <pivotArea dataOnly="0" labelOnly="1" outline="0" axis="axisValues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6" type="button" dataOnly="0" labelOnly="1" outline="0" axis="axisRow" fieldPosition="0"/>
    </format>
    <format dxfId="10">
      <pivotArea dataOnly="0" labelOnly="1" fieldPosition="0">
        <references count="1">
          <reference field="6" count="0"/>
        </references>
      </pivotArea>
    </format>
    <format dxfId="9">
      <pivotArea dataOnly="0" labelOnly="1" outline="0" axis="axisValues" fieldPosition="0"/>
    </format>
    <format dxfId="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">
      <pivotArea field="6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14992B-BBC6-4C7B-83D7-0700E63DD1C7}" name="TablaDinámica7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9">
  <location ref="B2:C39" firstHeaderRow="1" firstDataRow="1" firstDataCol="1"/>
  <pivotFields count="13">
    <pivotField dataField="1"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numFmtId="2" showAll="0"/>
    <pivotField numFmtId="165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h="1" sd="0" x="0"/>
        <item x="1"/>
        <item x="2"/>
        <item x="3"/>
        <item x="4"/>
        <item h="1" sd="0" x="5"/>
        <item t="default"/>
      </items>
    </pivotField>
  </pivotFields>
  <rowFields count="2">
    <field x="12"/>
    <field x="4"/>
  </rowFields>
  <rowItems count="37">
    <i>
      <x v="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4"/>
    </i>
    <i r="1">
      <x v="2"/>
    </i>
    <i r="1">
      <x v="4"/>
    </i>
    <i t="grand">
      <x/>
    </i>
  </rowItems>
  <colItems count="1">
    <i/>
  </colItems>
  <dataFields count="1">
    <dataField name="Cantidad de contratados" fld="0" subtotal="count" showDataAs="runTotal" baseField="4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1B4225-88C2-4005-9CB0-236B9AFAE1F3}" name="TablaDinámica14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3">
  <location ref="A3:B9" firstHeaderRow="1" firstDataRow="1" firstDataCol="1" rowPageCount="1" colPageCount="1"/>
  <pivotFields count="3">
    <pivotField axis="axisRow" allDrilled="1" subtotalTop="0" showAll="0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6">
    <i>
      <x v="1"/>
    </i>
    <i>
      <x v="3"/>
    </i>
    <i>
      <x/>
    </i>
    <i>
      <x v="4"/>
    </i>
    <i>
      <x v="2"/>
    </i>
    <i t="grand">
      <x/>
    </i>
  </rowItems>
  <colItems count="1">
    <i/>
  </colItems>
  <pageFields count="1">
    <pageField fld="2" hier="7" name="[allstaff].[Country].&amp;[India]" cap="India"/>
  </pageFields>
  <dataFields count="1">
    <dataField name="Recuento de Name"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lank-data-file.xlsx!allstaff">
        <x15:activeTabTopLevelEntity name="[allstaff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5A4004-2587-4F1A-8602-6ED7BA50FD7E}" name="TablaDinámica15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4">
  <location ref="D3:E9" firstHeaderRow="1" firstDataRow="1" firstDataCol="1" rowPageCount="1" colPageCount="1"/>
  <pivotFields count="3">
    <pivotField axis="axisRow" allDrilled="1" subtotalTop="0" showAll="0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6">
    <i>
      <x v="1"/>
    </i>
    <i>
      <x v="3"/>
    </i>
    <i>
      <x/>
    </i>
    <i>
      <x v="2"/>
    </i>
    <i>
      <x v="4"/>
    </i>
    <i t="grand">
      <x/>
    </i>
  </rowItems>
  <colItems count="1">
    <i/>
  </colItems>
  <pageFields count="1">
    <pageField fld="2" hier="7" name="[allstaff].[Country].&amp;[NZ]" cap="NZ"/>
  </pageFields>
  <dataFields count="1">
    <dataField name="Recuento de Name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lank-data-file.xlsx!allstaff">
        <x15:activeTabTopLevelEntity name="[allstaff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D9A7E349-8155-4A1E-AD94-9C4979DFC6F9}" autoFormatId="16" applyNumberFormats="0" applyBorderFormats="0" applyFontFormats="0" applyPatternFormats="0" applyAlignmentFormats="0" applyWidthHeightFormats="0">
  <queryTableRefresh nextId="12" unboundColumnsRight="3">
    <queryTableFields count="11">
      <queryTableField id="1" name="Name" tableColumnId="9"/>
      <queryTableField id="2" name="Gender" tableColumnId="2"/>
      <queryTableField id="3" name="Department" tableColumnId="3"/>
      <queryTableField id="4" name="Age" tableColumnId="4"/>
      <queryTableField id="5" name="Date Joined" tableColumnId="5"/>
      <queryTableField id="6" name="Salary" tableColumnId="6"/>
      <queryTableField id="7" name="Rating" tableColumnId="7"/>
      <queryTableField id="8" name="Country" tableColumnId="8"/>
      <queryTableField id="9" dataBound="0" tableColumnId="1"/>
      <queryTableField id="10" dataBound="0" tableColumnId="10"/>
      <queryTableField id="11" dataBound="0" tableColumnId="11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untry" xr10:uid="{3395FFB5-EB13-4860-9FBF-0A90081D233F}" sourceName="Country">
  <pivotTables>
    <pivotTable tabId="6" name="TablaDinámica1"/>
  </pivotTables>
  <data>
    <tabular pivotCacheId="1628671720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untry" xr10:uid="{71B7BBF9-3CED-4E1C-92A0-72368D1932D5}" cache="SegmentaciónDeDatos_Country" caption="Country" rowHeight="241300"/>
</slicer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DCA5F4-1AEC-4B4F-B107-4A1B7B44D134}" name="newzealand_staff" displayName="newzealand_staff" ref="C5:J97" totalsRowCount="1" headerRowDxfId="45" headerRowBorderDxfId="44" tableBorderDxfId="43">
  <autoFilter ref="C5:J96" xr:uid="{EE182796-6443-4558-9B87-909B73329DFC}"/>
  <sortState xmlns:xlrd2="http://schemas.microsoft.com/office/spreadsheetml/2017/richdata2" ref="C6:J96">
    <sortCondition sortBy="cellColor" ref="C5:C96" dxfId="42"/>
  </sortState>
  <tableColumns count="8">
    <tableColumn id="1" xr3:uid="{EEB80584-81B2-4F61-BC18-FE96F0DA13E1}" name="Name" totalsRowLabel="Total"/>
    <tableColumn id="2" xr3:uid="{51BC5C51-35FE-43A1-9CCA-01C9A16662CC}" name="Gender"/>
    <tableColumn id="3" xr3:uid="{6BA00930-F81B-487F-AEA0-9B55C1252CFE}" name="Department"/>
    <tableColumn id="4" xr3:uid="{84AE66B2-C5A7-4290-B22A-BAFF7D017E5F}" name="Age" totalsRowFunction="average"/>
    <tableColumn id="5" xr3:uid="{F17BA339-C211-4248-891B-7BF80DD5737E}" name="Date Joined" dataDxfId="41"/>
    <tableColumn id="6" xr3:uid="{3804872A-C0C5-46A2-9366-5CA3BCB910F5}" name="Salary" totalsRowFunction="average" dataDxfId="40" totalsRowDxfId="39"/>
    <tableColumn id="7" xr3:uid="{64715F0C-11FB-46DD-A7AB-30DDCDC69B9C}" name="Rating" totalsRowFunction="count"/>
    <tableColumn id="8" xr3:uid="{4EBE3F39-C41B-41D5-B7B8-3CEC04CC30D8}" name="Country" totalsRowFunction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39BA1F-2CA1-4087-858B-C6FC66521078}" name="india_staff" displayName="india_staff" ref="B2:I95" totalsRowCount="1" headerRowDxfId="38" headerRowBorderDxfId="37" tableBorderDxfId="36">
  <autoFilter ref="B2:I94" xr:uid="{FF39BA1F-2CA1-4087-858B-C6FC66521078}"/>
  <sortState xmlns:xlrd2="http://schemas.microsoft.com/office/spreadsheetml/2017/richdata2" ref="B3:I94">
    <sortCondition descending="1" ref="F2:F94"/>
  </sortState>
  <tableColumns count="8">
    <tableColumn id="1" xr3:uid="{EFB1E9AD-81AF-4FB9-9B0C-63833FE3C9B5}" name="Name" totalsRowLabel="Total"/>
    <tableColumn id="2" xr3:uid="{F9314D26-6A94-48FD-BC32-E63D9F00D167}" name="Gender"/>
    <tableColumn id="3" xr3:uid="{7727F6EB-EB2C-4CBF-AEC9-8D890440458F}" name="Age" totalsRowFunction="average"/>
    <tableColumn id="4" xr3:uid="{B50348BD-823D-4484-A582-0F398C3DDCE8}" name="Rating"/>
    <tableColumn id="5" xr3:uid="{5F6A8DB9-707A-41F6-8BFD-F31BF0446527}" name="Date Joined" dataDxfId="35"/>
    <tableColumn id="6" xr3:uid="{90FECF47-B010-4F31-A869-686418AC6C8B}" name="Department"/>
    <tableColumn id="7" xr3:uid="{CFDFB671-480A-42B2-924A-B0E280530055}" name="Salary" totalsRowFunction="average" dataDxfId="34" totalsRowDxfId="33"/>
    <tableColumn id="8" xr3:uid="{BC60BA43-403D-4FA0-8A8A-87092813BB60}" name="Country" dataDxfId="32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E251D6-C1A3-40EA-A596-9D3D81E8FF2D}" name="allstaff" displayName="allstaff" ref="A1:K185" tableType="queryTable" totalsRowCount="1">
  <autoFilter ref="A1:K184" xr:uid="{E6E251D6-C1A3-40EA-A596-9D3D81E8FF2D}"/>
  <sortState xmlns:xlrd2="http://schemas.microsoft.com/office/spreadsheetml/2017/richdata2" ref="A2:K184">
    <sortCondition descending="1" ref="F1:F184"/>
  </sortState>
  <tableColumns count="11">
    <tableColumn id="9" xr3:uid="{237342D4-1CDE-4658-BC11-07027C84695A}" uniqueName="9" name="Name" totalsRowLabel="Total" queryTableFieldId="1" dataDxfId="31"/>
    <tableColumn id="2" xr3:uid="{832EBEB6-41A7-486F-BCD4-62BD281D1F5C}" uniqueName="2" name="Gender" totalsRowFunction="count" queryTableFieldId="2" dataDxfId="30"/>
    <tableColumn id="3" xr3:uid="{F1E5CFEF-1551-4B57-BE00-F2CB70675F7D}" uniqueName="3" name="Department" totalsRowFunction="count" queryTableFieldId="3" dataDxfId="29"/>
    <tableColumn id="4" xr3:uid="{C9A7FA51-B843-4655-831B-11FFADD510B9}" uniqueName="4" name="Age" totalsRowFunction="average" queryTableFieldId="4"/>
    <tableColumn id="5" xr3:uid="{FCDA349F-DF83-4601-8FFC-72CFAC679F90}" uniqueName="5" name="Date Joined" queryTableFieldId="5" dataDxfId="3"/>
    <tableColumn id="6" xr3:uid="{6E92A9C8-3006-447C-9DD0-46D05B965F8C}" uniqueName="6" name="Salary" totalsRowFunction="average" queryTableFieldId="6" dataDxfId="2" totalsRowDxfId="4"/>
    <tableColumn id="7" xr3:uid="{37F0C4AE-B9DA-4C53-BAF1-747851283D1C}" uniqueName="7" name="Rating" queryTableFieldId="7"/>
    <tableColumn id="8" xr3:uid="{46523D70-F32C-4C64-889E-833332B8F6CA}" uniqueName="8" name="Country" queryTableFieldId="8"/>
    <tableColumn id="1" xr3:uid="{6DCBC39E-B824-4963-A135-6B20B2A7921C}" uniqueName="1" name="Tenure in Years" queryTableFieldId="9" dataDxfId="1">
      <calculatedColumnFormula>(TODAY()-allstaff[[#This Row],[Date Joined]])/365</calculatedColumnFormula>
    </tableColumn>
    <tableColumn id="10" xr3:uid="{97E7F1F3-1E17-4CD8-A581-C0895BFAAB7A}" uniqueName="10" name="Bonus" queryTableFieldId="10" dataDxfId="0">
      <calculatedColumnFormula>ROUNDUP(IF(allstaff[[#This Row],[Tenure in Years]]&gt;2,3%,2%)*allstaff[[#This Row],[Salary]],0)</calculatedColumnFormula>
    </tableColumn>
    <tableColumn id="11" xr3:uid="{0D771BC5-8292-47AC-968E-FEEAAE815C8C}" uniqueName="11" name="Rating as Number" totalsRowFunction="count" queryTableFieldId="11" dataDxfId="28">
      <calculatedColumnFormula>VLOOKUP(allstaff[[#This Row],[Rating]],$M$23:$N$27,2,FALSE)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 codeName="Hoja1"/>
  <dimension ref="A1:J97"/>
  <sheetViews>
    <sheetView topLeftCell="A85" workbookViewId="0">
      <selection activeCell="O14" sqref="O14"/>
    </sheetView>
  </sheetViews>
  <sheetFormatPr baseColWidth="10" defaultColWidth="9.140625" defaultRowHeight="15" x14ac:dyDescent="0.25"/>
  <cols>
    <col min="1" max="1" width="1.7109375" customWidth="1"/>
    <col min="2" max="2" width="3.7109375" customWidth="1"/>
    <col min="3" max="3" width="21.140625" customWidth="1"/>
    <col min="4" max="4" width="9.85546875" customWidth="1"/>
    <col min="5" max="5" width="13.85546875" customWidth="1"/>
    <col min="6" max="6" width="7" customWidth="1"/>
    <col min="7" max="7" width="16" customWidth="1"/>
    <col min="8" max="8" width="13.28515625" customWidth="1"/>
    <col min="9" max="9" width="14.140625" bestFit="1" customWidth="1"/>
  </cols>
  <sheetData>
    <row r="1" spans="1:10" s="2" customFormat="1" ht="52.5" customHeight="1" x14ac:dyDescent="0.25">
      <c r="A1" s="1"/>
      <c r="C1" s="3" t="s">
        <v>110</v>
      </c>
    </row>
    <row r="5" spans="1:10" x14ac:dyDescent="0.25">
      <c r="C5" s="7" t="s">
        <v>0</v>
      </c>
      <c r="D5" s="7" t="s">
        <v>1</v>
      </c>
      <c r="E5" s="7" t="s">
        <v>2</v>
      </c>
      <c r="F5" s="7" t="s">
        <v>3</v>
      </c>
      <c r="G5" s="8" t="s">
        <v>4</v>
      </c>
      <c r="H5" s="9" t="s">
        <v>5</v>
      </c>
      <c r="I5" s="7" t="s">
        <v>6</v>
      </c>
      <c r="J5" s="7" t="s">
        <v>204</v>
      </c>
    </row>
    <row r="6" spans="1:10" x14ac:dyDescent="0.25">
      <c r="C6" t="s">
        <v>58</v>
      </c>
      <c r="D6" t="s">
        <v>15</v>
      </c>
      <c r="E6" t="s">
        <v>19</v>
      </c>
      <c r="F6">
        <v>22</v>
      </c>
      <c r="G6" s="4">
        <v>44446</v>
      </c>
      <c r="H6" s="11">
        <v>112780</v>
      </c>
      <c r="I6" t="s">
        <v>13</v>
      </c>
      <c r="J6" t="s">
        <v>205</v>
      </c>
    </row>
    <row r="7" spans="1:10" x14ac:dyDescent="0.25">
      <c r="C7" t="s">
        <v>70</v>
      </c>
      <c r="D7" t="s">
        <v>15</v>
      </c>
      <c r="E7" t="s">
        <v>9</v>
      </c>
      <c r="F7">
        <v>46</v>
      </c>
      <c r="G7" s="4">
        <v>44758</v>
      </c>
      <c r="H7" s="11">
        <v>70610</v>
      </c>
      <c r="I7" t="s">
        <v>16</v>
      </c>
      <c r="J7" t="s">
        <v>205</v>
      </c>
    </row>
    <row r="8" spans="1:10" x14ac:dyDescent="0.25">
      <c r="C8" t="s">
        <v>75</v>
      </c>
      <c r="D8" t="s">
        <v>8</v>
      </c>
      <c r="E8" t="s">
        <v>19</v>
      </c>
      <c r="F8">
        <v>28</v>
      </c>
      <c r="G8" s="4">
        <v>44357</v>
      </c>
      <c r="H8" s="11">
        <v>53240</v>
      </c>
      <c r="I8" t="s">
        <v>16</v>
      </c>
      <c r="J8" t="s">
        <v>205</v>
      </c>
    </row>
    <row r="9" spans="1:10" x14ac:dyDescent="0.25">
      <c r="C9" t="s">
        <v>49</v>
      </c>
      <c r="D9" t="s">
        <v>207</v>
      </c>
      <c r="E9" t="s">
        <v>21</v>
      </c>
      <c r="F9">
        <v>37</v>
      </c>
      <c r="G9" s="4">
        <v>44146</v>
      </c>
      <c r="H9" s="11">
        <v>115440</v>
      </c>
      <c r="I9" t="s">
        <v>24</v>
      </c>
      <c r="J9" t="s">
        <v>205</v>
      </c>
    </row>
    <row r="10" spans="1:10" x14ac:dyDescent="0.25">
      <c r="C10" t="s">
        <v>65</v>
      </c>
      <c r="D10" t="s">
        <v>15</v>
      </c>
      <c r="E10" t="s">
        <v>19</v>
      </c>
      <c r="F10">
        <v>32</v>
      </c>
      <c r="G10" s="4">
        <v>44465</v>
      </c>
      <c r="H10" s="11">
        <v>53540</v>
      </c>
      <c r="I10" t="s">
        <v>16</v>
      </c>
      <c r="J10" t="s">
        <v>205</v>
      </c>
    </row>
    <row r="11" spans="1:10" x14ac:dyDescent="0.25">
      <c r="C11" t="s">
        <v>81</v>
      </c>
      <c r="D11" t="s">
        <v>8</v>
      </c>
      <c r="E11" t="s">
        <v>9</v>
      </c>
      <c r="F11">
        <v>30</v>
      </c>
      <c r="G11" s="4">
        <v>44861</v>
      </c>
      <c r="H11" s="11">
        <v>112570</v>
      </c>
      <c r="I11" t="s">
        <v>16</v>
      </c>
      <c r="J11" t="s">
        <v>205</v>
      </c>
    </row>
    <row r="12" spans="1:10" x14ac:dyDescent="0.25">
      <c r="C12" t="s">
        <v>51</v>
      </c>
      <c r="D12" t="s">
        <v>15</v>
      </c>
      <c r="E12" t="s">
        <v>9</v>
      </c>
      <c r="F12">
        <v>33</v>
      </c>
      <c r="G12" s="4">
        <v>44701</v>
      </c>
      <c r="H12" s="11">
        <v>48530</v>
      </c>
      <c r="I12" t="s">
        <v>13</v>
      </c>
      <c r="J12" t="s">
        <v>205</v>
      </c>
    </row>
    <row r="13" spans="1:10" x14ac:dyDescent="0.25">
      <c r="C13" t="s">
        <v>61</v>
      </c>
      <c r="D13" t="s">
        <v>8</v>
      </c>
      <c r="E13" t="s">
        <v>12</v>
      </c>
      <c r="F13">
        <v>24</v>
      </c>
      <c r="G13" s="4">
        <v>44148</v>
      </c>
      <c r="H13" s="11">
        <v>62780</v>
      </c>
      <c r="I13" t="s">
        <v>16</v>
      </c>
      <c r="J13" t="s">
        <v>205</v>
      </c>
    </row>
    <row r="14" spans="1:10" x14ac:dyDescent="0.25">
      <c r="C14" t="s">
        <v>64</v>
      </c>
      <c r="D14" t="s">
        <v>15</v>
      </c>
      <c r="E14" t="s">
        <v>12</v>
      </c>
      <c r="F14">
        <v>20</v>
      </c>
      <c r="G14" s="4">
        <v>44183</v>
      </c>
      <c r="H14" s="11">
        <v>112650</v>
      </c>
      <c r="I14" t="s">
        <v>16</v>
      </c>
      <c r="J14" t="s">
        <v>205</v>
      </c>
    </row>
    <row r="15" spans="1:10" x14ac:dyDescent="0.25">
      <c r="C15" t="s">
        <v>82</v>
      </c>
      <c r="D15" t="s">
        <v>15</v>
      </c>
      <c r="E15" t="s">
        <v>12</v>
      </c>
      <c r="F15">
        <v>33</v>
      </c>
      <c r="G15" s="4">
        <v>44509</v>
      </c>
      <c r="H15" s="11">
        <v>53870</v>
      </c>
      <c r="I15" t="s">
        <v>16</v>
      </c>
      <c r="J15" t="s">
        <v>205</v>
      </c>
    </row>
    <row r="16" spans="1:10" x14ac:dyDescent="0.25">
      <c r="C16" t="s">
        <v>60</v>
      </c>
      <c r="D16" t="s">
        <v>8</v>
      </c>
      <c r="E16" t="s">
        <v>56</v>
      </c>
      <c r="F16">
        <v>27</v>
      </c>
      <c r="G16" s="4">
        <v>44122</v>
      </c>
      <c r="H16" s="11">
        <v>119110</v>
      </c>
      <c r="I16" t="s">
        <v>16</v>
      </c>
      <c r="J16" t="s">
        <v>205</v>
      </c>
    </row>
    <row r="17" spans="3:10" x14ac:dyDescent="0.25">
      <c r="C17" t="s">
        <v>87</v>
      </c>
      <c r="D17" t="s">
        <v>15</v>
      </c>
      <c r="E17" t="s">
        <v>12</v>
      </c>
      <c r="F17">
        <v>29</v>
      </c>
      <c r="G17" s="4">
        <v>44180</v>
      </c>
      <c r="H17" s="11">
        <v>112110</v>
      </c>
      <c r="I17" t="s">
        <v>24</v>
      </c>
      <c r="J17" t="s">
        <v>205</v>
      </c>
    </row>
    <row r="18" spans="3:10" x14ac:dyDescent="0.25">
      <c r="C18" t="s">
        <v>76</v>
      </c>
      <c r="D18" t="s">
        <v>15</v>
      </c>
      <c r="E18" t="s">
        <v>19</v>
      </c>
      <c r="F18">
        <v>25</v>
      </c>
      <c r="G18" s="4">
        <v>44383</v>
      </c>
      <c r="H18" s="11">
        <v>65700</v>
      </c>
      <c r="I18" t="s">
        <v>16</v>
      </c>
      <c r="J18" t="s">
        <v>205</v>
      </c>
    </row>
    <row r="19" spans="3:10" x14ac:dyDescent="0.25">
      <c r="C19" t="s">
        <v>97</v>
      </c>
      <c r="D19" t="s">
        <v>15</v>
      </c>
      <c r="E19" t="s">
        <v>12</v>
      </c>
      <c r="F19">
        <v>37</v>
      </c>
      <c r="G19" s="4">
        <v>44701</v>
      </c>
      <c r="H19" s="11">
        <v>69070</v>
      </c>
      <c r="I19" t="s">
        <v>16</v>
      </c>
      <c r="J19" t="s">
        <v>205</v>
      </c>
    </row>
    <row r="20" spans="3:10" x14ac:dyDescent="0.25">
      <c r="C20" t="s">
        <v>22</v>
      </c>
      <c r="D20" t="s">
        <v>15</v>
      </c>
      <c r="E20" t="s">
        <v>12</v>
      </c>
      <c r="F20">
        <v>20</v>
      </c>
      <c r="G20" s="4">
        <v>44459</v>
      </c>
      <c r="H20" s="11">
        <v>107700</v>
      </c>
      <c r="I20" t="s">
        <v>16</v>
      </c>
      <c r="J20" t="s">
        <v>205</v>
      </c>
    </row>
    <row r="21" spans="3:10" x14ac:dyDescent="0.25">
      <c r="C21" t="s">
        <v>84</v>
      </c>
      <c r="D21" t="s">
        <v>8</v>
      </c>
      <c r="E21" t="s">
        <v>12</v>
      </c>
      <c r="F21">
        <v>32</v>
      </c>
      <c r="G21" s="4">
        <v>44354</v>
      </c>
      <c r="H21" s="11">
        <v>43840</v>
      </c>
      <c r="I21" t="s">
        <v>13</v>
      </c>
      <c r="J21" t="s">
        <v>205</v>
      </c>
    </row>
    <row r="22" spans="3:10" x14ac:dyDescent="0.25">
      <c r="C22" t="s">
        <v>105</v>
      </c>
      <c r="D22" t="s">
        <v>15</v>
      </c>
      <c r="E22" t="s">
        <v>9</v>
      </c>
      <c r="F22">
        <v>40</v>
      </c>
      <c r="G22" s="4">
        <v>44263</v>
      </c>
      <c r="H22" s="11">
        <v>99750</v>
      </c>
      <c r="I22" t="s">
        <v>16</v>
      </c>
      <c r="J22" t="s">
        <v>205</v>
      </c>
    </row>
    <row r="23" spans="3:10" x14ac:dyDescent="0.25">
      <c r="C23" t="s">
        <v>47</v>
      </c>
      <c r="D23" t="s">
        <v>15</v>
      </c>
      <c r="E23" t="s">
        <v>9</v>
      </c>
      <c r="F23">
        <v>21</v>
      </c>
      <c r="G23" s="4">
        <v>44104</v>
      </c>
      <c r="H23" s="11">
        <v>37920</v>
      </c>
      <c r="I23" t="s">
        <v>16</v>
      </c>
      <c r="J23" t="s">
        <v>205</v>
      </c>
    </row>
    <row r="24" spans="3:10" x14ac:dyDescent="0.25">
      <c r="C24" t="s">
        <v>31</v>
      </c>
      <c r="D24" t="s">
        <v>15</v>
      </c>
      <c r="E24" t="s">
        <v>9</v>
      </c>
      <c r="F24">
        <v>21</v>
      </c>
      <c r="G24" s="4">
        <v>44762</v>
      </c>
      <c r="H24" s="11">
        <v>57090</v>
      </c>
      <c r="I24" t="s">
        <v>16</v>
      </c>
      <c r="J24" t="s">
        <v>205</v>
      </c>
    </row>
    <row r="25" spans="3:10" x14ac:dyDescent="0.25">
      <c r="C25" t="s">
        <v>30</v>
      </c>
      <c r="D25" t="s">
        <v>8</v>
      </c>
      <c r="E25" t="s">
        <v>12</v>
      </c>
      <c r="F25">
        <v>31</v>
      </c>
      <c r="G25" s="4">
        <v>44145</v>
      </c>
      <c r="H25" s="11">
        <v>41980</v>
      </c>
      <c r="I25" t="s">
        <v>16</v>
      </c>
      <c r="J25" t="s">
        <v>205</v>
      </c>
    </row>
    <row r="26" spans="3:10" x14ac:dyDescent="0.25">
      <c r="C26" t="s">
        <v>78</v>
      </c>
      <c r="D26" t="s">
        <v>15</v>
      </c>
      <c r="E26" t="s">
        <v>56</v>
      </c>
      <c r="F26">
        <v>21</v>
      </c>
      <c r="G26" s="4">
        <v>44242</v>
      </c>
      <c r="H26" s="11">
        <v>75880</v>
      </c>
      <c r="I26" t="s">
        <v>16</v>
      </c>
      <c r="J26" t="s">
        <v>205</v>
      </c>
    </row>
    <row r="27" spans="3:10" x14ac:dyDescent="0.25">
      <c r="C27" t="s">
        <v>36</v>
      </c>
      <c r="D27" t="s">
        <v>8</v>
      </c>
      <c r="E27" t="s">
        <v>21</v>
      </c>
      <c r="F27">
        <v>34</v>
      </c>
      <c r="G27" s="4">
        <v>44653</v>
      </c>
      <c r="H27" s="11">
        <v>58940</v>
      </c>
      <c r="I27" t="s">
        <v>16</v>
      </c>
      <c r="J27" t="s">
        <v>205</v>
      </c>
    </row>
    <row r="28" spans="3:10" x14ac:dyDescent="0.25">
      <c r="C28" t="s">
        <v>27</v>
      </c>
      <c r="D28" t="s">
        <v>8</v>
      </c>
      <c r="E28" t="s">
        <v>21</v>
      </c>
      <c r="F28">
        <v>30</v>
      </c>
      <c r="G28" s="4">
        <v>44389</v>
      </c>
      <c r="H28" s="11">
        <v>67910</v>
      </c>
      <c r="I28" t="s">
        <v>24</v>
      </c>
      <c r="J28" t="s">
        <v>205</v>
      </c>
    </row>
    <row r="29" spans="3:10" x14ac:dyDescent="0.25">
      <c r="C29" t="s">
        <v>26</v>
      </c>
      <c r="D29" t="s">
        <v>8</v>
      </c>
      <c r="E29" t="s">
        <v>12</v>
      </c>
      <c r="F29">
        <v>31</v>
      </c>
      <c r="G29" s="4">
        <v>44663</v>
      </c>
      <c r="H29" s="11">
        <v>58100</v>
      </c>
      <c r="I29" t="s">
        <v>16</v>
      </c>
      <c r="J29" t="s">
        <v>205</v>
      </c>
    </row>
    <row r="30" spans="3:10" x14ac:dyDescent="0.25">
      <c r="C30" t="s">
        <v>53</v>
      </c>
      <c r="D30" t="s">
        <v>15</v>
      </c>
      <c r="E30" t="s">
        <v>21</v>
      </c>
      <c r="F30">
        <v>27</v>
      </c>
      <c r="G30" s="4">
        <v>44567</v>
      </c>
      <c r="H30" s="11">
        <v>48980</v>
      </c>
      <c r="I30" t="s">
        <v>16</v>
      </c>
      <c r="J30" t="s">
        <v>205</v>
      </c>
    </row>
    <row r="31" spans="3:10" x14ac:dyDescent="0.25">
      <c r="C31" t="s">
        <v>20</v>
      </c>
      <c r="D31" t="s">
        <v>207</v>
      </c>
      <c r="E31" t="s">
        <v>21</v>
      </c>
      <c r="F31">
        <v>30</v>
      </c>
      <c r="G31" s="4">
        <v>44597</v>
      </c>
      <c r="H31" s="11">
        <v>64000</v>
      </c>
      <c r="I31" t="s">
        <v>16</v>
      </c>
      <c r="J31" t="s">
        <v>205</v>
      </c>
    </row>
    <row r="32" spans="3:10" x14ac:dyDescent="0.25">
      <c r="C32" t="s">
        <v>7</v>
      </c>
      <c r="D32" t="s">
        <v>8</v>
      </c>
      <c r="E32" t="s">
        <v>9</v>
      </c>
      <c r="F32">
        <v>42</v>
      </c>
      <c r="G32" s="4">
        <v>44779</v>
      </c>
      <c r="H32" s="11">
        <v>75000</v>
      </c>
      <c r="I32" t="s">
        <v>10</v>
      </c>
      <c r="J32" t="s">
        <v>205</v>
      </c>
    </row>
    <row r="33" spans="3:10" x14ac:dyDescent="0.25">
      <c r="C33" t="s">
        <v>74</v>
      </c>
      <c r="D33" t="s">
        <v>8</v>
      </c>
      <c r="E33" t="s">
        <v>12</v>
      </c>
      <c r="F33">
        <v>40</v>
      </c>
      <c r="G33" s="4">
        <v>44337</v>
      </c>
      <c r="H33" s="11">
        <v>87620</v>
      </c>
      <c r="I33" t="s">
        <v>16</v>
      </c>
      <c r="J33" t="s">
        <v>205</v>
      </c>
    </row>
    <row r="34" spans="3:10" x14ac:dyDescent="0.25">
      <c r="C34" t="s">
        <v>44</v>
      </c>
      <c r="D34" t="s">
        <v>8</v>
      </c>
      <c r="E34" t="s">
        <v>12</v>
      </c>
      <c r="F34">
        <v>29</v>
      </c>
      <c r="G34" s="4">
        <v>44023</v>
      </c>
      <c r="H34" s="11">
        <v>34980</v>
      </c>
      <c r="I34" t="s">
        <v>16</v>
      </c>
      <c r="J34" t="s">
        <v>205</v>
      </c>
    </row>
    <row r="35" spans="3:10" x14ac:dyDescent="0.25">
      <c r="C35" t="s">
        <v>35</v>
      </c>
      <c r="D35" t="s">
        <v>8</v>
      </c>
      <c r="E35" t="s">
        <v>21</v>
      </c>
      <c r="F35">
        <v>28</v>
      </c>
      <c r="G35" s="4">
        <v>44185</v>
      </c>
      <c r="H35" s="11">
        <v>75970</v>
      </c>
      <c r="I35" t="s">
        <v>16</v>
      </c>
      <c r="J35" t="s">
        <v>205</v>
      </c>
    </row>
    <row r="36" spans="3:10" x14ac:dyDescent="0.25">
      <c r="C36" t="s">
        <v>38</v>
      </c>
      <c r="D36" t="s">
        <v>8</v>
      </c>
      <c r="E36" t="s">
        <v>21</v>
      </c>
      <c r="F36">
        <v>34</v>
      </c>
      <c r="G36" s="4">
        <v>44612</v>
      </c>
      <c r="H36" s="11">
        <v>60130</v>
      </c>
      <c r="I36" t="s">
        <v>16</v>
      </c>
      <c r="J36" t="s">
        <v>205</v>
      </c>
    </row>
    <row r="37" spans="3:10" x14ac:dyDescent="0.25">
      <c r="C37" t="s">
        <v>41</v>
      </c>
      <c r="D37" t="s">
        <v>8</v>
      </c>
      <c r="E37" t="s">
        <v>12</v>
      </c>
      <c r="F37">
        <v>33</v>
      </c>
      <c r="G37" s="4">
        <v>44374</v>
      </c>
      <c r="H37" s="11">
        <v>75480</v>
      </c>
      <c r="I37" t="s">
        <v>42</v>
      </c>
      <c r="J37" t="s">
        <v>205</v>
      </c>
    </row>
    <row r="38" spans="3:10" x14ac:dyDescent="0.25">
      <c r="C38" t="s">
        <v>40</v>
      </c>
      <c r="D38" t="s">
        <v>15</v>
      </c>
      <c r="E38" t="s">
        <v>9</v>
      </c>
      <c r="F38">
        <v>33</v>
      </c>
      <c r="G38" s="4">
        <v>44164</v>
      </c>
      <c r="H38" s="11">
        <v>115920</v>
      </c>
      <c r="I38" t="s">
        <v>16</v>
      </c>
      <c r="J38" t="s">
        <v>205</v>
      </c>
    </row>
    <row r="39" spans="3:10" x14ac:dyDescent="0.25">
      <c r="C39" t="s">
        <v>48</v>
      </c>
      <c r="D39" t="s">
        <v>8</v>
      </c>
      <c r="E39" t="s">
        <v>19</v>
      </c>
      <c r="F39">
        <v>36</v>
      </c>
      <c r="G39" s="4">
        <v>44494</v>
      </c>
      <c r="H39" s="11">
        <v>78540</v>
      </c>
      <c r="I39" t="s">
        <v>16</v>
      </c>
      <c r="J39" t="s">
        <v>205</v>
      </c>
    </row>
    <row r="40" spans="3:10" x14ac:dyDescent="0.25">
      <c r="C40" t="s">
        <v>34</v>
      </c>
      <c r="D40" t="s">
        <v>15</v>
      </c>
      <c r="E40" t="s">
        <v>9</v>
      </c>
      <c r="F40">
        <v>25</v>
      </c>
      <c r="G40" s="4">
        <v>44726</v>
      </c>
      <c r="H40" s="11">
        <v>109190</v>
      </c>
      <c r="I40" t="s">
        <v>13</v>
      </c>
      <c r="J40" t="s">
        <v>205</v>
      </c>
    </row>
    <row r="41" spans="3:10" x14ac:dyDescent="0.25">
      <c r="C41" t="s">
        <v>73</v>
      </c>
      <c r="D41" t="s">
        <v>8</v>
      </c>
      <c r="E41" t="s">
        <v>19</v>
      </c>
      <c r="F41">
        <v>34</v>
      </c>
      <c r="G41" s="4">
        <v>44721</v>
      </c>
      <c r="H41" s="11">
        <v>49630</v>
      </c>
      <c r="I41" t="s">
        <v>24</v>
      </c>
      <c r="J41" t="s">
        <v>205</v>
      </c>
    </row>
    <row r="42" spans="3:10" x14ac:dyDescent="0.25">
      <c r="C42" t="s">
        <v>107</v>
      </c>
      <c r="D42" t="s">
        <v>8</v>
      </c>
      <c r="E42" t="s">
        <v>9</v>
      </c>
      <c r="F42">
        <v>28</v>
      </c>
      <c r="G42" s="4">
        <v>44630</v>
      </c>
      <c r="H42" s="11">
        <v>99970</v>
      </c>
      <c r="I42" t="s">
        <v>16</v>
      </c>
      <c r="J42" t="s">
        <v>205</v>
      </c>
    </row>
    <row r="43" spans="3:10" x14ac:dyDescent="0.25">
      <c r="C43" t="s">
        <v>71</v>
      </c>
      <c r="D43" t="s">
        <v>8</v>
      </c>
      <c r="E43" t="s">
        <v>12</v>
      </c>
      <c r="F43">
        <v>33</v>
      </c>
      <c r="G43" s="4">
        <v>44190</v>
      </c>
      <c r="H43" s="11">
        <v>96140</v>
      </c>
      <c r="I43" t="s">
        <v>16</v>
      </c>
      <c r="J43" t="s">
        <v>205</v>
      </c>
    </row>
    <row r="44" spans="3:10" x14ac:dyDescent="0.25">
      <c r="C44" t="s">
        <v>50</v>
      </c>
      <c r="D44" t="s">
        <v>15</v>
      </c>
      <c r="E44" t="s">
        <v>9</v>
      </c>
      <c r="F44">
        <v>31</v>
      </c>
      <c r="G44" s="4">
        <v>44724</v>
      </c>
      <c r="H44" s="11">
        <v>103550</v>
      </c>
      <c r="I44" t="s">
        <v>16</v>
      </c>
      <c r="J44" t="s">
        <v>205</v>
      </c>
    </row>
    <row r="45" spans="3:10" x14ac:dyDescent="0.25">
      <c r="C45" t="s">
        <v>14</v>
      </c>
      <c r="D45" t="s">
        <v>15</v>
      </c>
      <c r="E45" t="s">
        <v>12</v>
      </c>
      <c r="F45">
        <v>31</v>
      </c>
      <c r="G45" s="4">
        <v>44511</v>
      </c>
      <c r="H45" s="11">
        <v>48950</v>
      </c>
      <c r="I45" t="s">
        <v>16</v>
      </c>
      <c r="J45" t="s">
        <v>205</v>
      </c>
    </row>
    <row r="46" spans="3:10" x14ac:dyDescent="0.25">
      <c r="C46" t="s">
        <v>63</v>
      </c>
      <c r="D46" t="s">
        <v>15</v>
      </c>
      <c r="E46" t="s">
        <v>21</v>
      </c>
      <c r="F46">
        <v>24</v>
      </c>
      <c r="G46" s="4">
        <v>44436</v>
      </c>
      <c r="H46" s="11">
        <v>52610</v>
      </c>
      <c r="I46" t="s">
        <v>24</v>
      </c>
      <c r="J46" t="s">
        <v>205</v>
      </c>
    </row>
    <row r="47" spans="3:10" x14ac:dyDescent="0.25">
      <c r="C47" t="s">
        <v>72</v>
      </c>
      <c r="D47" t="s">
        <v>8</v>
      </c>
      <c r="E47" t="s">
        <v>9</v>
      </c>
      <c r="F47">
        <v>36</v>
      </c>
      <c r="G47" s="4">
        <v>44529</v>
      </c>
      <c r="H47" s="11">
        <v>78390</v>
      </c>
      <c r="I47" t="s">
        <v>16</v>
      </c>
      <c r="J47" t="s">
        <v>205</v>
      </c>
    </row>
    <row r="48" spans="3:10" x14ac:dyDescent="0.25">
      <c r="C48" t="s">
        <v>88</v>
      </c>
      <c r="D48" t="s">
        <v>8</v>
      </c>
      <c r="E48" t="s">
        <v>21</v>
      </c>
      <c r="F48">
        <v>33</v>
      </c>
      <c r="G48" s="4">
        <v>44809</v>
      </c>
      <c r="H48" s="11">
        <v>86570</v>
      </c>
      <c r="I48" t="s">
        <v>16</v>
      </c>
      <c r="J48" t="s">
        <v>205</v>
      </c>
    </row>
    <row r="49" spans="3:10" x14ac:dyDescent="0.25">
      <c r="C49" t="s">
        <v>92</v>
      </c>
      <c r="D49" t="s">
        <v>8</v>
      </c>
      <c r="E49" t="s">
        <v>12</v>
      </c>
      <c r="F49">
        <v>27</v>
      </c>
      <c r="G49" s="4">
        <v>44686</v>
      </c>
      <c r="H49" s="11">
        <v>83750</v>
      </c>
      <c r="I49" t="s">
        <v>16</v>
      </c>
      <c r="J49" t="s">
        <v>205</v>
      </c>
    </row>
    <row r="50" spans="3:10" x14ac:dyDescent="0.25">
      <c r="C50" t="s">
        <v>102</v>
      </c>
      <c r="D50" t="s">
        <v>8</v>
      </c>
      <c r="E50" t="s">
        <v>21</v>
      </c>
      <c r="F50">
        <v>34</v>
      </c>
      <c r="G50" s="4">
        <v>44445</v>
      </c>
      <c r="H50" s="11">
        <v>92450</v>
      </c>
      <c r="I50" t="s">
        <v>16</v>
      </c>
      <c r="J50" t="s">
        <v>205</v>
      </c>
    </row>
    <row r="51" spans="3:10" x14ac:dyDescent="0.25">
      <c r="C51" t="s">
        <v>104</v>
      </c>
      <c r="D51" t="s">
        <v>15</v>
      </c>
      <c r="E51" t="s">
        <v>9</v>
      </c>
      <c r="F51">
        <v>20</v>
      </c>
      <c r="G51" s="4">
        <v>44744</v>
      </c>
      <c r="H51" s="11">
        <v>79570</v>
      </c>
      <c r="I51" t="s">
        <v>16</v>
      </c>
      <c r="J51" t="s">
        <v>205</v>
      </c>
    </row>
    <row r="52" spans="3:10" x14ac:dyDescent="0.25">
      <c r="C52" t="s">
        <v>91</v>
      </c>
      <c r="D52" t="s">
        <v>8</v>
      </c>
      <c r="E52" t="s">
        <v>19</v>
      </c>
      <c r="F52">
        <v>20</v>
      </c>
      <c r="G52" s="4">
        <v>44537</v>
      </c>
      <c r="H52" s="11">
        <v>68900</v>
      </c>
      <c r="I52" t="s">
        <v>24</v>
      </c>
      <c r="J52" t="s">
        <v>205</v>
      </c>
    </row>
    <row r="53" spans="3:10" x14ac:dyDescent="0.25">
      <c r="C53" t="s">
        <v>39</v>
      </c>
      <c r="D53" t="s">
        <v>8</v>
      </c>
      <c r="E53" t="s">
        <v>12</v>
      </c>
      <c r="F53">
        <v>25</v>
      </c>
      <c r="G53" s="4">
        <v>44694</v>
      </c>
      <c r="H53" s="11">
        <v>80700</v>
      </c>
      <c r="I53" t="s">
        <v>13</v>
      </c>
      <c r="J53" t="s">
        <v>205</v>
      </c>
    </row>
    <row r="54" spans="3:10" x14ac:dyDescent="0.25">
      <c r="C54" t="s">
        <v>100</v>
      </c>
      <c r="D54" t="s">
        <v>15</v>
      </c>
      <c r="E54" t="s">
        <v>9</v>
      </c>
      <c r="F54">
        <v>19</v>
      </c>
      <c r="G54" s="4">
        <v>44277</v>
      </c>
      <c r="H54" s="11">
        <v>58960</v>
      </c>
      <c r="I54" t="s">
        <v>16</v>
      </c>
      <c r="J54" t="s">
        <v>205</v>
      </c>
    </row>
    <row r="55" spans="3:10" x14ac:dyDescent="0.25">
      <c r="C55" t="s">
        <v>106</v>
      </c>
      <c r="D55" t="s">
        <v>15</v>
      </c>
      <c r="E55" t="s">
        <v>12</v>
      </c>
      <c r="F55">
        <v>36</v>
      </c>
      <c r="G55" s="4">
        <v>44019</v>
      </c>
      <c r="H55" s="11">
        <v>118840</v>
      </c>
      <c r="I55" t="s">
        <v>16</v>
      </c>
      <c r="J55" t="s">
        <v>205</v>
      </c>
    </row>
    <row r="56" spans="3:10" x14ac:dyDescent="0.25">
      <c r="C56" t="s">
        <v>29</v>
      </c>
      <c r="D56" t="s">
        <v>15</v>
      </c>
      <c r="E56" t="s">
        <v>21</v>
      </c>
      <c r="F56">
        <v>28</v>
      </c>
      <c r="G56" s="4">
        <v>44041</v>
      </c>
      <c r="H56" s="11">
        <v>48170</v>
      </c>
      <c r="I56" t="s">
        <v>13</v>
      </c>
      <c r="J56" t="s">
        <v>205</v>
      </c>
    </row>
    <row r="57" spans="3:10" x14ac:dyDescent="0.25">
      <c r="C57" t="s">
        <v>108</v>
      </c>
      <c r="D57" t="s">
        <v>8</v>
      </c>
      <c r="E57" t="s">
        <v>56</v>
      </c>
      <c r="F57">
        <v>32</v>
      </c>
      <c r="G57" s="4">
        <v>44400</v>
      </c>
      <c r="H57" s="11">
        <v>45510</v>
      </c>
      <c r="I57" t="s">
        <v>16</v>
      </c>
      <c r="J57" t="s">
        <v>205</v>
      </c>
    </row>
    <row r="58" spans="3:10" x14ac:dyDescent="0.25">
      <c r="C58" t="s">
        <v>83</v>
      </c>
      <c r="D58" t="s">
        <v>8</v>
      </c>
      <c r="E58" t="s">
        <v>9</v>
      </c>
      <c r="F58">
        <v>36</v>
      </c>
      <c r="G58" s="4">
        <v>44085</v>
      </c>
      <c r="H58" s="11">
        <v>114890</v>
      </c>
      <c r="I58" t="s">
        <v>16</v>
      </c>
      <c r="J58" t="s">
        <v>205</v>
      </c>
    </row>
    <row r="59" spans="3:10" x14ac:dyDescent="0.25">
      <c r="C59" t="s">
        <v>67</v>
      </c>
      <c r="D59" t="s">
        <v>15</v>
      </c>
      <c r="E59" t="s">
        <v>12</v>
      </c>
      <c r="F59">
        <v>30</v>
      </c>
      <c r="G59" s="4">
        <v>44850</v>
      </c>
      <c r="H59" s="11">
        <v>69710</v>
      </c>
      <c r="I59" t="s">
        <v>16</v>
      </c>
      <c r="J59" t="s">
        <v>205</v>
      </c>
    </row>
    <row r="60" spans="3:10" x14ac:dyDescent="0.25">
      <c r="C60" t="s">
        <v>94</v>
      </c>
      <c r="D60" t="s">
        <v>15</v>
      </c>
      <c r="E60" t="s">
        <v>21</v>
      </c>
      <c r="F60">
        <v>36</v>
      </c>
      <c r="G60" s="4">
        <v>44333</v>
      </c>
      <c r="H60" s="11">
        <v>71380</v>
      </c>
      <c r="I60" t="s">
        <v>16</v>
      </c>
      <c r="J60" t="s">
        <v>205</v>
      </c>
    </row>
    <row r="61" spans="3:10" x14ac:dyDescent="0.25">
      <c r="C61" t="s">
        <v>33</v>
      </c>
      <c r="D61" t="s">
        <v>8</v>
      </c>
      <c r="E61" t="s">
        <v>19</v>
      </c>
      <c r="F61">
        <v>38</v>
      </c>
      <c r="G61" s="4">
        <v>44377</v>
      </c>
      <c r="H61" s="11">
        <v>109160</v>
      </c>
      <c r="I61" t="s">
        <v>10</v>
      </c>
      <c r="J61" t="s">
        <v>205</v>
      </c>
    </row>
    <row r="62" spans="3:10" x14ac:dyDescent="0.25">
      <c r="C62" t="s">
        <v>98</v>
      </c>
      <c r="D62" t="s">
        <v>15</v>
      </c>
      <c r="E62" t="s">
        <v>9</v>
      </c>
      <c r="F62">
        <v>27</v>
      </c>
      <c r="G62" s="4">
        <v>44609</v>
      </c>
      <c r="H62" s="11">
        <v>113280</v>
      </c>
      <c r="I62" t="s">
        <v>42</v>
      </c>
      <c r="J62" t="s">
        <v>205</v>
      </c>
    </row>
    <row r="63" spans="3:10" x14ac:dyDescent="0.25">
      <c r="C63" t="s">
        <v>25</v>
      </c>
      <c r="D63" t="s">
        <v>15</v>
      </c>
      <c r="E63" t="s">
        <v>12</v>
      </c>
      <c r="F63">
        <v>30</v>
      </c>
      <c r="G63" s="4">
        <v>44273</v>
      </c>
      <c r="H63" s="11">
        <v>69120</v>
      </c>
      <c r="I63" t="s">
        <v>16</v>
      </c>
      <c r="J63" t="s">
        <v>205</v>
      </c>
    </row>
    <row r="64" spans="3:10" x14ac:dyDescent="0.25">
      <c r="C64" t="s">
        <v>55</v>
      </c>
      <c r="D64" t="s">
        <v>8</v>
      </c>
      <c r="E64" t="s">
        <v>56</v>
      </c>
      <c r="F64">
        <v>37</v>
      </c>
      <c r="G64" s="4">
        <v>44451</v>
      </c>
      <c r="H64" s="11">
        <v>118100</v>
      </c>
      <c r="I64" t="s">
        <v>16</v>
      </c>
      <c r="J64" t="s">
        <v>205</v>
      </c>
    </row>
    <row r="65" spans="3:10" x14ac:dyDescent="0.25">
      <c r="C65" t="s">
        <v>62</v>
      </c>
      <c r="D65" t="s">
        <v>8</v>
      </c>
      <c r="E65" t="s">
        <v>9</v>
      </c>
      <c r="F65">
        <v>22</v>
      </c>
      <c r="G65" s="4">
        <v>44450</v>
      </c>
      <c r="H65" s="11">
        <v>76900</v>
      </c>
      <c r="I65" t="s">
        <v>13</v>
      </c>
      <c r="J65" t="s">
        <v>205</v>
      </c>
    </row>
    <row r="66" spans="3:10" x14ac:dyDescent="0.25">
      <c r="C66" t="s">
        <v>17</v>
      </c>
      <c r="D66" t="s">
        <v>8</v>
      </c>
      <c r="E66" t="s">
        <v>12</v>
      </c>
      <c r="F66">
        <v>43</v>
      </c>
      <c r="G66" s="4">
        <v>45045</v>
      </c>
      <c r="H66" s="11">
        <v>114870</v>
      </c>
      <c r="I66" t="s">
        <v>16</v>
      </c>
      <c r="J66" t="s">
        <v>205</v>
      </c>
    </row>
    <row r="67" spans="3:10" x14ac:dyDescent="0.25">
      <c r="C67" t="s">
        <v>52</v>
      </c>
      <c r="D67" t="s">
        <v>207</v>
      </c>
      <c r="E67" t="s">
        <v>12</v>
      </c>
      <c r="F67">
        <v>32</v>
      </c>
      <c r="G67" s="4">
        <v>44774</v>
      </c>
      <c r="H67" s="11">
        <v>91310</v>
      </c>
      <c r="I67" t="s">
        <v>16</v>
      </c>
      <c r="J67" t="s">
        <v>205</v>
      </c>
    </row>
    <row r="68" spans="3:10" x14ac:dyDescent="0.25">
      <c r="C68" t="s">
        <v>43</v>
      </c>
      <c r="D68" t="s">
        <v>8</v>
      </c>
      <c r="E68" t="s">
        <v>9</v>
      </c>
      <c r="F68">
        <v>28</v>
      </c>
      <c r="G68" s="4">
        <v>44486</v>
      </c>
      <c r="H68" s="11">
        <v>104770</v>
      </c>
      <c r="I68" t="s">
        <v>16</v>
      </c>
      <c r="J68" t="s">
        <v>205</v>
      </c>
    </row>
    <row r="69" spans="3:10" x14ac:dyDescent="0.25">
      <c r="C69" t="s">
        <v>89</v>
      </c>
      <c r="D69" t="s">
        <v>15</v>
      </c>
      <c r="E69" t="s">
        <v>19</v>
      </c>
      <c r="F69">
        <v>27</v>
      </c>
      <c r="G69" s="4">
        <v>44134</v>
      </c>
      <c r="H69" s="11">
        <v>54970</v>
      </c>
      <c r="I69" t="s">
        <v>16</v>
      </c>
      <c r="J69" t="s">
        <v>205</v>
      </c>
    </row>
    <row r="70" spans="3:10" x14ac:dyDescent="0.25">
      <c r="C70" t="s">
        <v>11</v>
      </c>
      <c r="D70" t="s">
        <v>207</v>
      </c>
      <c r="E70" t="s">
        <v>12</v>
      </c>
      <c r="F70">
        <v>26</v>
      </c>
      <c r="G70" s="4">
        <v>44271</v>
      </c>
      <c r="H70" s="11">
        <v>90700</v>
      </c>
      <c r="I70" t="s">
        <v>13</v>
      </c>
      <c r="J70" t="s">
        <v>205</v>
      </c>
    </row>
    <row r="71" spans="3:10" x14ac:dyDescent="0.25">
      <c r="C71" t="s">
        <v>109</v>
      </c>
      <c r="D71" t="s">
        <v>8</v>
      </c>
      <c r="E71" t="s">
        <v>19</v>
      </c>
      <c r="F71">
        <v>38</v>
      </c>
      <c r="G71" s="4">
        <v>44329</v>
      </c>
      <c r="H71" s="11">
        <v>56870</v>
      </c>
      <c r="I71" t="s">
        <v>13</v>
      </c>
      <c r="J71" t="s">
        <v>205</v>
      </c>
    </row>
    <row r="72" spans="3:10" x14ac:dyDescent="0.25">
      <c r="C72" t="s">
        <v>77</v>
      </c>
      <c r="D72" t="s">
        <v>8</v>
      </c>
      <c r="E72" t="s">
        <v>19</v>
      </c>
      <c r="F72">
        <v>25</v>
      </c>
      <c r="G72" s="4">
        <v>44205</v>
      </c>
      <c r="H72" s="11">
        <v>92700</v>
      </c>
      <c r="I72" t="s">
        <v>16</v>
      </c>
      <c r="J72" t="s">
        <v>205</v>
      </c>
    </row>
    <row r="73" spans="3:10" x14ac:dyDescent="0.25">
      <c r="C73" t="s">
        <v>32</v>
      </c>
      <c r="D73" t="s">
        <v>8</v>
      </c>
      <c r="E73" t="s">
        <v>21</v>
      </c>
      <c r="F73">
        <v>21</v>
      </c>
      <c r="G73" s="4">
        <v>44317</v>
      </c>
      <c r="H73" s="11">
        <v>65920</v>
      </c>
      <c r="I73" t="s">
        <v>16</v>
      </c>
      <c r="J73" t="s">
        <v>205</v>
      </c>
    </row>
    <row r="74" spans="3:10" x14ac:dyDescent="0.25">
      <c r="C74" t="s">
        <v>59</v>
      </c>
      <c r="D74" t="s">
        <v>15</v>
      </c>
      <c r="E74" t="s">
        <v>9</v>
      </c>
      <c r="F74">
        <v>26</v>
      </c>
      <c r="G74" s="4">
        <v>44225</v>
      </c>
      <c r="H74" s="11">
        <v>47360</v>
      </c>
      <c r="I74" t="s">
        <v>16</v>
      </c>
      <c r="J74" t="s">
        <v>205</v>
      </c>
    </row>
    <row r="75" spans="3:10" x14ac:dyDescent="0.25">
      <c r="C75" t="s">
        <v>37</v>
      </c>
      <c r="D75" t="s">
        <v>15</v>
      </c>
      <c r="E75" t="s">
        <v>9</v>
      </c>
      <c r="F75">
        <v>30</v>
      </c>
      <c r="G75" s="4">
        <v>44666</v>
      </c>
      <c r="H75" s="11">
        <v>60570</v>
      </c>
      <c r="I75" t="s">
        <v>16</v>
      </c>
      <c r="J75" t="s">
        <v>205</v>
      </c>
    </row>
    <row r="76" spans="3:10" x14ac:dyDescent="0.25">
      <c r="C76" t="s">
        <v>96</v>
      </c>
      <c r="D76" t="s">
        <v>8</v>
      </c>
      <c r="E76" t="s">
        <v>9</v>
      </c>
      <c r="F76">
        <v>28</v>
      </c>
      <c r="G76" s="4">
        <v>44649</v>
      </c>
      <c r="H76" s="11">
        <v>104120</v>
      </c>
      <c r="I76" t="s">
        <v>16</v>
      </c>
      <c r="J76" t="s">
        <v>205</v>
      </c>
    </row>
    <row r="77" spans="3:10" x14ac:dyDescent="0.25">
      <c r="C77" t="s">
        <v>23</v>
      </c>
      <c r="D77" t="s">
        <v>15</v>
      </c>
      <c r="E77" t="s">
        <v>12</v>
      </c>
      <c r="F77">
        <v>37</v>
      </c>
      <c r="G77" s="4">
        <v>44338</v>
      </c>
      <c r="H77" s="11">
        <v>88050</v>
      </c>
      <c r="I77" t="s">
        <v>24</v>
      </c>
      <c r="J77" t="s">
        <v>205</v>
      </c>
    </row>
    <row r="78" spans="3:10" x14ac:dyDescent="0.25">
      <c r="C78" t="s">
        <v>103</v>
      </c>
      <c r="D78" t="s">
        <v>15</v>
      </c>
      <c r="E78" t="s">
        <v>12</v>
      </c>
      <c r="F78">
        <v>24</v>
      </c>
      <c r="G78" s="4">
        <v>44686</v>
      </c>
      <c r="H78" s="11">
        <v>100420</v>
      </c>
      <c r="I78" t="s">
        <v>16</v>
      </c>
      <c r="J78" t="s">
        <v>205</v>
      </c>
    </row>
    <row r="79" spans="3:10" x14ac:dyDescent="0.25">
      <c r="C79" t="s">
        <v>54</v>
      </c>
      <c r="D79" t="s">
        <v>8</v>
      </c>
      <c r="E79" t="s">
        <v>9</v>
      </c>
      <c r="F79">
        <v>30</v>
      </c>
      <c r="G79" s="4">
        <v>44850</v>
      </c>
      <c r="H79" s="11">
        <v>114180</v>
      </c>
      <c r="I79" t="s">
        <v>16</v>
      </c>
      <c r="J79" t="s">
        <v>205</v>
      </c>
    </row>
    <row r="80" spans="3:10" x14ac:dyDescent="0.25">
      <c r="C80" t="s">
        <v>86</v>
      </c>
      <c r="D80" t="s">
        <v>8</v>
      </c>
      <c r="E80" t="s">
        <v>12</v>
      </c>
      <c r="F80">
        <v>21</v>
      </c>
      <c r="G80" s="4">
        <v>44678</v>
      </c>
      <c r="H80" s="11">
        <v>33920</v>
      </c>
      <c r="I80" t="s">
        <v>16</v>
      </c>
      <c r="J80" t="s">
        <v>205</v>
      </c>
    </row>
    <row r="81" spans="3:10" x14ac:dyDescent="0.25">
      <c r="C81" t="s">
        <v>69</v>
      </c>
      <c r="D81" t="s">
        <v>15</v>
      </c>
      <c r="E81" t="s">
        <v>9</v>
      </c>
      <c r="F81">
        <v>23</v>
      </c>
      <c r="G81" s="4">
        <v>44440</v>
      </c>
      <c r="H81" s="11">
        <v>106460</v>
      </c>
      <c r="I81" t="s">
        <v>16</v>
      </c>
      <c r="J81" t="s">
        <v>205</v>
      </c>
    </row>
    <row r="82" spans="3:10" x14ac:dyDescent="0.25">
      <c r="C82" t="s">
        <v>57</v>
      </c>
      <c r="D82" t="s">
        <v>15</v>
      </c>
      <c r="E82" t="s">
        <v>9</v>
      </c>
      <c r="F82">
        <v>35</v>
      </c>
      <c r="G82" s="4">
        <v>44727</v>
      </c>
      <c r="H82" s="11">
        <v>40400</v>
      </c>
      <c r="I82" t="s">
        <v>16</v>
      </c>
      <c r="J82" t="s">
        <v>205</v>
      </c>
    </row>
    <row r="83" spans="3:10" x14ac:dyDescent="0.25">
      <c r="C83" t="s">
        <v>68</v>
      </c>
      <c r="D83" t="s">
        <v>15</v>
      </c>
      <c r="E83" t="s">
        <v>21</v>
      </c>
      <c r="F83">
        <v>27</v>
      </c>
      <c r="G83" s="4">
        <v>44236</v>
      </c>
      <c r="H83" s="11">
        <v>91650</v>
      </c>
      <c r="I83" t="s">
        <v>13</v>
      </c>
      <c r="J83" t="s">
        <v>205</v>
      </c>
    </row>
    <row r="84" spans="3:10" x14ac:dyDescent="0.25">
      <c r="C84" t="s">
        <v>99</v>
      </c>
      <c r="D84" t="s">
        <v>15</v>
      </c>
      <c r="E84" t="s">
        <v>19</v>
      </c>
      <c r="F84">
        <v>43</v>
      </c>
      <c r="G84" s="4">
        <v>44620</v>
      </c>
      <c r="H84" s="11">
        <v>36040</v>
      </c>
      <c r="I84" t="s">
        <v>16</v>
      </c>
      <c r="J84" t="s">
        <v>205</v>
      </c>
    </row>
    <row r="85" spans="3:10" x14ac:dyDescent="0.25">
      <c r="C85" t="s">
        <v>101</v>
      </c>
      <c r="D85" t="s">
        <v>8</v>
      </c>
      <c r="E85" t="s">
        <v>12</v>
      </c>
      <c r="F85">
        <v>40</v>
      </c>
      <c r="G85" s="4">
        <v>44381</v>
      </c>
      <c r="H85" s="11">
        <v>104410</v>
      </c>
      <c r="I85" t="s">
        <v>16</v>
      </c>
      <c r="J85" t="s">
        <v>205</v>
      </c>
    </row>
    <row r="86" spans="3:10" x14ac:dyDescent="0.25">
      <c r="C86" t="s">
        <v>85</v>
      </c>
      <c r="D86" t="s">
        <v>15</v>
      </c>
      <c r="E86" t="s">
        <v>21</v>
      </c>
      <c r="F86">
        <v>30</v>
      </c>
      <c r="G86" s="4">
        <v>44606</v>
      </c>
      <c r="H86" s="11">
        <v>96800</v>
      </c>
      <c r="I86" t="s">
        <v>16</v>
      </c>
      <c r="J86" t="s">
        <v>205</v>
      </c>
    </row>
    <row r="87" spans="3:10" x14ac:dyDescent="0.25">
      <c r="C87" t="s">
        <v>28</v>
      </c>
      <c r="D87" t="s">
        <v>8</v>
      </c>
      <c r="E87" t="s">
        <v>21</v>
      </c>
      <c r="F87">
        <v>34</v>
      </c>
      <c r="G87" s="4">
        <v>44459</v>
      </c>
      <c r="H87" s="11">
        <v>85000</v>
      </c>
      <c r="I87" t="s">
        <v>16</v>
      </c>
      <c r="J87" t="s">
        <v>205</v>
      </c>
    </row>
    <row r="88" spans="3:10" x14ac:dyDescent="0.25">
      <c r="C88" t="s">
        <v>80</v>
      </c>
      <c r="D88" t="s">
        <v>15</v>
      </c>
      <c r="E88" t="s">
        <v>19</v>
      </c>
      <c r="F88">
        <v>28</v>
      </c>
      <c r="G88" s="4">
        <v>44820</v>
      </c>
      <c r="H88" s="11">
        <v>43510</v>
      </c>
      <c r="I88" t="s">
        <v>42</v>
      </c>
      <c r="J88" t="s">
        <v>205</v>
      </c>
    </row>
    <row r="89" spans="3:10" x14ac:dyDescent="0.25">
      <c r="C89" t="s">
        <v>79</v>
      </c>
      <c r="D89" t="s">
        <v>15</v>
      </c>
      <c r="E89" t="s">
        <v>21</v>
      </c>
      <c r="F89">
        <v>33</v>
      </c>
      <c r="G89" s="4">
        <v>44243</v>
      </c>
      <c r="H89" s="11">
        <v>59430</v>
      </c>
      <c r="I89" t="s">
        <v>16</v>
      </c>
      <c r="J89" t="s">
        <v>205</v>
      </c>
    </row>
    <row r="90" spans="3:10" x14ac:dyDescent="0.25">
      <c r="C90" t="s">
        <v>93</v>
      </c>
      <c r="D90" t="s">
        <v>8</v>
      </c>
      <c r="E90" t="s">
        <v>21</v>
      </c>
      <c r="F90">
        <v>33</v>
      </c>
      <c r="G90" s="4">
        <v>44067</v>
      </c>
      <c r="H90" s="11">
        <v>65360</v>
      </c>
      <c r="I90" t="s">
        <v>16</v>
      </c>
      <c r="J90" t="s">
        <v>205</v>
      </c>
    </row>
    <row r="91" spans="3:10" x14ac:dyDescent="0.25">
      <c r="C91" t="s">
        <v>66</v>
      </c>
      <c r="D91" t="s">
        <v>8</v>
      </c>
      <c r="E91" t="s">
        <v>9</v>
      </c>
      <c r="F91">
        <v>32</v>
      </c>
      <c r="G91" s="4">
        <v>44611</v>
      </c>
      <c r="H91" s="11">
        <v>41570</v>
      </c>
      <c r="I91" t="s">
        <v>16</v>
      </c>
      <c r="J91" t="s">
        <v>205</v>
      </c>
    </row>
    <row r="92" spans="3:10" x14ac:dyDescent="0.25">
      <c r="C92" t="s">
        <v>95</v>
      </c>
      <c r="D92" t="s">
        <v>8</v>
      </c>
      <c r="E92" t="s">
        <v>12</v>
      </c>
      <c r="F92">
        <v>33</v>
      </c>
      <c r="G92" s="4">
        <v>44312</v>
      </c>
      <c r="H92" s="11">
        <v>75280</v>
      </c>
      <c r="I92" t="s">
        <v>16</v>
      </c>
      <c r="J92" t="s">
        <v>205</v>
      </c>
    </row>
    <row r="93" spans="3:10" x14ac:dyDescent="0.25">
      <c r="C93" t="s">
        <v>18</v>
      </c>
      <c r="D93" t="s">
        <v>15</v>
      </c>
      <c r="E93" t="s">
        <v>19</v>
      </c>
      <c r="F93">
        <v>33</v>
      </c>
      <c r="G93" s="4">
        <v>44385</v>
      </c>
      <c r="H93" s="11">
        <v>74550</v>
      </c>
      <c r="I93" t="s">
        <v>16</v>
      </c>
      <c r="J93" t="s">
        <v>205</v>
      </c>
    </row>
    <row r="94" spans="3:10" x14ac:dyDescent="0.25">
      <c r="C94" t="s">
        <v>45</v>
      </c>
      <c r="D94" t="s">
        <v>15</v>
      </c>
      <c r="E94" t="s">
        <v>9</v>
      </c>
      <c r="F94">
        <v>30</v>
      </c>
      <c r="G94" s="4">
        <v>44701</v>
      </c>
      <c r="H94" s="11">
        <v>67950</v>
      </c>
      <c r="I94" t="s">
        <v>16</v>
      </c>
      <c r="J94" t="s">
        <v>205</v>
      </c>
    </row>
    <row r="95" spans="3:10" x14ac:dyDescent="0.25">
      <c r="C95" t="s">
        <v>90</v>
      </c>
      <c r="D95" t="s">
        <v>15</v>
      </c>
      <c r="E95" t="s">
        <v>21</v>
      </c>
      <c r="F95">
        <v>42</v>
      </c>
      <c r="G95" s="4">
        <v>44731</v>
      </c>
      <c r="H95" s="11">
        <v>70270</v>
      </c>
      <c r="I95" t="s">
        <v>24</v>
      </c>
      <c r="J95" t="s">
        <v>205</v>
      </c>
    </row>
    <row r="96" spans="3:10" ht="14.25" customHeight="1" x14ac:dyDescent="0.25">
      <c r="C96" t="s">
        <v>46</v>
      </c>
      <c r="D96" t="s">
        <v>15</v>
      </c>
      <c r="E96" t="s">
        <v>9</v>
      </c>
      <c r="F96">
        <v>26</v>
      </c>
      <c r="G96" s="4">
        <v>44411</v>
      </c>
      <c r="H96" s="11">
        <v>53540</v>
      </c>
      <c r="I96" t="s">
        <v>16</v>
      </c>
      <c r="J96" t="s">
        <v>205</v>
      </c>
    </row>
    <row r="97" spans="3:10" x14ac:dyDescent="0.25">
      <c r="C97" t="s">
        <v>203</v>
      </c>
      <c r="F97">
        <f>SUBTOTAL(101,newzealand_staff[Age])</f>
        <v>30.395604395604394</v>
      </c>
      <c r="H97" s="10">
        <f>SUBTOTAL(101,newzealand_staff[Salary])</f>
        <v>76978.791208791212</v>
      </c>
      <c r="I97">
        <f>SUBTOTAL(103,newzealand_staff[Rating])</f>
        <v>91</v>
      </c>
      <c r="J97">
        <f>SUBTOTAL(103,newzealand_staff[Country])</f>
        <v>91</v>
      </c>
    </row>
  </sheetData>
  <conditionalFormatting sqref="C6:C96">
    <cfRule type="duplicateValues" dxfId="6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72EC4-DDE2-4CB7-AC70-5AB590F93835}">
  <sheetPr codeName="Hoja2"/>
  <dimension ref="B2:I95"/>
  <sheetViews>
    <sheetView topLeftCell="A74" workbookViewId="0">
      <selection activeCell="B12" sqref="B12"/>
    </sheetView>
  </sheetViews>
  <sheetFormatPr baseColWidth="10" defaultColWidth="9.140625" defaultRowHeight="15" x14ac:dyDescent="0.25"/>
  <cols>
    <col min="2" max="2" width="29.7109375" bestFit="1" customWidth="1"/>
    <col min="3" max="3" width="9.85546875" bestFit="1" customWidth="1"/>
    <col min="4" max="4" width="6.7109375" bestFit="1" customWidth="1"/>
    <col min="5" max="5" width="14.140625" bestFit="1" customWidth="1"/>
    <col min="6" max="6" width="13.7109375" bestFit="1" customWidth="1"/>
    <col min="7" max="7" width="14" bestFit="1" customWidth="1"/>
    <col min="8" max="8" width="11.5703125" bestFit="1" customWidth="1"/>
  </cols>
  <sheetData>
    <row r="2" spans="2:9" x14ac:dyDescent="0.25">
      <c r="B2" s="6" t="s">
        <v>0</v>
      </c>
      <c r="C2" s="6" t="s">
        <v>1</v>
      </c>
      <c r="D2" s="6" t="s">
        <v>3</v>
      </c>
      <c r="E2" s="6" t="s">
        <v>6</v>
      </c>
      <c r="F2" s="6" t="s">
        <v>4</v>
      </c>
      <c r="G2" s="6" t="s">
        <v>2</v>
      </c>
      <c r="H2" s="13" t="s">
        <v>5</v>
      </c>
      <c r="I2" s="12" t="s">
        <v>204</v>
      </c>
    </row>
    <row r="3" spans="2:9" x14ac:dyDescent="0.25">
      <c r="B3" t="s">
        <v>114</v>
      </c>
      <c r="C3" t="s">
        <v>8</v>
      </c>
      <c r="D3">
        <v>44</v>
      </c>
      <c r="E3" t="s">
        <v>16</v>
      </c>
      <c r="F3" s="4">
        <v>44985</v>
      </c>
      <c r="G3" t="s">
        <v>12</v>
      </c>
      <c r="H3" s="11">
        <v>114870</v>
      </c>
      <c r="I3" s="10" t="s">
        <v>206</v>
      </c>
    </row>
    <row r="4" spans="2:9" x14ac:dyDescent="0.25">
      <c r="B4" t="s">
        <v>173</v>
      </c>
      <c r="C4" t="s">
        <v>8</v>
      </c>
      <c r="D4">
        <v>30</v>
      </c>
      <c r="E4" t="s">
        <v>16</v>
      </c>
      <c r="F4" s="4">
        <v>44800</v>
      </c>
      <c r="G4" t="s">
        <v>9</v>
      </c>
      <c r="H4" s="11">
        <v>112570</v>
      </c>
      <c r="I4" s="10" t="s">
        <v>206</v>
      </c>
    </row>
    <row r="5" spans="2:9" x14ac:dyDescent="0.25">
      <c r="B5" t="s">
        <v>147</v>
      </c>
      <c r="C5" t="s">
        <v>8</v>
      </c>
      <c r="D5">
        <v>30</v>
      </c>
      <c r="E5" t="s">
        <v>16</v>
      </c>
      <c r="F5" s="4">
        <v>44789</v>
      </c>
      <c r="G5" t="s">
        <v>9</v>
      </c>
      <c r="H5" s="11">
        <v>114180</v>
      </c>
      <c r="I5" s="10" t="s">
        <v>206</v>
      </c>
    </row>
    <row r="6" spans="2:9" x14ac:dyDescent="0.25">
      <c r="B6" t="s">
        <v>159</v>
      </c>
      <c r="C6" t="s">
        <v>15</v>
      </c>
      <c r="D6">
        <v>30</v>
      </c>
      <c r="E6" t="s">
        <v>16</v>
      </c>
      <c r="F6" s="4">
        <v>44789</v>
      </c>
      <c r="G6" t="s">
        <v>12</v>
      </c>
      <c r="H6" s="11">
        <v>69710</v>
      </c>
      <c r="I6" s="10" t="s">
        <v>206</v>
      </c>
    </row>
    <row r="7" spans="2:9" x14ac:dyDescent="0.25">
      <c r="B7" t="s">
        <v>172</v>
      </c>
      <c r="C7" t="s">
        <v>15</v>
      </c>
      <c r="D7">
        <v>28</v>
      </c>
      <c r="E7" t="s">
        <v>42</v>
      </c>
      <c r="F7" s="4">
        <v>44758</v>
      </c>
      <c r="G7" t="s">
        <v>19</v>
      </c>
      <c r="H7" s="11">
        <v>43510</v>
      </c>
      <c r="I7" s="10" t="s">
        <v>206</v>
      </c>
    </row>
    <row r="8" spans="2:9" x14ac:dyDescent="0.25">
      <c r="B8" t="s">
        <v>181</v>
      </c>
      <c r="C8" t="s">
        <v>8</v>
      </c>
      <c r="D8">
        <v>33</v>
      </c>
      <c r="E8" t="s">
        <v>16</v>
      </c>
      <c r="F8" s="4">
        <v>44747</v>
      </c>
      <c r="G8" t="s">
        <v>21</v>
      </c>
      <c r="H8" s="11">
        <v>86570</v>
      </c>
      <c r="I8" s="10" t="s">
        <v>206</v>
      </c>
    </row>
    <row r="9" spans="2:9" x14ac:dyDescent="0.25">
      <c r="B9" t="s">
        <v>111</v>
      </c>
      <c r="C9" t="s">
        <v>8</v>
      </c>
      <c r="D9">
        <v>42</v>
      </c>
      <c r="E9" t="s">
        <v>10</v>
      </c>
      <c r="F9" s="4">
        <v>44718</v>
      </c>
      <c r="G9" t="s">
        <v>9</v>
      </c>
      <c r="H9" s="11">
        <v>75000</v>
      </c>
      <c r="I9" s="10" t="s">
        <v>206</v>
      </c>
    </row>
    <row r="10" spans="2:9" x14ac:dyDescent="0.25">
      <c r="B10" t="s">
        <v>145</v>
      </c>
      <c r="C10" t="s">
        <v>207</v>
      </c>
      <c r="D10">
        <v>32</v>
      </c>
      <c r="E10" t="s">
        <v>16</v>
      </c>
      <c r="F10" s="4">
        <v>44713</v>
      </c>
      <c r="G10" t="s">
        <v>12</v>
      </c>
      <c r="H10" s="11">
        <v>91310</v>
      </c>
      <c r="I10" s="10" t="s">
        <v>206</v>
      </c>
    </row>
    <row r="11" spans="2:9" x14ac:dyDescent="0.25">
      <c r="B11" t="s">
        <v>125</v>
      </c>
      <c r="C11" t="s">
        <v>15</v>
      </c>
      <c r="D11">
        <v>21</v>
      </c>
      <c r="E11" t="s">
        <v>16</v>
      </c>
      <c r="F11" s="4">
        <v>44701</v>
      </c>
      <c r="G11" t="s">
        <v>9</v>
      </c>
      <c r="H11" s="11">
        <v>57090</v>
      </c>
      <c r="I11" s="10" t="s">
        <v>206</v>
      </c>
    </row>
    <row r="12" spans="2:9" x14ac:dyDescent="0.25">
      <c r="B12" t="s">
        <v>162</v>
      </c>
      <c r="C12" t="s">
        <v>15</v>
      </c>
      <c r="D12">
        <v>46</v>
      </c>
      <c r="E12" t="s">
        <v>16</v>
      </c>
      <c r="F12" s="4">
        <v>44697</v>
      </c>
      <c r="G12" t="s">
        <v>9</v>
      </c>
      <c r="H12" s="11">
        <v>70610</v>
      </c>
      <c r="I12" s="10" t="s">
        <v>206</v>
      </c>
    </row>
    <row r="13" spans="2:9" x14ac:dyDescent="0.25">
      <c r="B13" t="s">
        <v>197</v>
      </c>
      <c r="C13" t="s">
        <v>15</v>
      </c>
      <c r="D13">
        <v>20</v>
      </c>
      <c r="E13" t="s">
        <v>16</v>
      </c>
      <c r="F13" s="4">
        <v>44683</v>
      </c>
      <c r="G13" t="s">
        <v>9</v>
      </c>
      <c r="H13" s="11">
        <v>79570</v>
      </c>
      <c r="I13" s="10" t="s">
        <v>206</v>
      </c>
    </row>
    <row r="14" spans="2:9" x14ac:dyDescent="0.25">
      <c r="B14" t="s">
        <v>183</v>
      </c>
      <c r="C14" t="s">
        <v>15</v>
      </c>
      <c r="D14">
        <v>42</v>
      </c>
      <c r="E14" t="s">
        <v>24</v>
      </c>
      <c r="F14" s="4">
        <v>44670</v>
      </c>
      <c r="G14" t="s">
        <v>21</v>
      </c>
      <c r="H14" s="11">
        <v>70270</v>
      </c>
      <c r="I14" s="10" t="s">
        <v>206</v>
      </c>
    </row>
    <row r="15" spans="2:9" x14ac:dyDescent="0.25">
      <c r="B15" t="s">
        <v>149</v>
      </c>
      <c r="C15" t="s">
        <v>15</v>
      </c>
      <c r="D15">
        <v>35</v>
      </c>
      <c r="E15" t="s">
        <v>16</v>
      </c>
      <c r="F15" s="4">
        <v>44666</v>
      </c>
      <c r="G15" t="s">
        <v>9</v>
      </c>
      <c r="H15" s="11">
        <v>40400</v>
      </c>
      <c r="I15" s="10" t="s">
        <v>206</v>
      </c>
    </row>
    <row r="16" spans="2:9" x14ac:dyDescent="0.25">
      <c r="B16" t="s">
        <v>128</v>
      </c>
      <c r="C16" t="s">
        <v>15</v>
      </c>
      <c r="D16">
        <v>25</v>
      </c>
      <c r="E16" t="s">
        <v>13</v>
      </c>
      <c r="F16" s="4">
        <v>44665</v>
      </c>
      <c r="G16" t="s">
        <v>9</v>
      </c>
      <c r="H16" s="11">
        <v>109190</v>
      </c>
      <c r="I16" s="10" t="s">
        <v>206</v>
      </c>
    </row>
    <row r="17" spans="2:9" x14ac:dyDescent="0.25">
      <c r="B17" t="s">
        <v>143</v>
      </c>
      <c r="C17" t="s">
        <v>15</v>
      </c>
      <c r="D17">
        <v>31</v>
      </c>
      <c r="E17" t="s">
        <v>16</v>
      </c>
      <c r="F17" s="4">
        <v>44663</v>
      </c>
      <c r="G17" t="s">
        <v>9</v>
      </c>
      <c r="H17" s="11">
        <v>103550</v>
      </c>
      <c r="I17" s="10" t="s">
        <v>206</v>
      </c>
    </row>
    <row r="18" spans="2:9" x14ac:dyDescent="0.25">
      <c r="B18" t="s">
        <v>165</v>
      </c>
      <c r="C18" t="s">
        <v>8</v>
      </c>
      <c r="D18">
        <v>34</v>
      </c>
      <c r="E18" t="s">
        <v>24</v>
      </c>
      <c r="F18" s="4">
        <v>44660</v>
      </c>
      <c r="G18" t="s">
        <v>19</v>
      </c>
      <c r="H18" s="11">
        <v>49630</v>
      </c>
      <c r="I18" s="10" t="s">
        <v>206</v>
      </c>
    </row>
    <row r="19" spans="2:9" x14ac:dyDescent="0.25">
      <c r="B19" t="s">
        <v>178</v>
      </c>
      <c r="C19" t="s">
        <v>15</v>
      </c>
      <c r="D19">
        <v>34</v>
      </c>
      <c r="E19" t="s">
        <v>16</v>
      </c>
      <c r="F19" s="4">
        <v>44642</v>
      </c>
      <c r="G19" t="s">
        <v>9</v>
      </c>
      <c r="H19" s="11">
        <v>112650</v>
      </c>
      <c r="I19" s="10" t="s">
        <v>206</v>
      </c>
    </row>
    <row r="20" spans="2:9" x14ac:dyDescent="0.25">
      <c r="B20" t="s">
        <v>190</v>
      </c>
      <c r="C20" t="s">
        <v>15</v>
      </c>
      <c r="D20">
        <v>37</v>
      </c>
      <c r="E20" t="s">
        <v>16</v>
      </c>
      <c r="F20" s="4">
        <v>44640</v>
      </c>
      <c r="G20" t="s">
        <v>12</v>
      </c>
      <c r="H20" s="11">
        <v>69070</v>
      </c>
      <c r="I20" s="10" t="s">
        <v>206</v>
      </c>
    </row>
    <row r="21" spans="2:9" x14ac:dyDescent="0.25">
      <c r="B21" t="s">
        <v>138</v>
      </c>
      <c r="C21" t="s">
        <v>15</v>
      </c>
      <c r="D21">
        <v>30</v>
      </c>
      <c r="E21" t="s">
        <v>16</v>
      </c>
      <c r="F21" s="4">
        <v>44640</v>
      </c>
      <c r="G21" t="s">
        <v>9</v>
      </c>
      <c r="H21" s="11">
        <v>67950</v>
      </c>
      <c r="I21" s="10" t="s">
        <v>206</v>
      </c>
    </row>
    <row r="22" spans="2:9" x14ac:dyDescent="0.25">
      <c r="B22" t="s">
        <v>144</v>
      </c>
      <c r="C22" t="s">
        <v>15</v>
      </c>
      <c r="D22">
        <v>33</v>
      </c>
      <c r="E22" t="s">
        <v>13</v>
      </c>
      <c r="F22" s="4">
        <v>44640</v>
      </c>
      <c r="G22" t="s">
        <v>9</v>
      </c>
      <c r="H22" s="11">
        <v>48530</v>
      </c>
      <c r="I22" s="10" t="s">
        <v>206</v>
      </c>
    </row>
    <row r="23" spans="2:9" x14ac:dyDescent="0.25">
      <c r="B23" t="s">
        <v>133</v>
      </c>
      <c r="C23" t="s">
        <v>8</v>
      </c>
      <c r="D23">
        <v>25</v>
      </c>
      <c r="E23" t="s">
        <v>13</v>
      </c>
      <c r="F23" s="4">
        <v>44633</v>
      </c>
      <c r="G23" t="s">
        <v>12</v>
      </c>
      <c r="H23" s="11">
        <v>80700</v>
      </c>
      <c r="I23" s="10" t="s">
        <v>206</v>
      </c>
    </row>
    <row r="24" spans="2:9" x14ac:dyDescent="0.25">
      <c r="B24" t="s">
        <v>185</v>
      </c>
      <c r="C24" t="s">
        <v>8</v>
      </c>
      <c r="D24">
        <v>27</v>
      </c>
      <c r="E24" t="s">
        <v>16</v>
      </c>
      <c r="F24" s="4">
        <v>44625</v>
      </c>
      <c r="G24" t="s">
        <v>12</v>
      </c>
      <c r="H24" s="11">
        <v>83750</v>
      </c>
      <c r="I24" s="10" t="s">
        <v>206</v>
      </c>
    </row>
    <row r="25" spans="2:9" x14ac:dyDescent="0.25">
      <c r="B25" t="s">
        <v>196</v>
      </c>
      <c r="C25" t="s">
        <v>15</v>
      </c>
      <c r="D25">
        <v>24</v>
      </c>
      <c r="E25" t="s">
        <v>16</v>
      </c>
      <c r="F25" s="4">
        <v>44625</v>
      </c>
      <c r="G25" t="s">
        <v>12</v>
      </c>
      <c r="H25" s="11">
        <v>100420</v>
      </c>
      <c r="I25" s="10" t="s">
        <v>206</v>
      </c>
    </row>
    <row r="26" spans="2:9" x14ac:dyDescent="0.25">
      <c r="B26" t="s">
        <v>179</v>
      </c>
      <c r="C26" t="s">
        <v>8</v>
      </c>
      <c r="D26">
        <v>21</v>
      </c>
      <c r="E26" t="s">
        <v>16</v>
      </c>
      <c r="F26" s="4">
        <v>44619</v>
      </c>
      <c r="G26" t="s">
        <v>12</v>
      </c>
      <c r="H26" s="11">
        <v>33920</v>
      </c>
      <c r="I26" s="10" t="s">
        <v>206</v>
      </c>
    </row>
    <row r="27" spans="2:9" x14ac:dyDescent="0.25">
      <c r="B27" t="s">
        <v>131</v>
      </c>
      <c r="C27" t="s">
        <v>15</v>
      </c>
      <c r="D27">
        <v>30</v>
      </c>
      <c r="E27" t="s">
        <v>16</v>
      </c>
      <c r="F27" s="4">
        <v>44607</v>
      </c>
      <c r="G27" t="s">
        <v>9</v>
      </c>
      <c r="H27" s="11">
        <v>60570</v>
      </c>
      <c r="I27" s="10" t="s">
        <v>206</v>
      </c>
    </row>
    <row r="28" spans="2:9" x14ac:dyDescent="0.25">
      <c r="B28" t="s">
        <v>120</v>
      </c>
      <c r="C28" t="s">
        <v>8</v>
      </c>
      <c r="D28">
        <v>31</v>
      </c>
      <c r="E28" t="s">
        <v>16</v>
      </c>
      <c r="F28" s="4">
        <v>44604</v>
      </c>
      <c r="G28" t="s">
        <v>12</v>
      </c>
      <c r="H28" s="11">
        <v>58100</v>
      </c>
      <c r="I28" s="10" t="s">
        <v>206</v>
      </c>
    </row>
    <row r="29" spans="2:9" x14ac:dyDescent="0.25">
      <c r="B29" t="s">
        <v>130</v>
      </c>
      <c r="C29" t="s">
        <v>8</v>
      </c>
      <c r="D29">
        <v>34</v>
      </c>
      <c r="E29" t="s">
        <v>16</v>
      </c>
      <c r="F29" s="4">
        <v>44594</v>
      </c>
      <c r="G29" t="s">
        <v>21</v>
      </c>
      <c r="H29" s="11">
        <v>58940</v>
      </c>
      <c r="I29" s="10" t="s">
        <v>206</v>
      </c>
    </row>
    <row r="30" spans="2:9" x14ac:dyDescent="0.25">
      <c r="B30" t="s">
        <v>189</v>
      </c>
      <c r="C30" t="s">
        <v>8</v>
      </c>
      <c r="D30">
        <v>28</v>
      </c>
      <c r="E30" t="s">
        <v>16</v>
      </c>
      <c r="F30" s="4">
        <v>44590</v>
      </c>
      <c r="G30" t="s">
        <v>9</v>
      </c>
      <c r="H30" s="11">
        <v>104120</v>
      </c>
      <c r="I30" s="10" t="s">
        <v>206</v>
      </c>
    </row>
    <row r="31" spans="2:9" x14ac:dyDescent="0.25">
      <c r="B31" t="s">
        <v>200</v>
      </c>
      <c r="C31" t="s">
        <v>8</v>
      </c>
      <c r="D31">
        <v>28</v>
      </c>
      <c r="E31" t="s">
        <v>16</v>
      </c>
      <c r="F31" s="4">
        <v>44571</v>
      </c>
      <c r="G31" t="s">
        <v>9</v>
      </c>
      <c r="H31" s="11">
        <v>99970</v>
      </c>
      <c r="I31" s="10" t="s">
        <v>206</v>
      </c>
    </row>
    <row r="32" spans="2:9" x14ac:dyDescent="0.25">
      <c r="B32" t="s">
        <v>192</v>
      </c>
      <c r="C32" t="s">
        <v>15</v>
      </c>
      <c r="D32">
        <v>43</v>
      </c>
      <c r="E32" t="s">
        <v>16</v>
      </c>
      <c r="F32" s="4">
        <v>44558</v>
      </c>
      <c r="G32" t="s">
        <v>19</v>
      </c>
      <c r="H32" s="11">
        <v>36040</v>
      </c>
      <c r="I32" s="10" t="s">
        <v>206</v>
      </c>
    </row>
    <row r="33" spans="2:9" x14ac:dyDescent="0.25">
      <c r="B33" t="s">
        <v>132</v>
      </c>
      <c r="C33" t="s">
        <v>8</v>
      </c>
      <c r="D33">
        <v>34</v>
      </c>
      <c r="E33" t="s">
        <v>16</v>
      </c>
      <c r="F33" s="4">
        <v>44550</v>
      </c>
      <c r="G33" t="s">
        <v>21</v>
      </c>
      <c r="H33" s="11">
        <v>60130</v>
      </c>
      <c r="I33" s="10" t="s">
        <v>206</v>
      </c>
    </row>
    <row r="34" spans="2:9" x14ac:dyDescent="0.25">
      <c r="B34" t="s">
        <v>158</v>
      </c>
      <c r="C34" t="s">
        <v>8</v>
      </c>
      <c r="D34">
        <v>32</v>
      </c>
      <c r="E34" t="s">
        <v>16</v>
      </c>
      <c r="F34" s="4">
        <v>44549</v>
      </c>
      <c r="G34" t="s">
        <v>9</v>
      </c>
      <c r="H34" s="11">
        <v>41570</v>
      </c>
      <c r="I34" s="10" t="s">
        <v>206</v>
      </c>
    </row>
    <row r="35" spans="2:9" x14ac:dyDescent="0.25">
      <c r="B35" t="s">
        <v>191</v>
      </c>
      <c r="C35" t="s">
        <v>15</v>
      </c>
      <c r="D35">
        <v>27</v>
      </c>
      <c r="E35" t="s">
        <v>42</v>
      </c>
      <c r="F35" s="4">
        <v>44547</v>
      </c>
      <c r="G35" t="s">
        <v>9</v>
      </c>
      <c r="H35" s="11">
        <v>113280</v>
      </c>
      <c r="I35" s="10" t="s">
        <v>206</v>
      </c>
    </row>
    <row r="36" spans="2:9" x14ac:dyDescent="0.25">
      <c r="B36" t="s">
        <v>177</v>
      </c>
      <c r="C36" t="s">
        <v>15</v>
      </c>
      <c r="D36">
        <v>30</v>
      </c>
      <c r="E36" t="s">
        <v>16</v>
      </c>
      <c r="F36" s="4">
        <v>44544</v>
      </c>
      <c r="G36" t="s">
        <v>21</v>
      </c>
      <c r="H36" s="11">
        <v>96800</v>
      </c>
      <c r="I36" s="10" t="s">
        <v>206</v>
      </c>
    </row>
    <row r="37" spans="2:9" x14ac:dyDescent="0.25">
      <c r="B37" t="s">
        <v>116</v>
      </c>
      <c r="C37" t="s">
        <v>207</v>
      </c>
      <c r="D37">
        <v>30</v>
      </c>
      <c r="E37" t="s">
        <v>16</v>
      </c>
      <c r="F37" s="4">
        <v>44535</v>
      </c>
      <c r="G37" t="s">
        <v>21</v>
      </c>
      <c r="H37" s="11">
        <v>64000</v>
      </c>
      <c r="I37" s="10" t="s">
        <v>206</v>
      </c>
    </row>
    <row r="38" spans="2:9" x14ac:dyDescent="0.25">
      <c r="B38" t="s">
        <v>146</v>
      </c>
      <c r="C38" t="s">
        <v>15</v>
      </c>
      <c r="D38">
        <v>27</v>
      </c>
      <c r="E38" t="s">
        <v>16</v>
      </c>
      <c r="F38" s="4">
        <v>44506</v>
      </c>
      <c r="G38" t="s">
        <v>21</v>
      </c>
      <c r="H38" s="11">
        <v>48980</v>
      </c>
      <c r="I38" s="10" t="s">
        <v>206</v>
      </c>
    </row>
    <row r="39" spans="2:9" x14ac:dyDescent="0.25">
      <c r="B39" t="s">
        <v>184</v>
      </c>
      <c r="C39" t="s">
        <v>8</v>
      </c>
      <c r="D39">
        <v>20</v>
      </c>
      <c r="E39" t="s">
        <v>24</v>
      </c>
      <c r="F39" s="4">
        <v>44476</v>
      </c>
      <c r="G39" t="s">
        <v>19</v>
      </c>
      <c r="H39" s="11">
        <v>68900</v>
      </c>
      <c r="I39" s="10" t="s">
        <v>206</v>
      </c>
    </row>
    <row r="40" spans="2:9" x14ac:dyDescent="0.25">
      <c r="B40" t="s">
        <v>164</v>
      </c>
      <c r="C40" t="s">
        <v>8</v>
      </c>
      <c r="D40">
        <v>36</v>
      </c>
      <c r="E40" t="s">
        <v>16</v>
      </c>
      <c r="F40" s="4">
        <v>44468</v>
      </c>
      <c r="G40" t="s">
        <v>9</v>
      </c>
      <c r="H40" s="11">
        <v>78390</v>
      </c>
      <c r="I40" s="10" t="s">
        <v>206</v>
      </c>
    </row>
    <row r="41" spans="2:9" x14ac:dyDescent="0.25">
      <c r="B41" t="s">
        <v>113</v>
      </c>
      <c r="C41" t="s">
        <v>15</v>
      </c>
      <c r="D41">
        <v>31</v>
      </c>
      <c r="E41" t="s">
        <v>16</v>
      </c>
      <c r="F41" s="4">
        <v>44450</v>
      </c>
      <c r="G41" t="s">
        <v>12</v>
      </c>
      <c r="H41" s="11">
        <v>48950</v>
      </c>
      <c r="I41" s="10" t="s">
        <v>206</v>
      </c>
    </row>
    <row r="42" spans="2:9" x14ac:dyDescent="0.25">
      <c r="B42" t="s">
        <v>174</v>
      </c>
      <c r="C42" t="s">
        <v>15</v>
      </c>
      <c r="D42">
        <v>33</v>
      </c>
      <c r="E42" t="s">
        <v>16</v>
      </c>
      <c r="F42" s="4">
        <v>44448</v>
      </c>
      <c r="G42" t="s">
        <v>12</v>
      </c>
      <c r="H42" s="11">
        <v>53870</v>
      </c>
      <c r="I42" s="10" t="s">
        <v>206</v>
      </c>
    </row>
    <row r="43" spans="2:9" x14ac:dyDescent="0.25">
      <c r="B43" t="s">
        <v>141</v>
      </c>
      <c r="C43" t="s">
        <v>8</v>
      </c>
      <c r="D43">
        <v>36</v>
      </c>
      <c r="E43" t="s">
        <v>16</v>
      </c>
      <c r="F43" s="4">
        <v>44433</v>
      </c>
      <c r="G43" t="s">
        <v>19</v>
      </c>
      <c r="H43" s="11">
        <v>78540</v>
      </c>
      <c r="I43" s="10" t="s">
        <v>206</v>
      </c>
    </row>
    <row r="44" spans="2:9" x14ac:dyDescent="0.25">
      <c r="B44" t="s">
        <v>136</v>
      </c>
      <c r="C44" t="s">
        <v>8</v>
      </c>
      <c r="D44">
        <v>28</v>
      </c>
      <c r="E44" t="s">
        <v>16</v>
      </c>
      <c r="F44" s="4">
        <v>44425</v>
      </c>
      <c r="G44" t="s">
        <v>9</v>
      </c>
      <c r="H44" s="11">
        <v>104770</v>
      </c>
      <c r="I44" s="10" t="s">
        <v>206</v>
      </c>
    </row>
    <row r="45" spans="2:9" x14ac:dyDescent="0.25">
      <c r="B45" t="s">
        <v>157</v>
      </c>
      <c r="C45" t="s">
        <v>15</v>
      </c>
      <c r="D45">
        <v>32</v>
      </c>
      <c r="E45" t="s">
        <v>16</v>
      </c>
      <c r="F45" s="4">
        <v>44403</v>
      </c>
      <c r="G45" t="s">
        <v>19</v>
      </c>
      <c r="H45" s="11">
        <v>53540</v>
      </c>
      <c r="I45" s="10" t="s">
        <v>206</v>
      </c>
    </row>
    <row r="46" spans="2:9" x14ac:dyDescent="0.25">
      <c r="B46" t="s">
        <v>122</v>
      </c>
      <c r="C46" t="s">
        <v>8</v>
      </c>
      <c r="D46">
        <v>34</v>
      </c>
      <c r="E46" t="s">
        <v>16</v>
      </c>
      <c r="F46" s="4">
        <v>44397</v>
      </c>
      <c r="G46" t="s">
        <v>21</v>
      </c>
      <c r="H46" s="11">
        <v>85000</v>
      </c>
      <c r="I46" s="10" t="s">
        <v>206</v>
      </c>
    </row>
    <row r="47" spans="2:9" x14ac:dyDescent="0.25">
      <c r="B47" t="s">
        <v>117</v>
      </c>
      <c r="C47" t="s">
        <v>15</v>
      </c>
      <c r="D47">
        <v>20</v>
      </c>
      <c r="E47" t="s">
        <v>16</v>
      </c>
      <c r="F47" s="4">
        <v>44397</v>
      </c>
      <c r="G47" t="s">
        <v>12</v>
      </c>
      <c r="H47" s="11">
        <v>107700</v>
      </c>
      <c r="I47" s="10" t="s">
        <v>206</v>
      </c>
    </row>
    <row r="48" spans="2:9" x14ac:dyDescent="0.25">
      <c r="B48" t="s">
        <v>148</v>
      </c>
      <c r="C48" t="s">
        <v>8</v>
      </c>
      <c r="D48">
        <v>37</v>
      </c>
      <c r="E48" t="s">
        <v>16</v>
      </c>
      <c r="F48" s="4">
        <v>44389</v>
      </c>
      <c r="G48" t="s">
        <v>56</v>
      </c>
      <c r="H48" s="11">
        <v>118100</v>
      </c>
      <c r="I48" s="10" t="s">
        <v>206</v>
      </c>
    </row>
    <row r="49" spans="2:9" x14ac:dyDescent="0.25">
      <c r="B49" t="s">
        <v>154</v>
      </c>
      <c r="C49" t="s">
        <v>8</v>
      </c>
      <c r="D49">
        <v>22</v>
      </c>
      <c r="E49" t="s">
        <v>13</v>
      </c>
      <c r="F49" s="4">
        <v>44388</v>
      </c>
      <c r="G49" t="s">
        <v>9</v>
      </c>
      <c r="H49" s="11">
        <v>76900</v>
      </c>
      <c r="I49" s="10" t="s">
        <v>206</v>
      </c>
    </row>
    <row r="50" spans="2:9" x14ac:dyDescent="0.25">
      <c r="B50" t="s">
        <v>150</v>
      </c>
      <c r="C50" t="s">
        <v>15</v>
      </c>
      <c r="D50">
        <v>22</v>
      </c>
      <c r="E50" t="s">
        <v>13</v>
      </c>
      <c r="F50" s="4">
        <v>44384</v>
      </c>
      <c r="G50" t="s">
        <v>19</v>
      </c>
      <c r="H50" s="11">
        <v>112780</v>
      </c>
      <c r="I50" s="10" t="s">
        <v>206</v>
      </c>
    </row>
    <row r="51" spans="2:9" x14ac:dyDescent="0.25">
      <c r="B51" t="s">
        <v>195</v>
      </c>
      <c r="C51" t="s">
        <v>8</v>
      </c>
      <c r="D51">
        <v>34</v>
      </c>
      <c r="E51" t="s">
        <v>16</v>
      </c>
      <c r="F51" s="4">
        <v>44383</v>
      </c>
      <c r="G51" t="s">
        <v>21</v>
      </c>
      <c r="H51" s="11">
        <v>92450</v>
      </c>
      <c r="I51" s="10" t="s">
        <v>206</v>
      </c>
    </row>
    <row r="52" spans="2:9" x14ac:dyDescent="0.25">
      <c r="B52" t="s">
        <v>161</v>
      </c>
      <c r="C52" t="s">
        <v>15</v>
      </c>
      <c r="D52">
        <v>23</v>
      </c>
      <c r="E52" t="s">
        <v>16</v>
      </c>
      <c r="F52" s="4">
        <v>44378</v>
      </c>
      <c r="G52" t="s">
        <v>9</v>
      </c>
      <c r="H52" s="11">
        <v>106460</v>
      </c>
      <c r="I52" s="10" t="s">
        <v>206</v>
      </c>
    </row>
    <row r="53" spans="2:9" x14ac:dyDescent="0.25">
      <c r="B53" t="s">
        <v>155</v>
      </c>
      <c r="C53" t="s">
        <v>15</v>
      </c>
      <c r="D53">
        <v>24</v>
      </c>
      <c r="E53" t="s">
        <v>24</v>
      </c>
      <c r="F53" s="4">
        <v>44375</v>
      </c>
      <c r="G53" t="s">
        <v>21</v>
      </c>
      <c r="H53" s="11">
        <v>52610</v>
      </c>
      <c r="I53" s="10" t="s">
        <v>206</v>
      </c>
    </row>
    <row r="54" spans="2:9" x14ac:dyDescent="0.25">
      <c r="B54" t="s">
        <v>139</v>
      </c>
      <c r="C54" t="s">
        <v>15</v>
      </c>
      <c r="D54">
        <v>26</v>
      </c>
      <c r="E54" t="s">
        <v>16</v>
      </c>
      <c r="F54" s="4">
        <v>44350</v>
      </c>
      <c r="G54" t="s">
        <v>9</v>
      </c>
      <c r="H54" s="11">
        <v>53540</v>
      </c>
      <c r="I54" s="10" t="s">
        <v>206</v>
      </c>
    </row>
    <row r="55" spans="2:9" x14ac:dyDescent="0.25">
      <c r="B55" t="s">
        <v>201</v>
      </c>
      <c r="C55" t="s">
        <v>8</v>
      </c>
      <c r="D55">
        <v>32</v>
      </c>
      <c r="E55" t="s">
        <v>16</v>
      </c>
      <c r="F55" s="4">
        <v>44339</v>
      </c>
      <c r="G55" t="s">
        <v>56</v>
      </c>
      <c r="H55" s="11">
        <v>45510</v>
      </c>
      <c r="I55" s="10" t="s">
        <v>206</v>
      </c>
    </row>
    <row r="56" spans="2:9" x14ac:dyDescent="0.25">
      <c r="B56" t="s">
        <v>121</v>
      </c>
      <c r="C56" t="s">
        <v>8</v>
      </c>
      <c r="D56">
        <v>30</v>
      </c>
      <c r="E56" t="s">
        <v>24</v>
      </c>
      <c r="F56" s="4">
        <v>44328</v>
      </c>
      <c r="G56" t="s">
        <v>21</v>
      </c>
      <c r="H56" s="11">
        <v>67910</v>
      </c>
      <c r="I56" s="10" t="s">
        <v>206</v>
      </c>
    </row>
    <row r="57" spans="2:9" x14ac:dyDescent="0.25">
      <c r="B57" t="s">
        <v>115</v>
      </c>
      <c r="C57" t="s">
        <v>15</v>
      </c>
      <c r="D57">
        <v>33</v>
      </c>
      <c r="E57" t="s">
        <v>16</v>
      </c>
      <c r="F57" s="4">
        <v>44324</v>
      </c>
      <c r="G57" t="s">
        <v>19</v>
      </c>
      <c r="H57" s="11">
        <v>74550</v>
      </c>
      <c r="I57" s="10" t="s">
        <v>206</v>
      </c>
    </row>
    <row r="58" spans="2:9" x14ac:dyDescent="0.25">
      <c r="B58" t="s">
        <v>168</v>
      </c>
      <c r="C58" t="s">
        <v>15</v>
      </c>
      <c r="D58">
        <v>25</v>
      </c>
      <c r="E58" t="s">
        <v>16</v>
      </c>
      <c r="F58" s="4">
        <v>44322</v>
      </c>
      <c r="G58" t="s">
        <v>19</v>
      </c>
      <c r="H58" s="11">
        <v>65700</v>
      </c>
      <c r="I58" s="10" t="s">
        <v>206</v>
      </c>
    </row>
    <row r="59" spans="2:9" x14ac:dyDescent="0.25">
      <c r="B59" t="s">
        <v>194</v>
      </c>
      <c r="C59" t="s">
        <v>8</v>
      </c>
      <c r="D59">
        <v>40</v>
      </c>
      <c r="E59" t="s">
        <v>16</v>
      </c>
      <c r="F59" s="4">
        <v>44320</v>
      </c>
      <c r="G59" t="s">
        <v>12</v>
      </c>
      <c r="H59" s="11">
        <v>104410</v>
      </c>
      <c r="I59" s="10" t="s">
        <v>206</v>
      </c>
    </row>
    <row r="60" spans="2:9" x14ac:dyDescent="0.25">
      <c r="B60" t="s">
        <v>127</v>
      </c>
      <c r="C60" t="s">
        <v>8</v>
      </c>
      <c r="D60">
        <v>38</v>
      </c>
      <c r="E60" t="s">
        <v>10</v>
      </c>
      <c r="F60" s="4">
        <v>44316</v>
      </c>
      <c r="G60" t="s">
        <v>19</v>
      </c>
      <c r="H60" s="11">
        <v>109160</v>
      </c>
      <c r="I60" s="10" t="s">
        <v>206</v>
      </c>
    </row>
    <row r="61" spans="2:9" x14ac:dyDescent="0.25">
      <c r="B61" t="s">
        <v>135</v>
      </c>
      <c r="C61" t="s">
        <v>8</v>
      </c>
      <c r="D61">
        <v>33</v>
      </c>
      <c r="E61" t="s">
        <v>42</v>
      </c>
      <c r="F61" s="4">
        <v>44313</v>
      </c>
      <c r="G61" t="s">
        <v>12</v>
      </c>
      <c r="H61" s="11">
        <v>75480</v>
      </c>
      <c r="I61" s="10" t="s">
        <v>206</v>
      </c>
    </row>
    <row r="62" spans="2:9" x14ac:dyDescent="0.25">
      <c r="B62" t="s">
        <v>167</v>
      </c>
      <c r="C62" t="s">
        <v>8</v>
      </c>
      <c r="D62">
        <v>28</v>
      </c>
      <c r="E62" t="s">
        <v>16</v>
      </c>
      <c r="F62" s="4">
        <v>44296</v>
      </c>
      <c r="G62" t="s">
        <v>19</v>
      </c>
      <c r="H62" s="11">
        <v>53240</v>
      </c>
      <c r="I62" s="10" t="s">
        <v>206</v>
      </c>
    </row>
    <row r="63" spans="2:9" x14ac:dyDescent="0.25">
      <c r="B63" t="s">
        <v>176</v>
      </c>
      <c r="C63" t="s">
        <v>8</v>
      </c>
      <c r="D63">
        <v>32</v>
      </c>
      <c r="E63" t="s">
        <v>13</v>
      </c>
      <c r="F63" s="4">
        <v>44293</v>
      </c>
      <c r="G63" t="s">
        <v>12</v>
      </c>
      <c r="H63" s="11">
        <v>43840</v>
      </c>
      <c r="I63" s="10" t="s">
        <v>206</v>
      </c>
    </row>
    <row r="64" spans="2:9" x14ac:dyDescent="0.25">
      <c r="B64" t="s">
        <v>118</v>
      </c>
      <c r="C64" t="s">
        <v>15</v>
      </c>
      <c r="D64">
        <v>37</v>
      </c>
      <c r="E64" t="s">
        <v>24</v>
      </c>
      <c r="F64" s="4">
        <v>44277</v>
      </c>
      <c r="G64" t="s">
        <v>12</v>
      </c>
      <c r="H64" s="11">
        <v>88050</v>
      </c>
      <c r="I64" s="10" t="s">
        <v>206</v>
      </c>
    </row>
    <row r="65" spans="2:9" x14ac:dyDescent="0.25">
      <c r="B65" t="s">
        <v>166</v>
      </c>
      <c r="C65" t="s">
        <v>8</v>
      </c>
      <c r="D65">
        <v>40</v>
      </c>
      <c r="E65" t="s">
        <v>16</v>
      </c>
      <c r="F65" s="4">
        <v>44276</v>
      </c>
      <c r="G65" t="s">
        <v>12</v>
      </c>
      <c r="H65" s="11">
        <v>87620</v>
      </c>
      <c r="I65" s="10" t="s">
        <v>206</v>
      </c>
    </row>
    <row r="66" spans="2:9" x14ac:dyDescent="0.25">
      <c r="B66" t="s">
        <v>187</v>
      </c>
      <c r="C66" t="s">
        <v>15</v>
      </c>
      <c r="D66">
        <v>36</v>
      </c>
      <c r="E66" t="s">
        <v>16</v>
      </c>
      <c r="F66" s="4">
        <v>44272</v>
      </c>
      <c r="G66" t="s">
        <v>21</v>
      </c>
      <c r="H66" s="11">
        <v>71380</v>
      </c>
      <c r="I66" s="10" t="s">
        <v>206</v>
      </c>
    </row>
    <row r="67" spans="2:9" x14ac:dyDescent="0.25">
      <c r="B67" t="s">
        <v>202</v>
      </c>
      <c r="C67" t="s">
        <v>8</v>
      </c>
      <c r="D67">
        <v>38</v>
      </c>
      <c r="E67" t="s">
        <v>13</v>
      </c>
      <c r="F67" s="4">
        <v>44268</v>
      </c>
      <c r="G67" t="s">
        <v>19</v>
      </c>
      <c r="H67" s="11">
        <v>56870</v>
      </c>
      <c r="I67" s="10" t="s">
        <v>206</v>
      </c>
    </row>
    <row r="68" spans="2:9" x14ac:dyDescent="0.25">
      <c r="B68" t="s">
        <v>126</v>
      </c>
      <c r="C68" t="s">
        <v>8</v>
      </c>
      <c r="D68">
        <v>21</v>
      </c>
      <c r="E68" t="s">
        <v>16</v>
      </c>
      <c r="F68" s="4">
        <v>44256</v>
      </c>
      <c r="G68" t="s">
        <v>21</v>
      </c>
      <c r="H68" s="11">
        <v>65920</v>
      </c>
      <c r="I68" s="10" t="s">
        <v>206</v>
      </c>
    </row>
    <row r="69" spans="2:9" x14ac:dyDescent="0.25">
      <c r="B69" t="s">
        <v>188</v>
      </c>
      <c r="C69" t="s">
        <v>8</v>
      </c>
      <c r="D69">
        <v>33</v>
      </c>
      <c r="E69" t="s">
        <v>16</v>
      </c>
      <c r="F69" s="4">
        <v>44253</v>
      </c>
      <c r="G69" t="s">
        <v>12</v>
      </c>
      <c r="H69" s="11">
        <v>75280</v>
      </c>
      <c r="I69" s="10" t="s">
        <v>206</v>
      </c>
    </row>
    <row r="70" spans="2:9" x14ac:dyDescent="0.25">
      <c r="B70" t="s">
        <v>193</v>
      </c>
      <c r="C70" t="s">
        <v>15</v>
      </c>
      <c r="D70">
        <v>19</v>
      </c>
      <c r="E70" t="s">
        <v>16</v>
      </c>
      <c r="F70" s="4">
        <v>44218</v>
      </c>
      <c r="G70" t="s">
        <v>9</v>
      </c>
      <c r="H70" s="11">
        <v>58960</v>
      </c>
      <c r="I70" s="10" t="s">
        <v>206</v>
      </c>
    </row>
    <row r="71" spans="2:9" x14ac:dyDescent="0.25">
      <c r="B71" t="s">
        <v>119</v>
      </c>
      <c r="C71" t="s">
        <v>15</v>
      </c>
      <c r="D71">
        <v>30</v>
      </c>
      <c r="E71" t="s">
        <v>16</v>
      </c>
      <c r="F71" s="4">
        <v>44214</v>
      </c>
      <c r="G71" t="s">
        <v>12</v>
      </c>
      <c r="H71" s="11">
        <v>69120</v>
      </c>
      <c r="I71" s="10" t="s">
        <v>206</v>
      </c>
    </row>
    <row r="72" spans="2:9" x14ac:dyDescent="0.25">
      <c r="B72" t="s">
        <v>112</v>
      </c>
      <c r="C72" t="s">
        <v>207</v>
      </c>
      <c r="D72">
        <v>27</v>
      </c>
      <c r="E72" t="s">
        <v>13</v>
      </c>
      <c r="F72" s="4">
        <v>44212</v>
      </c>
      <c r="G72" t="s">
        <v>12</v>
      </c>
      <c r="H72" s="11">
        <v>90700</v>
      </c>
      <c r="I72" s="10" t="s">
        <v>206</v>
      </c>
    </row>
    <row r="73" spans="2:9" x14ac:dyDescent="0.25">
      <c r="B73" t="s">
        <v>198</v>
      </c>
      <c r="C73" t="s">
        <v>15</v>
      </c>
      <c r="D73">
        <v>40</v>
      </c>
      <c r="E73" t="s">
        <v>16</v>
      </c>
      <c r="F73" s="4">
        <v>44204</v>
      </c>
      <c r="G73" t="s">
        <v>9</v>
      </c>
      <c r="H73" s="11">
        <v>99750</v>
      </c>
      <c r="I73" s="10" t="s">
        <v>206</v>
      </c>
    </row>
    <row r="74" spans="2:9" x14ac:dyDescent="0.25">
      <c r="B74" t="s">
        <v>171</v>
      </c>
      <c r="C74" t="s">
        <v>15</v>
      </c>
      <c r="D74">
        <v>33</v>
      </c>
      <c r="E74" t="s">
        <v>16</v>
      </c>
      <c r="F74" s="4">
        <v>44181</v>
      </c>
      <c r="G74" t="s">
        <v>21</v>
      </c>
      <c r="H74" s="11">
        <v>59430</v>
      </c>
      <c r="I74" s="10" t="s">
        <v>206</v>
      </c>
    </row>
    <row r="75" spans="2:9" x14ac:dyDescent="0.25">
      <c r="B75" t="s">
        <v>170</v>
      </c>
      <c r="C75" t="s">
        <v>15</v>
      </c>
      <c r="D75">
        <v>21</v>
      </c>
      <c r="E75" t="s">
        <v>16</v>
      </c>
      <c r="F75" s="4">
        <v>44180</v>
      </c>
      <c r="G75" t="s">
        <v>56</v>
      </c>
      <c r="H75" s="11">
        <v>75880</v>
      </c>
      <c r="I75" s="10" t="s">
        <v>206</v>
      </c>
    </row>
    <row r="76" spans="2:9" x14ac:dyDescent="0.25">
      <c r="B76" t="s">
        <v>160</v>
      </c>
      <c r="C76" t="s">
        <v>15</v>
      </c>
      <c r="D76">
        <v>27</v>
      </c>
      <c r="E76" t="s">
        <v>13</v>
      </c>
      <c r="F76" s="4">
        <v>44174</v>
      </c>
      <c r="G76" t="s">
        <v>21</v>
      </c>
      <c r="H76" s="11">
        <v>91650</v>
      </c>
      <c r="I76" s="10" t="s">
        <v>206</v>
      </c>
    </row>
    <row r="77" spans="2:9" x14ac:dyDescent="0.25">
      <c r="B77" t="s">
        <v>151</v>
      </c>
      <c r="C77" t="s">
        <v>15</v>
      </c>
      <c r="D77">
        <v>26</v>
      </c>
      <c r="E77" t="s">
        <v>16</v>
      </c>
      <c r="F77" s="4">
        <v>44164</v>
      </c>
      <c r="G77" t="s">
        <v>9</v>
      </c>
      <c r="H77" s="11">
        <v>47360</v>
      </c>
      <c r="I77" s="10" t="s">
        <v>206</v>
      </c>
    </row>
    <row r="78" spans="2:9" x14ac:dyDescent="0.25">
      <c r="B78" t="s">
        <v>169</v>
      </c>
      <c r="C78" t="s">
        <v>8</v>
      </c>
      <c r="D78">
        <v>25</v>
      </c>
      <c r="E78" t="s">
        <v>16</v>
      </c>
      <c r="F78" s="4">
        <v>44144</v>
      </c>
      <c r="G78" t="s">
        <v>19</v>
      </c>
      <c r="H78" s="11">
        <v>92700</v>
      </c>
      <c r="I78" s="10" t="s">
        <v>206</v>
      </c>
    </row>
    <row r="79" spans="2:9" x14ac:dyDescent="0.25">
      <c r="B79" t="s">
        <v>163</v>
      </c>
      <c r="C79" t="s">
        <v>8</v>
      </c>
      <c r="D79">
        <v>33</v>
      </c>
      <c r="E79" t="s">
        <v>16</v>
      </c>
      <c r="F79" s="4">
        <v>44129</v>
      </c>
      <c r="G79" t="s">
        <v>12</v>
      </c>
      <c r="H79" s="11">
        <v>96140</v>
      </c>
      <c r="I79" s="10" t="s">
        <v>206</v>
      </c>
    </row>
    <row r="80" spans="2:9" x14ac:dyDescent="0.25">
      <c r="B80" t="s">
        <v>129</v>
      </c>
      <c r="C80" t="s">
        <v>8</v>
      </c>
      <c r="D80">
        <v>28</v>
      </c>
      <c r="E80" t="s">
        <v>16</v>
      </c>
      <c r="F80" s="4">
        <v>44124</v>
      </c>
      <c r="G80" t="s">
        <v>21</v>
      </c>
      <c r="H80" s="11">
        <v>75970</v>
      </c>
      <c r="I80" s="10" t="s">
        <v>206</v>
      </c>
    </row>
    <row r="81" spans="2:9" x14ac:dyDescent="0.25">
      <c r="B81" t="s">
        <v>156</v>
      </c>
      <c r="C81" t="s">
        <v>15</v>
      </c>
      <c r="D81">
        <v>20</v>
      </c>
      <c r="E81" t="s">
        <v>16</v>
      </c>
      <c r="F81" s="4">
        <v>44122</v>
      </c>
      <c r="G81" t="s">
        <v>12</v>
      </c>
      <c r="H81" s="11">
        <v>112650</v>
      </c>
      <c r="I81" s="10" t="s">
        <v>206</v>
      </c>
    </row>
    <row r="82" spans="2:9" x14ac:dyDescent="0.25">
      <c r="B82" t="s">
        <v>180</v>
      </c>
      <c r="C82" t="s">
        <v>15</v>
      </c>
      <c r="D82">
        <v>29</v>
      </c>
      <c r="E82" t="s">
        <v>24</v>
      </c>
      <c r="F82" s="4">
        <v>44119</v>
      </c>
      <c r="G82" t="s">
        <v>12</v>
      </c>
      <c r="H82" s="11">
        <v>112110</v>
      </c>
      <c r="I82" s="10" t="s">
        <v>206</v>
      </c>
    </row>
    <row r="83" spans="2:9" x14ac:dyDescent="0.25">
      <c r="B83" t="s">
        <v>134</v>
      </c>
      <c r="C83" t="s">
        <v>15</v>
      </c>
      <c r="D83">
        <v>33</v>
      </c>
      <c r="E83" t="s">
        <v>16</v>
      </c>
      <c r="F83" s="4">
        <v>44103</v>
      </c>
      <c r="G83" t="s">
        <v>9</v>
      </c>
      <c r="H83" s="11">
        <v>115920</v>
      </c>
      <c r="I83" s="10" t="s">
        <v>206</v>
      </c>
    </row>
    <row r="84" spans="2:9" x14ac:dyDescent="0.25">
      <c r="B84" t="s">
        <v>153</v>
      </c>
      <c r="C84" t="s">
        <v>8</v>
      </c>
      <c r="D84">
        <v>24</v>
      </c>
      <c r="E84" t="s">
        <v>16</v>
      </c>
      <c r="F84" s="4">
        <v>44087</v>
      </c>
      <c r="G84" t="s">
        <v>12</v>
      </c>
      <c r="H84" s="11">
        <v>62780</v>
      </c>
      <c r="I84" s="10" t="s">
        <v>206</v>
      </c>
    </row>
    <row r="85" spans="2:9" x14ac:dyDescent="0.25">
      <c r="B85" t="s">
        <v>142</v>
      </c>
      <c r="C85" t="s">
        <v>207</v>
      </c>
      <c r="D85">
        <v>37</v>
      </c>
      <c r="E85" t="s">
        <v>24</v>
      </c>
      <c r="F85" s="4">
        <v>44085</v>
      </c>
      <c r="G85" t="s">
        <v>21</v>
      </c>
      <c r="H85" s="11">
        <v>115440</v>
      </c>
      <c r="I85" s="10" t="s">
        <v>206</v>
      </c>
    </row>
    <row r="86" spans="2:9" x14ac:dyDescent="0.25">
      <c r="B86" t="s">
        <v>124</v>
      </c>
      <c r="C86" t="s">
        <v>8</v>
      </c>
      <c r="D86">
        <v>31</v>
      </c>
      <c r="E86" t="s">
        <v>16</v>
      </c>
      <c r="F86" s="4">
        <v>44084</v>
      </c>
      <c r="G86" t="s">
        <v>12</v>
      </c>
      <c r="H86" s="11">
        <v>41980</v>
      </c>
      <c r="I86" s="10" t="s">
        <v>206</v>
      </c>
    </row>
    <row r="87" spans="2:9" x14ac:dyDescent="0.25">
      <c r="B87" t="s">
        <v>182</v>
      </c>
      <c r="C87" t="s">
        <v>15</v>
      </c>
      <c r="D87">
        <v>27</v>
      </c>
      <c r="E87" t="s">
        <v>16</v>
      </c>
      <c r="F87" s="4">
        <v>44073</v>
      </c>
      <c r="G87" t="s">
        <v>19</v>
      </c>
      <c r="H87" s="11">
        <v>54970</v>
      </c>
      <c r="I87" s="10" t="s">
        <v>206</v>
      </c>
    </row>
    <row r="88" spans="2:9" x14ac:dyDescent="0.25">
      <c r="B88" t="s">
        <v>152</v>
      </c>
      <c r="C88" t="s">
        <v>8</v>
      </c>
      <c r="D88">
        <v>27</v>
      </c>
      <c r="E88" t="s">
        <v>16</v>
      </c>
      <c r="F88" s="4">
        <v>44061</v>
      </c>
      <c r="G88" t="s">
        <v>56</v>
      </c>
      <c r="H88" s="11">
        <v>119110</v>
      </c>
      <c r="I88" s="10" t="s">
        <v>206</v>
      </c>
    </row>
    <row r="89" spans="2:9" x14ac:dyDescent="0.25">
      <c r="B89" t="s">
        <v>140</v>
      </c>
      <c r="C89" t="s">
        <v>15</v>
      </c>
      <c r="D89">
        <v>21</v>
      </c>
      <c r="E89" t="s">
        <v>16</v>
      </c>
      <c r="F89" s="4">
        <v>44042</v>
      </c>
      <c r="G89" t="s">
        <v>9</v>
      </c>
      <c r="H89" s="11">
        <v>37920</v>
      </c>
      <c r="I89" s="10" t="s">
        <v>206</v>
      </c>
    </row>
    <row r="90" spans="2:9" x14ac:dyDescent="0.25">
      <c r="B90" t="s">
        <v>175</v>
      </c>
      <c r="C90" t="s">
        <v>8</v>
      </c>
      <c r="D90">
        <v>36</v>
      </c>
      <c r="E90" t="s">
        <v>16</v>
      </c>
      <c r="F90" s="4">
        <v>44023</v>
      </c>
      <c r="G90" t="s">
        <v>9</v>
      </c>
      <c r="H90" s="11">
        <v>114890</v>
      </c>
      <c r="I90" s="10" t="s">
        <v>206</v>
      </c>
    </row>
    <row r="91" spans="2:9" x14ac:dyDescent="0.25">
      <c r="B91" t="s">
        <v>186</v>
      </c>
      <c r="C91" t="s">
        <v>8</v>
      </c>
      <c r="D91">
        <v>33</v>
      </c>
      <c r="E91" t="s">
        <v>16</v>
      </c>
      <c r="F91" s="4">
        <v>44006</v>
      </c>
      <c r="G91" t="s">
        <v>21</v>
      </c>
      <c r="H91" s="11">
        <v>65360</v>
      </c>
      <c r="I91" s="10" t="s">
        <v>206</v>
      </c>
    </row>
    <row r="92" spans="2:9" x14ac:dyDescent="0.25">
      <c r="B92" t="s">
        <v>123</v>
      </c>
      <c r="C92" t="s">
        <v>15</v>
      </c>
      <c r="D92">
        <v>28</v>
      </c>
      <c r="E92" t="s">
        <v>13</v>
      </c>
      <c r="F92" s="4">
        <v>43980</v>
      </c>
      <c r="G92" t="s">
        <v>21</v>
      </c>
      <c r="H92" s="11">
        <v>48170</v>
      </c>
      <c r="I92" s="10" t="s">
        <v>206</v>
      </c>
    </row>
    <row r="93" spans="2:9" x14ac:dyDescent="0.25">
      <c r="B93" t="s">
        <v>137</v>
      </c>
      <c r="C93" t="s">
        <v>8</v>
      </c>
      <c r="D93">
        <v>29</v>
      </c>
      <c r="E93" t="s">
        <v>16</v>
      </c>
      <c r="F93" s="4">
        <v>43962</v>
      </c>
      <c r="G93" t="s">
        <v>12</v>
      </c>
      <c r="H93" s="11">
        <v>34980</v>
      </c>
      <c r="I93" s="10" t="s">
        <v>206</v>
      </c>
    </row>
    <row r="94" spans="2:9" x14ac:dyDescent="0.25">
      <c r="B94" t="s">
        <v>199</v>
      </c>
      <c r="C94" t="s">
        <v>15</v>
      </c>
      <c r="D94">
        <v>36</v>
      </c>
      <c r="E94" t="s">
        <v>16</v>
      </c>
      <c r="F94" s="4">
        <v>43958</v>
      </c>
      <c r="G94" t="s">
        <v>12</v>
      </c>
      <c r="H94" s="11">
        <v>118840</v>
      </c>
      <c r="I94" s="10" t="s">
        <v>206</v>
      </c>
    </row>
    <row r="95" spans="2:9" x14ac:dyDescent="0.25">
      <c r="B95" t="s">
        <v>203</v>
      </c>
      <c r="D95">
        <f>SUBTOTAL(101,india_staff[Age])</f>
        <v>30.456521739130434</v>
      </c>
      <c r="H95" s="10">
        <f>SUBTOTAL(101,india_staff[Salary])</f>
        <v>77366.521739130432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EC97-AA00-4A72-8ECC-71E169B16413}">
  <sheetPr codeName="Hoja3"/>
  <dimension ref="A1:O185"/>
  <sheetViews>
    <sheetView topLeftCell="D1" workbookViewId="0">
      <selection activeCell="N16" sqref="N16"/>
    </sheetView>
  </sheetViews>
  <sheetFormatPr baseColWidth="10" defaultRowHeight="15" x14ac:dyDescent="0.25"/>
  <cols>
    <col min="1" max="1" width="29.7109375" bestFit="1" customWidth="1"/>
    <col min="2" max="2" width="10" bestFit="1" customWidth="1"/>
    <col min="3" max="3" width="14" bestFit="1" customWidth="1"/>
    <col min="4" max="4" width="12" bestFit="1" customWidth="1"/>
    <col min="5" max="5" width="13.7109375" bestFit="1" customWidth="1"/>
    <col min="6" max="6" width="11.5703125" bestFit="1" customWidth="1"/>
    <col min="7" max="7" width="14.140625" bestFit="1" customWidth="1"/>
    <col min="8" max="8" width="10.28515625" bestFit="1" customWidth="1"/>
    <col min="9" max="9" width="17" bestFit="1" customWidth="1"/>
    <col min="10" max="10" width="8.7109375" bestFit="1" customWidth="1"/>
    <col min="11" max="11" width="19" bestFit="1" customWidth="1"/>
    <col min="12" max="13" width="19.140625" bestFit="1" customWidth="1"/>
    <col min="14" max="14" width="18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204</v>
      </c>
      <c r="I1" t="s">
        <v>213</v>
      </c>
      <c r="J1" t="s">
        <v>217</v>
      </c>
      <c r="K1" t="s">
        <v>220</v>
      </c>
    </row>
    <row r="2" spans="1:15" x14ac:dyDescent="0.25">
      <c r="A2" t="s">
        <v>60</v>
      </c>
      <c r="B2" t="s">
        <v>8</v>
      </c>
      <c r="C2" t="s">
        <v>56</v>
      </c>
      <c r="D2">
        <v>27</v>
      </c>
      <c r="E2" s="5">
        <v>44122</v>
      </c>
      <c r="F2" s="10">
        <v>119110</v>
      </c>
      <c r="G2" t="s">
        <v>16</v>
      </c>
      <c r="H2" t="s">
        <v>205</v>
      </c>
      <c r="I2" s="17">
        <f ca="1">(TODAY()-allstaff[[#This Row],[Date Joined]])/365</f>
        <v>2.871232876712329</v>
      </c>
      <c r="J2" s="11">
        <f ca="1">ROUNDUP(IF(allstaff[[#This Row],[Tenure in Years]]&gt;2,3%,2%)*allstaff[[#This Row],[Salary]],0)</f>
        <v>3574</v>
      </c>
      <c r="K2">
        <f>VLOOKUP(allstaff[[#This Row],[Rating]],$M$23:$N$27,2,FALSE)</f>
        <v>3</v>
      </c>
      <c r="M2" s="20">
        <v>1</v>
      </c>
    </row>
    <row r="3" spans="1:15" x14ac:dyDescent="0.25">
      <c r="A3" t="s">
        <v>152</v>
      </c>
      <c r="B3" t="s">
        <v>8</v>
      </c>
      <c r="C3" t="s">
        <v>56</v>
      </c>
      <c r="D3">
        <v>27</v>
      </c>
      <c r="E3" s="5">
        <v>44061</v>
      </c>
      <c r="F3" s="10">
        <v>119110</v>
      </c>
      <c r="G3" t="s">
        <v>16</v>
      </c>
      <c r="H3" t="s">
        <v>206</v>
      </c>
      <c r="I3" s="17">
        <f ca="1">(TODAY()-allstaff[[#This Row],[Date Joined]])/365</f>
        <v>3.0383561643835617</v>
      </c>
      <c r="J3" s="11">
        <f ca="1">ROUNDUP(IF(allstaff[[#This Row],[Tenure in Years]]&gt;2,3%,2%)*allstaff[[#This Row],[Salary]],0)</f>
        <v>3574</v>
      </c>
      <c r="K3">
        <f>VLOOKUP(allstaff[[#This Row],[Rating]],$M$23:$N$27,2,FALSE)</f>
        <v>3</v>
      </c>
      <c r="M3" s="14" t="s">
        <v>208</v>
      </c>
      <c r="N3" s="14">
        <f>COUNTA(allstaff[Name])</f>
        <v>183</v>
      </c>
    </row>
    <row r="4" spans="1:15" x14ac:dyDescent="0.25">
      <c r="A4" t="s">
        <v>106</v>
      </c>
      <c r="B4" t="s">
        <v>15</v>
      </c>
      <c r="C4" t="s">
        <v>12</v>
      </c>
      <c r="D4">
        <v>36</v>
      </c>
      <c r="E4" s="5">
        <v>44019</v>
      </c>
      <c r="F4" s="10">
        <v>118840</v>
      </c>
      <c r="G4" t="s">
        <v>16</v>
      </c>
      <c r="H4" t="s">
        <v>205</v>
      </c>
      <c r="I4" s="17">
        <f ca="1">(TODAY()-allstaff[[#This Row],[Date Joined]])/365</f>
        <v>3.1534246575342464</v>
      </c>
      <c r="J4" s="11">
        <f ca="1">ROUNDUP(IF(allstaff[[#This Row],[Tenure in Years]]&gt;2,3%,2%)*allstaff[[#This Row],[Salary]],0)</f>
        <v>3566</v>
      </c>
      <c r="K4">
        <f>VLOOKUP(allstaff[[#This Row],[Rating]],$M$23:$N$27,2,FALSE)</f>
        <v>3</v>
      </c>
      <c r="M4" s="14" t="s">
        <v>209</v>
      </c>
      <c r="N4" s="15">
        <f>AVERAGE(allstaff[Salary])</f>
        <v>77173.715846994543</v>
      </c>
      <c r="O4">
        <f>MEDIAN(allstaff[Salary])</f>
        <v>75000</v>
      </c>
    </row>
    <row r="5" spans="1:15" x14ac:dyDescent="0.25">
      <c r="A5" t="s">
        <v>199</v>
      </c>
      <c r="B5" t="s">
        <v>15</v>
      </c>
      <c r="C5" t="s">
        <v>12</v>
      </c>
      <c r="D5">
        <v>36</v>
      </c>
      <c r="E5" s="5">
        <v>43958</v>
      </c>
      <c r="F5" s="10">
        <v>118840</v>
      </c>
      <c r="G5" t="s">
        <v>16</v>
      </c>
      <c r="H5" t="s">
        <v>206</v>
      </c>
      <c r="I5" s="17">
        <f ca="1">(TODAY()-allstaff[[#This Row],[Date Joined]])/365</f>
        <v>3.3205479452054796</v>
      </c>
      <c r="J5" s="11">
        <f ca="1">ROUNDUP(IF(allstaff[[#This Row],[Tenure in Years]]&gt;2,3%,2%)*allstaff[[#This Row],[Salary]],0)</f>
        <v>3566</v>
      </c>
      <c r="K5">
        <f>VLOOKUP(allstaff[[#This Row],[Rating]],$M$23:$N$27,2,FALSE)</f>
        <v>3</v>
      </c>
      <c r="M5" s="14" t="s">
        <v>210</v>
      </c>
      <c r="N5" s="16">
        <f>AVERAGE(allstaff[Age])</f>
        <v>30.42622950819672</v>
      </c>
      <c r="O5">
        <f>MEDIAN(allstaff[Age])</f>
        <v>30</v>
      </c>
    </row>
    <row r="6" spans="1:15" x14ac:dyDescent="0.25">
      <c r="A6" t="s">
        <v>55</v>
      </c>
      <c r="B6" t="s">
        <v>8</v>
      </c>
      <c r="C6" t="s">
        <v>56</v>
      </c>
      <c r="D6">
        <v>37</v>
      </c>
      <c r="E6" s="5">
        <v>44451</v>
      </c>
      <c r="F6" s="10">
        <v>118100</v>
      </c>
      <c r="G6" t="s">
        <v>16</v>
      </c>
      <c r="H6" t="s">
        <v>205</v>
      </c>
      <c r="I6" s="17">
        <f ca="1">(TODAY()-allstaff[[#This Row],[Date Joined]])/365</f>
        <v>1.9698630136986301</v>
      </c>
      <c r="J6" s="11">
        <f ca="1">ROUNDUP(IF(allstaff[[#This Row],[Tenure in Years]]&gt;2,3%,2%)*allstaff[[#This Row],[Salary]],0)</f>
        <v>2362</v>
      </c>
      <c r="K6">
        <f>VLOOKUP(allstaff[[#This Row],[Rating]],$M$23:$N$27,2,FALSE)</f>
        <v>3</v>
      </c>
      <c r="M6" s="14" t="s">
        <v>211</v>
      </c>
      <c r="N6" s="16">
        <f ca="1">AVERAGE(allstaff[Tenure in Years])</f>
        <v>2.0190882551089162</v>
      </c>
    </row>
    <row r="7" spans="1:15" x14ac:dyDescent="0.25">
      <c r="A7" t="s">
        <v>148</v>
      </c>
      <c r="B7" t="s">
        <v>8</v>
      </c>
      <c r="C7" t="s">
        <v>56</v>
      </c>
      <c r="D7">
        <v>37</v>
      </c>
      <c r="E7" s="5">
        <v>44389</v>
      </c>
      <c r="F7" s="10">
        <v>118100</v>
      </c>
      <c r="G7" t="s">
        <v>16</v>
      </c>
      <c r="H7" t="s">
        <v>206</v>
      </c>
      <c r="I7" s="17">
        <f ca="1">(TODAY()-allstaff[[#This Row],[Date Joined]])/365</f>
        <v>2.1397260273972605</v>
      </c>
      <c r="J7" s="11">
        <f ca="1">ROUNDUP(IF(allstaff[[#This Row],[Tenure in Years]]&gt;2,3%,2%)*allstaff[[#This Row],[Salary]],0)</f>
        <v>3543</v>
      </c>
      <c r="K7">
        <f>VLOOKUP(allstaff[[#This Row],[Rating]],$M$23:$N$27,2,FALSE)</f>
        <v>3</v>
      </c>
      <c r="M7" s="14" t="s">
        <v>212</v>
      </c>
      <c r="N7" s="18">
        <f>(COUNTIF(allstaff[Gender],"Female"))/N3</f>
        <v>0.46994535519125685</v>
      </c>
    </row>
    <row r="8" spans="1:15" x14ac:dyDescent="0.25">
      <c r="A8" t="s">
        <v>40</v>
      </c>
      <c r="B8" t="s">
        <v>15</v>
      </c>
      <c r="C8" t="s">
        <v>9</v>
      </c>
      <c r="D8">
        <v>33</v>
      </c>
      <c r="E8" s="5">
        <v>44164</v>
      </c>
      <c r="F8" s="10">
        <v>115920</v>
      </c>
      <c r="G8" t="s">
        <v>16</v>
      </c>
      <c r="H8" t="s">
        <v>205</v>
      </c>
      <c r="I8" s="17">
        <f ca="1">(TODAY()-allstaff[[#This Row],[Date Joined]])/365</f>
        <v>2.7561643835616438</v>
      </c>
      <c r="J8" s="11">
        <f ca="1">ROUNDUP(IF(allstaff[[#This Row],[Tenure in Years]]&gt;2,3%,2%)*allstaff[[#This Row],[Salary]],0)</f>
        <v>3478</v>
      </c>
      <c r="K8">
        <f>VLOOKUP(allstaff[[#This Row],[Rating]],$M$23:$N$27,2,FALSE)</f>
        <v>3</v>
      </c>
    </row>
    <row r="9" spans="1:15" x14ac:dyDescent="0.25">
      <c r="A9" t="s">
        <v>134</v>
      </c>
      <c r="B9" t="s">
        <v>15</v>
      </c>
      <c r="C9" t="s">
        <v>9</v>
      </c>
      <c r="D9">
        <v>33</v>
      </c>
      <c r="E9" s="5">
        <v>44103</v>
      </c>
      <c r="F9" s="10">
        <v>115920</v>
      </c>
      <c r="G9" t="s">
        <v>16</v>
      </c>
      <c r="H9" t="s">
        <v>206</v>
      </c>
      <c r="I9" s="17">
        <f ca="1">(TODAY()-allstaff[[#This Row],[Date Joined]])/365</f>
        <v>2.9232876712328766</v>
      </c>
      <c r="J9" s="11">
        <f ca="1">ROUNDUP(IF(allstaff[[#This Row],[Tenure in Years]]&gt;2,3%,2%)*allstaff[[#This Row],[Salary]],0)</f>
        <v>3478</v>
      </c>
      <c r="K9">
        <f>VLOOKUP(allstaff[[#This Row],[Rating]],$M$23:$N$27,2,FALSE)</f>
        <v>3</v>
      </c>
      <c r="M9" s="41" t="s">
        <v>214</v>
      </c>
      <c r="N9" s="41"/>
      <c r="O9" s="19">
        <f>COUNTIF(allstaff[Salary],"&gt;=90000")/N3</f>
        <v>0.34426229508196721</v>
      </c>
    </row>
    <row r="10" spans="1:15" x14ac:dyDescent="0.25">
      <c r="A10" t="s">
        <v>49</v>
      </c>
      <c r="B10" t="s">
        <v>207</v>
      </c>
      <c r="C10" t="s">
        <v>21</v>
      </c>
      <c r="D10">
        <v>37</v>
      </c>
      <c r="E10" s="5">
        <v>44146</v>
      </c>
      <c r="F10" s="10">
        <v>115440</v>
      </c>
      <c r="G10" t="s">
        <v>24</v>
      </c>
      <c r="H10" t="s">
        <v>205</v>
      </c>
      <c r="I10" s="17">
        <f ca="1">(TODAY()-allstaff[[#This Row],[Date Joined]])/365</f>
        <v>2.8054794520547945</v>
      </c>
      <c r="J10" s="11">
        <f ca="1">ROUNDUP(IF(allstaff[[#This Row],[Tenure in Years]]&gt;2,3%,2%)*allstaff[[#This Row],[Salary]],0)</f>
        <v>3464</v>
      </c>
      <c r="K10">
        <f>VLOOKUP(allstaff[[#This Row],[Rating]],$M$23:$N$27,2,FALSE)</f>
        <v>2</v>
      </c>
    </row>
    <row r="11" spans="1:15" x14ac:dyDescent="0.25">
      <c r="A11" t="s">
        <v>142</v>
      </c>
      <c r="B11" t="s">
        <v>207</v>
      </c>
      <c r="C11" t="s">
        <v>21</v>
      </c>
      <c r="D11">
        <v>37</v>
      </c>
      <c r="E11" s="5">
        <v>44085</v>
      </c>
      <c r="F11" s="10">
        <v>115440</v>
      </c>
      <c r="G11" t="s">
        <v>24</v>
      </c>
      <c r="H11" t="s">
        <v>206</v>
      </c>
      <c r="I11" s="17">
        <f ca="1">(TODAY()-allstaff[[#This Row],[Date Joined]])/365</f>
        <v>2.9726027397260273</v>
      </c>
      <c r="J11" s="11">
        <f ca="1">ROUNDUP(IF(allstaff[[#This Row],[Tenure in Years]]&gt;2,3%,2%)*allstaff[[#This Row],[Salary]],0)</f>
        <v>3464</v>
      </c>
      <c r="K11">
        <f>VLOOKUP(allstaff[[#This Row],[Rating]],$M$23:$N$27,2,FALSE)</f>
        <v>2</v>
      </c>
      <c r="M11" s="20">
        <v>2</v>
      </c>
    </row>
    <row r="12" spans="1:15" x14ac:dyDescent="0.25">
      <c r="A12" t="s">
        <v>83</v>
      </c>
      <c r="B12" t="s">
        <v>8</v>
      </c>
      <c r="C12" t="s">
        <v>9</v>
      </c>
      <c r="D12">
        <v>36</v>
      </c>
      <c r="E12" s="5">
        <v>44085</v>
      </c>
      <c r="F12" s="10">
        <v>114890</v>
      </c>
      <c r="G12" t="s">
        <v>16</v>
      </c>
      <c r="H12" t="s">
        <v>205</v>
      </c>
      <c r="I12" s="17">
        <f ca="1">(TODAY()-allstaff[[#This Row],[Date Joined]])/365</f>
        <v>2.9726027397260273</v>
      </c>
      <c r="J12" s="11">
        <f ca="1">ROUNDUP(IF(allstaff[[#This Row],[Tenure in Years]]&gt;2,3%,2%)*allstaff[[#This Row],[Salary]],0)</f>
        <v>3447</v>
      </c>
      <c r="K12">
        <f>VLOOKUP(allstaff[[#This Row],[Rating]],$M$23:$N$27,2,FALSE)</f>
        <v>3</v>
      </c>
      <c r="M12" t="s">
        <v>0</v>
      </c>
      <c r="N12" s="21" t="s">
        <v>54</v>
      </c>
    </row>
    <row r="13" spans="1:15" x14ac:dyDescent="0.25">
      <c r="A13" t="s">
        <v>175</v>
      </c>
      <c r="B13" t="s">
        <v>8</v>
      </c>
      <c r="C13" t="s">
        <v>9</v>
      </c>
      <c r="D13">
        <v>36</v>
      </c>
      <c r="E13" s="5">
        <v>44023</v>
      </c>
      <c r="F13" s="10">
        <v>114890</v>
      </c>
      <c r="G13" t="s">
        <v>16</v>
      </c>
      <c r="H13" t="s">
        <v>206</v>
      </c>
      <c r="I13" s="17">
        <f ca="1">(TODAY()-allstaff[[#This Row],[Date Joined]])/365</f>
        <v>3.1424657534246574</v>
      </c>
      <c r="J13" s="11">
        <f ca="1">ROUNDUP(IF(allstaff[[#This Row],[Tenure in Years]]&gt;2,3%,2%)*allstaff[[#This Row],[Salary]],0)</f>
        <v>3447</v>
      </c>
      <c r="K13">
        <f>VLOOKUP(allstaff[[#This Row],[Rating]],$M$23:$N$27,2,FALSE)</f>
        <v>3</v>
      </c>
      <c r="M13" t="s">
        <v>1</v>
      </c>
      <c r="N13" s="22" t="str">
        <f>VLOOKUP($N$12,allstaff[],2,FALSE)</f>
        <v>Female</v>
      </c>
    </row>
    <row r="14" spans="1:15" x14ac:dyDescent="0.25">
      <c r="A14" t="s">
        <v>17</v>
      </c>
      <c r="B14" t="s">
        <v>8</v>
      </c>
      <c r="C14" t="s">
        <v>12</v>
      </c>
      <c r="D14">
        <v>43</v>
      </c>
      <c r="E14" s="5">
        <v>45045</v>
      </c>
      <c r="F14" s="10">
        <v>114870</v>
      </c>
      <c r="G14" t="s">
        <v>16</v>
      </c>
      <c r="H14" t="s">
        <v>205</v>
      </c>
      <c r="I14" s="17">
        <f ca="1">(TODAY()-allstaff[[#This Row],[Date Joined]])/365</f>
        <v>0.34246575342465752</v>
      </c>
      <c r="J14" s="11">
        <f ca="1">ROUNDUP(IF(allstaff[[#This Row],[Tenure in Years]]&gt;2,3%,2%)*allstaff[[#This Row],[Salary]],0)</f>
        <v>2298</v>
      </c>
      <c r="K14">
        <f>VLOOKUP(allstaff[[#This Row],[Rating]],$M$23:$N$27,2,FALSE)</f>
        <v>3</v>
      </c>
      <c r="M14" t="s">
        <v>2</v>
      </c>
      <c r="N14" s="22" t="str">
        <f>VLOOKUP($N$12,allstaff[],3,FALSE)</f>
        <v>Procurement</v>
      </c>
    </row>
    <row r="15" spans="1:15" x14ac:dyDescent="0.25">
      <c r="A15" t="s">
        <v>114</v>
      </c>
      <c r="B15" t="s">
        <v>8</v>
      </c>
      <c r="C15" t="s">
        <v>12</v>
      </c>
      <c r="D15">
        <v>44</v>
      </c>
      <c r="E15" s="5">
        <v>44985</v>
      </c>
      <c r="F15" s="10">
        <v>114870</v>
      </c>
      <c r="G15" t="s">
        <v>16</v>
      </c>
      <c r="H15" t="s">
        <v>206</v>
      </c>
      <c r="I15" s="17">
        <f ca="1">(TODAY()-allstaff[[#This Row],[Date Joined]])/365</f>
        <v>0.50684931506849318</v>
      </c>
      <c r="J15" s="11">
        <f ca="1">ROUNDUP(IF(allstaff[[#This Row],[Tenure in Years]]&gt;2,3%,2%)*allstaff[[#This Row],[Salary]],0)</f>
        <v>2298</v>
      </c>
      <c r="K15">
        <f>VLOOKUP(allstaff[[#This Row],[Rating]],$M$23:$N$27,2,FALSE)</f>
        <v>3</v>
      </c>
      <c r="M15" t="s">
        <v>3</v>
      </c>
      <c r="N15" s="22">
        <f>VLOOKUP($N$12,allstaff[],4,FALSE)</f>
        <v>30</v>
      </c>
    </row>
    <row r="16" spans="1:15" x14ac:dyDescent="0.25">
      <c r="A16" t="s">
        <v>54</v>
      </c>
      <c r="B16" t="s">
        <v>8</v>
      </c>
      <c r="C16" t="s">
        <v>9</v>
      </c>
      <c r="D16">
        <v>30</v>
      </c>
      <c r="E16" s="5">
        <v>44850</v>
      </c>
      <c r="F16" s="10">
        <v>114180</v>
      </c>
      <c r="G16" t="s">
        <v>16</v>
      </c>
      <c r="H16" t="s">
        <v>205</v>
      </c>
      <c r="I16" s="17">
        <f ca="1">(TODAY()-allstaff[[#This Row],[Date Joined]])/365</f>
        <v>0.87671232876712324</v>
      </c>
      <c r="J16" s="11">
        <f ca="1">ROUNDUP(IF(allstaff[[#This Row],[Tenure in Years]]&gt;2,3%,2%)*allstaff[[#This Row],[Salary]],0)</f>
        <v>2284</v>
      </c>
      <c r="K16">
        <f>VLOOKUP(allstaff[[#This Row],[Rating]],$M$23:$N$27,2,FALSE)</f>
        <v>3</v>
      </c>
      <c r="M16" t="s">
        <v>4</v>
      </c>
      <c r="N16" s="25">
        <f>VLOOKUP($N$12,allstaff[],5,FALSE)</f>
        <v>44850</v>
      </c>
    </row>
    <row r="17" spans="1:14" x14ac:dyDescent="0.25">
      <c r="A17" t="s">
        <v>147</v>
      </c>
      <c r="B17" t="s">
        <v>8</v>
      </c>
      <c r="C17" t="s">
        <v>9</v>
      </c>
      <c r="D17">
        <v>30</v>
      </c>
      <c r="E17" s="5">
        <v>44789</v>
      </c>
      <c r="F17" s="10">
        <v>114180</v>
      </c>
      <c r="G17" t="s">
        <v>16</v>
      </c>
      <c r="H17" t="s">
        <v>206</v>
      </c>
      <c r="I17" s="17">
        <f ca="1">(TODAY()-allstaff[[#This Row],[Date Joined]])/365</f>
        <v>1.0438356164383562</v>
      </c>
      <c r="J17" s="11">
        <f ca="1">ROUNDUP(IF(allstaff[[#This Row],[Tenure in Years]]&gt;2,3%,2%)*allstaff[[#This Row],[Salary]],0)</f>
        <v>2284</v>
      </c>
      <c r="K17">
        <f>VLOOKUP(allstaff[[#This Row],[Rating]],$M$23:$N$27,2,FALSE)</f>
        <v>3</v>
      </c>
      <c r="M17" t="s">
        <v>5</v>
      </c>
      <c r="N17" s="24">
        <f>VLOOKUP($N$12,allstaff[],6,FALSE)</f>
        <v>114180</v>
      </c>
    </row>
    <row r="18" spans="1:14" x14ac:dyDescent="0.25">
      <c r="A18" t="s">
        <v>98</v>
      </c>
      <c r="B18" t="s">
        <v>15</v>
      </c>
      <c r="C18" t="s">
        <v>9</v>
      </c>
      <c r="D18">
        <v>27</v>
      </c>
      <c r="E18" s="5">
        <v>44609</v>
      </c>
      <c r="F18" s="10">
        <v>113280</v>
      </c>
      <c r="G18" t="s">
        <v>42</v>
      </c>
      <c r="H18" t="s">
        <v>205</v>
      </c>
      <c r="I18" s="17">
        <f ca="1">(TODAY()-allstaff[[#This Row],[Date Joined]])/365</f>
        <v>1.536986301369863</v>
      </c>
      <c r="J18" s="11">
        <f ca="1">ROUNDUP(IF(allstaff[[#This Row],[Tenure in Years]]&gt;2,3%,2%)*allstaff[[#This Row],[Salary]],0)</f>
        <v>2266</v>
      </c>
      <c r="K18">
        <f>VLOOKUP(allstaff[[#This Row],[Rating]],$M$23:$N$27,2,FALSE)</f>
        <v>1</v>
      </c>
      <c r="M18" t="s">
        <v>6</v>
      </c>
      <c r="N18" s="22" t="str">
        <f>VLOOKUP($N$12,allstaff[],7,FALSE)</f>
        <v>Average</v>
      </c>
    </row>
    <row r="19" spans="1:14" x14ac:dyDescent="0.25">
      <c r="A19" t="s">
        <v>191</v>
      </c>
      <c r="B19" t="s">
        <v>15</v>
      </c>
      <c r="C19" t="s">
        <v>9</v>
      </c>
      <c r="D19">
        <v>27</v>
      </c>
      <c r="E19" s="5">
        <v>44547</v>
      </c>
      <c r="F19" s="10">
        <v>113280</v>
      </c>
      <c r="G19" t="s">
        <v>42</v>
      </c>
      <c r="H19" t="s">
        <v>206</v>
      </c>
      <c r="I19" s="17">
        <f ca="1">(TODAY()-allstaff[[#This Row],[Date Joined]])/365</f>
        <v>1.7068493150684931</v>
      </c>
      <c r="J19" s="11">
        <f ca="1">ROUNDUP(IF(allstaff[[#This Row],[Tenure in Years]]&gt;2,3%,2%)*allstaff[[#This Row],[Salary]],0)</f>
        <v>2266</v>
      </c>
      <c r="K19">
        <f>VLOOKUP(allstaff[[#This Row],[Rating]],$M$23:$N$27,2,FALSE)</f>
        <v>1</v>
      </c>
      <c r="M19" t="s">
        <v>204</v>
      </c>
      <c r="N19" s="22" t="str">
        <f>VLOOKUP($N$12,allstaff[],8,FALSE)</f>
        <v>NZ</v>
      </c>
    </row>
    <row r="20" spans="1:14" x14ac:dyDescent="0.25">
      <c r="A20" t="s">
        <v>58</v>
      </c>
      <c r="B20" t="s">
        <v>15</v>
      </c>
      <c r="C20" t="s">
        <v>19</v>
      </c>
      <c r="D20">
        <v>22</v>
      </c>
      <c r="E20" s="5">
        <v>44446</v>
      </c>
      <c r="F20" s="10">
        <v>112780</v>
      </c>
      <c r="G20" t="s">
        <v>13</v>
      </c>
      <c r="H20" t="s">
        <v>205</v>
      </c>
      <c r="I20" s="17">
        <f ca="1">(TODAY()-allstaff[[#This Row],[Date Joined]])/365</f>
        <v>1.9835616438356165</v>
      </c>
      <c r="J20" s="11">
        <f ca="1">ROUNDUP(IF(allstaff[[#This Row],[Tenure in Years]]&gt;2,3%,2%)*allstaff[[#This Row],[Salary]],0)</f>
        <v>2256</v>
      </c>
      <c r="K20">
        <f>VLOOKUP(allstaff[[#This Row],[Rating]],$M$23:$N$27,2,FALSE)</f>
        <v>4</v>
      </c>
      <c r="M20" t="s">
        <v>213</v>
      </c>
      <c r="N20" s="23">
        <f ca="1">VLOOKUP($N$12,allstaff[],9,FALSE)</f>
        <v>0.87671232876712324</v>
      </c>
    </row>
    <row r="21" spans="1:14" x14ac:dyDescent="0.25">
      <c r="A21" t="s">
        <v>150</v>
      </c>
      <c r="B21" t="s">
        <v>15</v>
      </c>
      <c r="C21" t="s">
        <v>19</v>
      </c>
      <c r="D21">
        <v>22</v>
      </c>
      <c r="E21" s="5">
        <v>44384</v>
      </c>
      <c r="F21" s="10">
        <v>112780</v>
      </c>
      <c r="G21" t="s">
        <v>13</v>
      </c>
      <c r="H21" t="s">
        <v>206</v>
      </c>
      <c r="I21" s="17">
        <f ca="1">(TODAY()-allstaff[[#This Row],[Date Joined]])/365</f>
        <v>2.1534246575342464</v>
      </c>
      <c r="J21" s="11">
        <f ca="1">ROUNDUP(IF(allstaff[[#This Row],[Tenure in Years]]&gt;2,3%,2%)*allstaff[[#This Row],[Salary]],0)</f>
        <v>3384</v>
      </c>
      <c r="K21">
        <f>VLOOKUP(allstaff[[#This Row],[Rating]],$M$23:$N$27,2,FALSE)</f>
        <v>4</v>
      </c>
    </row>
    <row r="22" spans="1:14" x14ac:dyDescent="0.25">
      <c r="A22" t="s">
        <v>64</v>
      </c>
      <c r="B22" t="s">
        <v>15</v>
      </c>
      <c r="C22" t="s">
        <v>12</v>
      </c>
      <c r="D22">
        <v>20</v>
      </c>
      <c r="E22" s="5">
        <v>44183</v>
      </c>
      <c r="F22" s="10">
        <v>112650</v>
      </c>
      <c r="G22" t="s">
        <v>16</v>
      </c>
      <c r="H22" t="s">
        <v>205</v>
      </c>
      <c r="I22" s="17">
        <f ca="1">(TODAY()-allstaff[[#This Row],[Date Joined]])/365</f>
        <v>2.7041095890410958</v>
      </c>
      <c r="J22" s="11">
        <f ca="1">ROUNDUP(IF(allstaff[[#This Row],[Tenure in Years]]&gt;2,3%,2%)*allstaff[[#This Row],[Salary]],0)</f>
        <v>3380</v>
      </c>
      <c r="K22">
        <f>VLOOKUP(allstaff[[#This Row],[Rating]],$M$23:$N$27,2,FALSE)</f>
        <v>3</v>
      </c>
      <c r="M22" s="14" t="s">
        <v>6</v>
      </c>
    </row>
    <row r="23" spans="1:14" x14ac:dyDescent="0.25">
      <c r="A23" t="s">
        <v>178</v>
      </c>
      <c r="B23" t="s">
        <v>15</v>
      </c>
      <c r="C23" t="s">
        <v>9</v>
      </c>
      <c r="D23">
        <v>34</v>
      </c>
      <c r="E23" s="5">
        <v>44642</v>
      </c>
      <c r="F23" s="10">
        <v>112650</v>
      </c>
      <c r="G23" t="s">
        <v>16</v>
      </c>
      <c r="H23" t="s">
        <v>206</v>
      </c>
      <c r="I23" s="17">
        <f ca="1">(TODAY()-allstaff[[#This Row],[Date Joined]])/365</f>
        <v>1.4465753424657535</v>
      </c>
      <c r="J23" s="11">
        <f ca="1">ROUNDUP(IF(allstaff[[#This Row],[Tenure in Years]]&gt;2,3%,2%)*allstaff[[#This Row],[Salary]],0)</f>
        <v>2253</v>
      </c>
      <c r="K23">
        <f>VLOOKUP(allstaff[[#This Row],[Rating]],$M$23:$N$27,2,FALSE)</f>
        <v>3</v>
      </c>
      <c r="M23" s="14" t="s">
        <v>10</v>
      </c>
      <c r="N23" s="14">
        <v>5</v>
      </c>
    </row>
    <row r="24" spans="1:14" x14ac:dyDescent="0.25">
      <c r="A24" t="s">
        <v>156</v>
      </c>
      <c r="B24" t="s">
        <v>15</v>
      </c>
      <c r="C24" t="s">
        <v>12</v>
      </c>
      <c r="D24">
        <v>20</v>
      </c>
      <c r="E24" s="5">
        <v>44122</v>
      </c>
      <c r="F24" s="10">
        <v>112650</v>
      </c>
      <c r="G24" t="s">
        <v>16</v>
      </c>
      <c r="H24" t="s">
        <v>206</v>
      </c>
      <c r="I24" s="17">
        <f ca="1">(TODAY()-allstaff[[#This Row],[Date Joined]])/365</f>
        <v>2.871232876712329</v>
      </c>
      <c r="J24" s="11">
        <f ca="1">ROUNDUP(IF(allstaff[[#This Row],[Tenure in Years]]&gt;2,3%,2%)*allstaff[[#This Row],[Salary]],0)</f>
        <v>3380</v>
      </c>
      <c r="K24">
        <f>VLOOKUP(allstaff[[#This Row],[Rating]],$M$23:$N$27,2,FALSE)</f>
        <v>3</v>
      </c>
      <c r="M24" s="14" t="s">
        <v>13</v>
      </c>
      <c r="N24" s="14">
        <v>4</v>
      </c>
    </row>
    <row r="25" spans="1:14" x14ac:dyDescent="0.25">
      <c r="A25" t="s">
        <v>81</v>
      </c>
      <c r="B25" t="s">
        <v>8</v>
      </c>
      <c r="C25" t="s">
        <v>9</v>
      </c>
      <c r="D25">
        <v>30</v>
      </c>
      <c r="E25" s="5">
        <v>44861</v>
      </c>
      <c r="F25" s="10">
        <v>112570</v>
      </c>
      <c r="G25" t="s">
        <v>16</v>
      </c>
      <c r="H25" t="s">
        <v>205</v>
      </c>
      <c r="I25" s="17">
        <f ca="1">(TODAY()-allstaff[[#This Row],[Date Joined]])/365</f>
        <v>0.84657534246575339</v>
      </c>
      <c r="J25" s="11">
        <f ca="1">ROUNDUP(IF(allstaff[[#This Row],[Tenure in Years]]&gt;2,3%,2%)*allstaff[[#This Row],[Salary]],0)</f>
        <v>2252</v>
      </c>
      <c r="K25">
        <f>VLOOKUP(allstaff[[#This Row],[Rating]],$M$23:$N$27,2,FALSE)</f>
        <v>3</v>
      </c>
      <c r="M25" s="14" t="s">
        <v>16</v>
      </c>
      <c r="N25" s="14">
        <v>3</v>
      </c>
    </row>
    <row r="26" spans="1:14" x14ac:dyDescent="0.25">
      <c r="A26" t="s">
        <v>173</v>
      </c>
      <c r="B26" t="s">
        <v>8</v>
      </c>
      <c r="C26" t="s">
        <v>9</v>
      </c>
      <c r="D26">
        <v>30</v>
      </c>
      <c r="E26" s="5">
        <v>44800</v>
      </c>
      <c r="F26" s="10">
        <v>112570</v>
      </c>
      <c r="G26" t="s">
        <v>16</v>
      </c>
      <c r="H26" t="s">
        <v>206</v>
      </c>
      <c r="I26" s="17">
        <f ca="1">(TODAY()-allstaff[[#This Row],[Date Joined]])/365</f>
        <v>1.0136986301369864</v>
      </c>
      <c r="J26" s="11">
        <f ca="1">ROUNDUP(IF(allstaff[[#This Row],[Tenure in Years]]&gt;2,3%,2%)*allstaff[[#This Row],[Salary]],0)</f>
        <v>2252</v>
      </c>
      <c r="K26">
        <f>VLOOKUP(allstaff[[#This Row],[Rating]],$M$23:$N$27,2,FALSE)</f>
        <v>3</v>
      </c>
      <c r="M26" s="14" t="s">
        <v>24</v>
      </c>
      <c r="N26" s="14">
        <v>2</v>
      </c>
    </row>
    <row r="27" spans="1:14" x14ac:dyDescent="0.25">
      <c r="A27" t="s">
        <v>87</v>
      </c>
      <c r="B27" t="s">
        <v>15</v>
      </c>
      <c r="C27" t="s">
        <v>12</v>
      </c>
      <c r="D27">
        <v>29</v>
      </c>
      <c r="E27" s="5">
        <v>44180</v>
      </c>
      <c r="F27" s="10">
        <v>112110</v>
      </c>
      <c r="G27" t="s">
        <v>24</v>
      </c>
      <c r="H27" t="s">
        <v>205</v>
      </c>
      <c r="I27" s="17">
        <f ca="1">(TODAY()-allstaff[[#This Row],[Date Joined]])/365</f>
        <v>2.7123287671232879</v>
      </c>
      <c r="J27" s="11">
        <f ca="1">ROUNDUP(IF(allstaff[[#This Row],[Tenure in Years]]&gt;2,3%,2%)*allstaff[[#This Row],[Salary]],0)</f>
        <v>3364</v>
      </c>
      <c r="K27">
        <f>VLOOKUP(allstaff[[#This Row],[Rating]],$M$23:$N$27,2,FALSE)</f>
        <v>2</v>
      </c>
      <c r="M27" s="14" t="s">
        <v>42</v>
      </c>
      <c r="N27" s="14">
        <v>1</v>
      </c>
    </row>
    <row r="28" spans="1:14" x14ac:dyDescent="0.25">
      <c r="A28" t="s">
        <v>180</v>
      </c>
      <c r="B28" t="s">
        <v>15</v>
      </c>
      <c r="C28" t="s">
        <v>12</v>
      </c>
      <c r="D28">
        <v>29</v>
      </c>
      <c r="E28" s="5">
        <v>44119</v>
      </c>
      <c r="F28" s="10">
        <v>112110</v>
      </c>
      <c r="G28" t="s">
        <v>24</v>
      </c>
      <c r="H28" t="s">
        <v>206</v>
      </c>
      <c r="I28" s="17">
        <f ca="1">(TODAY()-allstaff[[#This Row],[Date Joined]])/365</f>
        <v>2.8794520547945206</v>
      </c>
      <c r="J28" s="11">
        <f ca="1">ROUNDUP(IF(allstaff[[#This Row],[Tenure in Years]]&gt;2,3%,2%)*allstaff[[#This Row],[Salary]],0)</f>
        <v>3364</v>
      </c>
      <c r="K28">
        <f>VLOOKUP(allstaff[[#This Row],[Rating]],$M$23:$N$27,2,FALSE)</f>
        <v>2</v>
      </c>
    </row>
    <row r="29" spans="1:14" x14ac:dyDescent="0.25">
      <c r="A29" t="s">
        <v>34</v>
      </c>
      <c r="B29" t="s">
        <v>15</v>
      </c>
      <c r="C29" t="s">
        <v>9</v>
      </c>
      <c r="D29">
        <v>25</v>
      </c>
      <c r="E29" s="5">
        <v>44726</v>
      </c>
      <c r="F29" s="10">
        <v>109190</v>
      </c>
      <c r="G29" t="s">
        <v>13</v>
      </c>
      <c r="H29" t="s">
        <v>205</v>
      </c>
      <c r="I29" s="17">
        <f ca="1">(TODAY()-allstaff[[#This Row],[Date Joined]])/365</f>
        <v>1.2164383561643837</v>
      </c>
      <c r="J29" s="11">
        <f ca="1">ROUNDUP(IF(allstaff[[#This Row],[Tenure in Years]]&gt;2,3%,2%)*allstaff[[#This Row],[Salary]],0)</f>
        <v>2184</v>
      </c>
      <c r="K29">
        <f>VLOOKUP(allstaff[[#This Row],[Rating]],$M$23:$N$27,2,FALSE)</f>
        <v>4</v>
      </c>
    </row>
    <row r="30" spans="1:14" x14ac:dyDescent="0.25">
      <c r="A30" t="s">
        <v>128</v>
      </c>
      <c r="B30" t="s">
        <v>15</v>
      </c>
      <c r="C30" t="s">
        <v>9</v>
      </c>
      <c r="D30">
        <v>25</v>
      </c>
      <c r="E30" s="5">
        <v>44665</v>
      </c>
      <c r="F30" s="10">
        <v>109190</v>
      </c>
      <c r="G30" t="s">
        <v>13</v>
      </c>
      <c r="H30" t="s">
        <v>206</v>
      </c>
      <c r="I30" s="17">
        <f ca="1">(TODAY()-allstaff[[#This Row],[Date Joined]])/365</f>
        <v>1.3835616438356164</v>
      </c>
      <c r="J30" s="11">
        <f ca="1">ROUNDUP(IF(allstaff[[#This Row],[Tenure in Years]]&gt;2,3%,2%)*allstaff[[#This Row],[Salary]],0)</f>
        <v>2184</v>
      </c>
      <c r="K30">
        <f>VLOOKUP(allstaff[[#This Row],[Rating]],$M$23:$N$27,2,FALSE)</f>
        <v>4</v>
      </c>
    </row>
    <row r="31" spans="1:14" x14ac:dyDescent="0.25">
      <c r="A31" t="s">
        <v>33</v>
      </c>
      <c r="B31" t="s">
        <v>8</v>
      </c>
      <c r="C31" t="s">
        <v>19</v>
      </c>
      <c r="D31">
        <v>38</v>
      </c>
      <c r="E31" s="5">
        <v>44377</v>
      </c>
      <c r="F31" s="10">
        <v>109160</v>
      </c>
      <c r="G31" t="s">
        <v>10</v>
      </c>
      <c r="H31" t="s">
        <v>205</v>
      </c>
      <c r="I31" s="17">
        <f ca="1">(TODAY()-allstaff[[#This Row],[Date Joined]])/365</f>
        <v>2.1726027397260275</v>
      </c>
      <c r="J31" s="11">
        <f ca="1">ROUNDUP(IF(allstaff[[#This Row],[Tenure in Years]]&gt;2,3%,2%)*allstaff[[#This Row],[Salary]],0)</f>
        <v>3275</v>
      </c>
      <c r="K31">
        <f>VLOOKUP(allstaff[[#This Row],[Rating]],$M$23:$N$27,2,FALSE)</f>
        <v>5</v>
      </c>
    </row>
    <row r="32" spans="1:14" x14ac:dyDescent="0.25">
      <c r="A32" t="s">
        <v>127</v>
      </c>
      <c r="B32" t="s">
        <v>8</v>
      </c>
      <c r="C32" t="s">
        <v>19</v>
      </c>
      <c r="D32">
        <v>38</v>
      </c>
      <c r="E32" s="5">
        <v>44316</v>
      </c>
      <c r="F32" s="10">
        <v>109160</v>
      </c>
      <c r="G32" t="s">
        <v>10</v>
      </c>
      <c r="H32" t="s">
        <v>206</v>
      </c>
      <c r="I32" s="17">
        <f ca="1">(TODAY()-allstaff[[#This Row],[Date Joined]])/365</f>
        <v>2.3397260273972602</v>
      </c>
      <c r="J32" s="11">
        <f ca="1">ROUNDUP(IF(allstaff[[#This Row],[Tenure in Years]]&gt;2,3%,2%)*allstaff[[#This Row],[Salary]],0)</f>
        <v>3275</v>
      </c>
      <c r="K32">
        <f>VLOOKUP(allstaff[[#This Row],[Rating]],$M$23:$N$27,2,FALSE)</f>
        <v>5</v>
      </c>
    </row>
    <row r="33" spans="1:11" x14ac:dyDescent="0.25">
      <c r="A33" t="s">
        <v>22</v>
      </c>
      <c r="B33" t="s">
        <v>15</v>
      </c>
      <c r="C33" t="s">
        <v>12</v>
      </c>
      <c r="D33">
        <v>20</v>
      </c>
      <c r="E33" s="5">
        <v>44459</v>
      </c>
      <c r="F33" s="10">
        <v>107700</v>
      </c>
      <c r="G33" t="s">
        <v>16</v>
      </c>
      <c r="H33" t="s">
        <v>205</v>
      </c>
      <c r="I33" s="17">
        <f ca="1">(TODAY()-allstaff[[#This Row],[Date Joined]])/365</f>
        <v>1.9479452054794522</v>
      </c>
      <c r="J33" s="11">
        <f ca="1">ROUNDUP(IF(allstaff[[#This Row],[Tenure in Years]]&gt;2,3%,2%)*allstaff[[#This Row],[Salary]],0)</f>
        <v>2154</v>
      </c>
      <c r="K33">
        <f>VLOOKUP(allstaff[[#This Row],[Rating]],$M$23:$N$27,2,FALSE)</f>
        <v>3</v>
      </c>
    </row>
    <row r="34" spans="1:11" x14ac:dyDescent="0.25">
      <c r="A34" t="s">
        <v>117</v>
      </c>
      <c r="B34" t="s">
        <v>15</v>
      </c>
      <c r="C34" t="s">
        <v>12</v>
      </c>
      <c r="D34">
        <v>20</v>
      </c>
      <c r="E34" s="5">
        <v>44397</v>
      </c>
      <c r="F34" s="10">
        <v>107700</v>
      </c>
      <c r="G34" t="s">
        <v>16</v>
      </c>
      <c r="H34" t="s">
        <v>206</v>
      </c>
      <c r="I34" s="17">
        <f ca="1">(TODAY()-allstaff[[#This Row],[Date Joined]])/365</f>
        <v>2.117808219178082</v>
      </c>
      <c r="J34" s="11">
        <f ca="1">ROUNDUP(IF(allstaff[[#This Row],[Tenure in Years]]&gt;2,3%,2%)*allstaff[[#This Row],[Salary]],0)</f>
        <v>3231</v>
      </c>
      <c r="K34">
        <f>VLOOKUP(allstaff[[#This Row],[Rating]],$M$23:$N$27,2,FALSE)</f>
        <v>3</v>
      </c>
    </row>
    <row r="35" spans="1:11" x14ac:dyDescent="0.25">
      <c r="A35" t="s">
        <v>69</v>
      </c>
      <c r="B35" t="s">
        <v>15</v>
      </c>
      <c r="C35" t="s">
        <v>9</v>
      </c>
      <c r="D35">
        <v>23</v>
      </c>
      <c r="E35" s="5">
        <v>44440</v>
      </c>
      <c r="F35" s="10">
        <v>106460</v>
      </c>
      <c r="G35" t="s">
        <v>16</v>
      </c>
      <c r="H35" t="s">
        <v>205</v>
      </c>
      <c r="I35" s="17">
        <f ca="1">(TODAY()-allstaff[[#This Row],[Date Joined]])/365</f>
        <v>2</v>
      </c>
      <c r="J35" s="11">
        <f ca="1">ROUNDUP(IF(allstaff[[#This Row],[Tenure in Years]]&gt;2,3%,2%)*allstaff[[#This Row],[Salary]],0)</f>
        <v>2130</v>
      </c>
      <c r="K35">
        <f>VLOOKUP(allstaff[[#This Row],[Rating]],$M$23:$N$27,2,FALSE)</f>
        <v>3</v>
      </c>
    </row>
    <row r="36" spans="1:11" x14ac:dyDescent="0.25">
      <c r="A36" t="s">
        <v>161</v>
      </c>
      <c r="B36" t="s">
        <v>15</v>
      </c>
      <c r="C36" t="s">
        <v>9</v>
      </c>
      <c r="D36">
        <v>23</v>
      </c>
      <c r="E36" s="5">
        <v>44378</v>
      </c>
      <c r="F36" s="10">
        <v>106460</v>
      </c>
      <c r="G36" t="s">
        <v>16</v>
      </c>
      <c r="H36" t="s">
        <v>206</v>
      </c>
      <c r="I36" s="17">
        <f ca="1">(TODAY()-allstaff[[#This Row],[Date Joined]])/365</f>
        <v>2.1698630136986301</v>
      </c>
      <c r="J36" s="11">
        <f ca="1">ROUNDUP(IF(allstaff[[#This Row],[Tenure in Years]]&gt;2,3%,2%)*allstaff[[#This Row],[Salary]],0)</f>
        <v>3194</v>
      </c>
      <c r="K36">
        <f>VLOOKUP(allstaff[[#This Row],[Rating]],$M$23:$N$27,2,FALSE)</f>
        <v>3</v>
      </c>
    </row>
    <row r="37" spans="1:11" x14ac:dyDescent="0.25">
      <c r="A37" t="s">
        <v>43</v>
      </c>
      <c r="B37" t="s">
        <v>8</v>
      </c>
      <c r="C37" t="s">
        <v>9</v>
      </c>
      <c r="D37">
        <v>28</v>
      </c>
      <c r="E37" s="5">
        <v>44486</v>
      </c>
      <c r="F37" s="10">
        <v>104770</v>
      </c>
      <c r="G37" t="s">
        <v>16</v>
      </c>
      <c r="H37" t="s">
        <v>205</v>
      </c>
      <c r="I37" s="17">
        <f ca="1">(TODAY()-allstaff[[#This Row],[Date Joined]])/365</f>
        <v>1.8739726027397261</v>
      </c>
      <c r="J37" s="11">
        <f ca="1">ROUNDUP(IF(allstaff[[#This Row],[Tenure in Years]]&gt;2,3%,2%)*allstaff[[#This Row],[Salary]],0)</f>
        <v>2096</v>
      </c>
      <c r="K37">
        <f>VLOOKUP(allstaff[[#This Row],[Rating]],$M$23:$N$27,2,FALSE)</f>
        <v>3</v>
      </c>
    </row>
    <row r="38" spans="1:11" x14ac:dyDescent="0.25">
      <c r="A38" t="s">
        <v>136</v>
      </c>
      <c r="B38" t="s">
        <v>8</v>
      </c>
      <c r="C38" t="s">
        <v>9</v>
      </c>
      <c r="D38">
        <v>28</v>
      </c>
      <c r="E38" s="5">
        <v>44425</v>
      </c>
      <c r="F38" s="10">
        <v>104770</v>
      </c>
      <c r="G38" t="s">
        <v>16</v>
      </c>
      <c r="H38" t="s">
        <v>206</v>
      </c>
      <c r="I38" s="17">
        <f ca="1">(TODAY()-allstaff[[#This Row],[Date Joined]])/365</f>
        <v>2.0410958904109591</v>
      </c>
      <c r="J38" s="11">
        <f ca="1">ROUNDUP(IF(allstaff[[#This Row],[Tenure in Years]]&gt;2,3%,2%)*allstaff[[#This Row],[Salary]],0)</f>
        <v>3144</v>
      </c>
      <c r="K38">
        <f>VLOOKUP(allstaff[[#This Row],[Rating]],$M$23:$N$27,2,FALSE)</f>
        <v>3</v>
      </c>
    </row>
    <row r="39" spans="1:11" x14ac:dyDescent="0.25">
      <c r="A39" t="s">
        <v>101</v>
      </c>
      <c r="B39" t="s">
        <v>8</v>
      </c>
      <c r="C39" t="s">
        <v>12</v>
      </c>
      <c r="D39">
        <v>40</v>
      </c>
      <c r="E39" s="5">
        <v>44381</v>
      </c>
      <c r="F39" s="10">
        <v>104410</v>
      </c>
      <c r="G39" t="s">
        <v>16</v>
      </c>
      <c r="H39" t="s">
        <v>205</v>
      </c>
      <c r="I39" s="17">
        <f ca="1">(TODAY()-allstaff[[#This Row],[Date Joined]])/365</f>
        <v>2.1616438356164385</v>
      </c>
      <c r="J39" s="11">
        <f ca="1">ROUNDUP(IF(allstaff[[#This Row],[Tenure in Years]]&gt;2,3%,2%)*allstaff[[#This Row],[Salary]],0)</f>
        <v>3133</v>
      </c>
      <c r="K39">
        <f>VLOOKUP(allstaff[[#This Row],[Rating]],$M$23:$N$27,2,FALSE)</f>
        <v>3</v>
      </c>
    </row>
    <row r="40" spans="1:11" x14ac:dyDescent="0.25">
      <c r="A40" t="s">
        <v>194</v>
      </c>
      <c r="B40" t="s">
        <v>8</v>
      </c>
      <c r="C40" t="s">
        <v>12</v>
      </c>
      <c r="D40">
        <v>40</v>
      </c>
      <c r="E40" s="5">
        <v>44320</v>
      </c>
      <c r="F40" s="10">
        <v>104410</v>
      </c>
      <c r="G40" t="s">
        <v>16</v>
      </c>
      <c r="H40" t="s">
        <v>206</v>
      </c>
      <c r="I40" s="17">
        <f ca="1">(TODAY()-allstaff[[#This Row],[Date Joined]])/365</f>
        <v>2.3287671232876712</v>
      </c>
      <c r="J40" s="11">
        <f ca="1">ROUNDUP(IF(allstaff[[#This Row],[Tenure in Years]]&gt;2,3%,2%)*allstaff[[#This Row],[Salary]],0)</f>
        <v>3133</v>
      </c>
      <c r="K40">
        <f>VLOOKUP(allstaff[[#This Row],[Rating]],$M$23:$N$27,2,FALSE)</f>
        <v>3</v>
      </c>
    </row>
    <row r="41" spans="1:11" x14ac:dyDescent="0.25">
      <c r="A41" t="s">
        <v>96</v>
      </c>
      <c r="B41" t="s">
        <v>8</v>
      </c>
      <c r="C41" t="s">
        <v>9</v>
      </c>
      <c r="D41">
        <v>28</v>
      </c>
      <c r="E41" s="5">
        <v>44649</v>
      </c>
      <c r="F41" s="10">
        <v>104120</v>
      </c>
      <c r="G41" t="s">
        <v>16</v>
      </c>
      <c r="H41" t="s">
        <v>205</v>
      </c>
      <c r="I41" s="17">
        <f ca="1">(TODAY()-allstaff[[#This Row],[Date Joined]])/365</f>
        <v>1.4273972602739726</v>
      </c>
      <c r="J41" s="11">
        <f ca="1">ROUNDUP(IF(allstaff[[#This Row],[Tenure in Years]]&gt;2,3%,2%)*allstaff[[#This Row],[Salary]],0)</f>
        <v>2083</v>
      </c>
      <c r="K41">
        <f>VLOOKUP(allstaff[[#This Row],[Rating]],$M$23:$N$27,2,FALSE)</f>
        <v>3</v>
      </c>
    </row>
    <row r="42" spans="1:11" x14ac:dyDescent="0.25">
      <c r="A42" t="s">
        <v>189</v>
      </c>
      <c r="B42" t="s">
        <v>8</v>
      </c>
      <c r="C42" t="s">
        <v>9</v>
      </c>
      <c r="D42">
        <v>28</v>
      </c>
      <c r="E42" s="5">
        <v>44590</v>
      </c>
      <c r="F42" s="10">
        <v>104120</v>
      </c>
      <c r="G42" t="s">
        <v>16</v>
      </c>
      <c r="H42" t="s">
        <v>206</v>
      </c>
      <c r="I42" s="17">
        <f ca="1">(TODAY()-allstaff[[#This Row],[Date Joined]])/365</f>
        <v>1.5890410958904109</v>
      </c>
      <c r="J42" s="11">
        <f ca="1">ROUNDUP(IF(allstaff[[#This Row],[Tenure in Years]]&gt;2,3%,2%)*allstaff[[#This Row],[Salary]],0)</f>
        <v>2083</v>
      </c>
      <c r="K42">
        <f>VLOOKUP(allstaff[[#This Row],[Rating]],$M$23:$N$27,2,FALSE)</f>
        <v>3</v>
      </c>
    </row>
    <row r="43" spans="1:11" x14ac:dyDescent="0.25">
      <c r="A43" t="s">
        <v>50</v>
      </c>
      <c r="B43" t="s">
        <v>15</v>
      </c>
      <c r="C43" t="s">
        <v>9</v>
      </c>
      <c r="D43">
        <v>31</v>
      </c>
      <c r="E43" s="5">
        <v>44724</v>
      </c>
      <c r="F43" s="10">
        <v>103550</v>
      </c>
      <c r="G43" t="s">
        <v>16</v>
      </c>
      <c r="H43" t="s">
        <v>205</v>
      </c>
      <c r="I43" s="17">
        <f ca="1">(TODAY()-allstaff[[#This Row],[Date Joined]])/365</f>
        <v>1.2219178082191782</v>
      </c>
      <c r="J43" s="11">
        <f ca="1">ROUNDUP(IF(allstaff[[#This Row],[Tenure in Years]]&gt;2,3%,2%)*allstaff[[#This Row],[Salary]],0)</f>
        <v>2071</v>
      </c>
      <c r="K43">
        <f>VLOOKUP(allstaff[[#This Row],[Rating]],$M$23:$N$27,2,FALSE)</f>
        <v>3</v>
      </c>
    </row>
    <row r="44" spans="1:11" x14ac:dyDescent="0.25">
      <c r="A44" t="s">
        <v>143</v>
      </c>
      <c r="B44" t="s">
        <v>15</v>
      </c>
      <c r="C44" t="s">
        <v>9</v>
      </c>
      <c r="D44">
        <v>31</v>
      </c>
      <c r="E44" s="5">
        <v>44663</v>
      </c>
      <c r="F44" s="10">
        <v>103550</v>
      </c>
      <c r="G44" t="s">
        <v>16</v>
      </c>
      <c r="H44" t="s">
        <v>206</v>
      </c>
      <c r="I44" s="17">
        <f ca="1">(TODAY()-allstaff[[#This Row],[Date Joined]])/365</f>
        <v>1.3890410958904109</v>
      </c>
      <c r="J44" s="11">
        <f ca="1">ROUNDUP(IF(allstaff[[#This Row],[Tenure in Years]]&gt;2,3%,2%)*allstaff[[#This Row],[Salary]],0)</f>
        <v>2071</v>
      </c>
      <c r="K44">
        <f>VLOOKUP(allstaff[[#This Row],[Rating]],$M$23:$N$27,2,FALSE)</f>
        <v>3</v>
      </c>
    </row>
    <row r="45" spans="1:11" x14ac:dyDescent="0.25">
      <c r="A45" t="s">
        <v>103</v>
      </c>
      <c r="B45" t="s">
        <v>15</v>
      </c>
      <c r="C45" t="s">
        <v>12</v>
      </c>
      <c r="D45">
        <v>24</v>
      </c>
      <c r="E45" s="5">
        <v>44686</v>
      </c>
      <c r="F45" s="10">
        <v>100420</v>
      </c>
      <c r="G45" t="s">
        <v>16</v>
      </c>
      <c r="H45" t="s">
        <v>205</v>
      </c>
      <c r="I45" s="17">
        <f ca="1">(TODAY()-allstaff[[#This Row],[Date Joined]])/365</f>
        <v>1.3260273972602741</v>
      </c>
      <c r="J45" s="11">
        <f ca="1">ROUNDUP(IF(allstaff[[#This Row],[Tenure in Years]]&gt;2,3%,2%)*allstaff[[#This Row],[Salary]],0)</f>
        <v>2009</v>
      </c>
      <c r="K45">
        <f>VLOOKUP(allstaff[[#This Row],[Rating]],$M$23:$N$27,2,FALSE)</f>
        <v>3</v>
      </c>
    </row>
    <row r="46" spans="1:11" x14ac:dyDescent="0.25">
      <c r="A46" t="s">
        <v>196</v>
      </c>
      <c r="B46" t="s">
        <v>15</v>
      </c>
      <c r="C46" t="s">
        <v>12</v>
      </c>
      <c r="D46">
        <v>24</v>
      </c>
      <c r="E46" s="5">
        <v>44625</v>
      </c>
      <c r="F46" s="10">
        <v>100420</v>
      </c>
      <c r="G46" t="s">
        <v>16</v>
      </c>
      <c r="H46" t="s">
        <v>206</v>
      </c>
      <c r="I46" s="17">
        <f ca="1">(TODAY()-allstaff[[#This Row],[Date Joined]])/365</f>
        <v>1.4931506849315068</v>
      </c>
      <c r="J46" s="11">
        <f ca="1">ROUNDUP(IF(allstaff[[#This Row],[Tenure in Years]]&gt;2,3%,2%)*allstaff[[#This Row],[Salary]],0)</f>
        <v>2009</v>
      </c>
      <c r="K46">
        <f>VLOOKUP(allstaff[[#This Row],[Rating]],$M$23:$N$27,2,FALSE)</f>
        <v>3</v>
      </c>
    </row>
    <row r="47" spans="1:11" x14ac:dyDescent="0.25">
      <c r="A47" t="s">
        <v>107</v>
      </c>
      <c r="B47" t="s">
        <v>8</v>
      </c>
      <c r="C47" t="s">
        <v>9</v>
      </c>
      <c r="D47">
        <v>28</v>
      </c>
      <c r="E47" s="5">
        <v>44630</v>
      </c>
      <c r="F47" s="10">
        <v>99970</v>
      </c>
      <c r="G47" t="s">
        <v>16</v>
      </c>
      <c r="H47" t="s">
        <v>205</v>
      </c>
      <c r="I47" s="17">
        <f ca="1">(TODAY()-allstaff[[#This Row],[Date Joined]])/365</f>
        <v>1.4794520547945205</v>
      </c>
      <c r="J47" s="11">
        <f ca="1">ROUNDUP(IF(allstaff[[#This Row],[Tenure in Years]]&gt;2,3%,2%)*allstaff[[#This Row],[Salary]],0)</f>
        <v>2000</v>
      </c>
      <c r="K47">
        <f>VLOOKUP(allstaff[[#This Row],[Rating]],$M$23:$N$27,2,FALSE)</f>
        <v>3</v>
      </c>
    </row>
    <row r="48" spans="1:11" x14ac:dyDescent="0.25">
      <c r="A48" t="s">
        <v>200</v>
      </c>
      <c r="B48" t="s">
        <v>8</v>
      </c>
      <c r="C48" t="s">
        <v>9</v>
      </c>
      <c r="D48">
        <v>28</v>
      </c>
      <c r="E48" s="5">
        <v>44571</v>
      </c>
      <c r="F48" s="10">
        <v>99970</v>
      </c>
      <c r="G48" t="s">
        <v>16</v>
      </c>
      <c r="H48" t="s">
        <v>206</v>
      </c>
      <c r="I48" s="17">
        <f ca="1">(TODAY()-allstaff[[#This Row],[Date Joined]])/365</f>
        <v>1.6410958904109589</v>
      </c>
      <c r="J48" s="11">
        <f ca="1">ROUNDUP(IF(allstaff[[#This Row],[Tenure in Years]]&gt;2,3%,2%)*allstaff[[#This Row],[Salary]],0)</f>
        <v>2000</v>
      </c>
      <c r="K48">
        <f>VLOOKUP(allstaff[[#This Row],[Rating]],$M$23:$N$27,2,FALSE)</f>
        <v>3</v>
      </c>
    </row>
    <row r="49" spans="1:11" x14ac:dyDescent="0.25">
      <c r="A49" t="s">
        <v>105</v>
      </c>
      <c r="B49" t="s">
        <v>15</v>
      </c>
      <c r="C49" t="s">
        <v>9</v>
      </c>
      <c r="D49">
        <v>40</v>
      </c>
      <c r="E49" s="5">
        <v>44263</v>
      </c>
      <c r="F49" s="10">
        <v>99750</v>
      </c>
      <c r="G49" t="s">
        <v>16</v>
      </c>
      <c r="H49" t="s">
        <v>205</v>
      </c>
      <c r="I49" s="17">
        <f ca="1">(TODAY()-allstaff[[#This Row],[Date Joined]])/365</f>
        <v>2.484931506849315</v>
      </c>
      <c r="J49" s="11">
        <f ca="1">ROUNDUP(IF(allstaff[[#This Row],[Tenure in Years]]&gt;2,3%,2%)*allstaff[[#This Row],[Salary]],0)</f>
        <v>2993</v>
      </c>
      <c r="K49">
        <f>VLOOKUP(allstaff[[#This Row],[Rating]],$M$23:$N$27,2,FALSE)</f>
        <v>3</v>
      </c>
    </row>
    <row r="50" spans="1:11" x14ac:dyDescent="0.25">
      <c r="A50" t="s">
        <v>198</v>
      </c>
      <c r="B50" t="s">
        <v>15</v>
      </c>
      <c r="C50" t="s">
        <v>9</v>
      </c>
      <c r="D50">
        <v>40</v>
      </c>
      <c r="E50" s="5">
        <v>44204</v>
      </c>
      <c r="F50" s="10">
        <v>99750</v>
      </c>
      <c r="G50" t="s">
        <v>16</v>
      </c>
      <c r="H50" t="s">
        <v>206</v>
      </c>
      <c r="I50" s="17">
        <f ca="1">(TODAY()-allstaff[[#This Row],[Date Joined]])/365</f>
        <v>2.6465753424657534</v>
      </c>
      <c r="J50" s="11">
        <f ca="1">ROUNDUP(IF(allstaff[[#This Row],[Tenure in Years]]&gt;2,3%,2%)*allstaff[[#This Row],[Salary]],0)</f>
        <v>2993</v>
      </c>
      <c r="K50">
        <f>VLOOKUP(allstaff[[#This Row],[Rating]],$M$23:$N$27,2,FALSE)</f>
        <v>3</v>
      </c>
    </row>
    <row r="51" spans="1:11" x14ac:dyDescent="0.25">
      <c r="A51" t="s">
        <v>85</v>
      </c>
      <c r="B51" t="s">
        <v>15</v>
      </c>
      <c r="C51" t="s">
        <v>21</v>
      </c>
      <c r="D51">
        <v>30</v>
      </c>
      <c r="E51" s="5">
        <v>44606</v>
      </c>
      <c r="F51" s="10">
        <v>96800</v>
      </c>
      <c r="G51" t="s">
        <v>16</v>
      </c>
      <c r="H51" t="s">
        <v>205</v>
      </c>
      <c r="I51" s="17">
        <f ca="1">(TODAY()-allstaff[[#This Row],[Date Joined]])/365</f>
        <v>1.5452054794520549</v>
      </c>
      <c r="J51" s="11">
        <f ca="1">ROUNDUP(IF(allstaff[[#This Row],[Tenure in Years]]&gt;2,3%,2%)*allstaff[[#This Row],[Salary]],0)</f>
        <v>1936</v>
      </c>
      <c r="K51">
        <f>VLOOKUP(allstaff[[#This Row],[Rating]],$M$23:$N$27,2,FALSE)</f>
        <v>3</v>
      </c>
    </row>
    <row r="52" spans="1:11" x14ac:dyDescent="0.25">
      <c r="A52" t="s">
        <v>177</v>
      </c>
      <c r="B52" t="s">
        <v>15</v>
      </c>
      <c r="C52" t="s">
        <v>21</v>
      </c>
      <c r="D52">
        <v>30</v>
      </c>
      <c r="E52" s="5">
        <v>44544</v>
      </c>
      <c r="F52" s="10">
        <v>96800</v>
      </c>
      <c r="G52" t="s">
        <v>16</v>
      </c>
      <c r="H52" t="s">
        <v>206</v>
      </c>
      <c r="I52" s="17">
        <f ca="1">(TODAY()-allstaff[[#This Row],[Date Joined]])/365</f>
        <v>1.715068493150685</v>
      </c>
      <c r="J52" s="11">
        <f ca="1">ROUNDUP(IF(allstaff[[#This Row],[Tenure in Years]]&gt;2,3%,2%)*allstaff[[#This Row],[Salary]],0)</f>
        <v>1936</v>
      </c>
      <c r="K52">
        <f>VLOOKUP(allstaff[[#This Row],[Rating]],$M$23:$N$27,2,FALSE)</f>
        <v>3</v>
      </c>
    </row>
    <row r="53" spans="1:11" x14ac:dyDescent="0.25">
      <c r="A53" t="s">
        <v>71</v>
      </c>
      <c r="B53" t="s">
        <v>8</v>
      </c>
      <c r="C53" t="s">
        <v>12</v>
      </c>
      <c r="D53">
        <v>33</v>
      </c>
      <c r="E53" s="5">
        <v>44190</v>
      </c>
      <c r="F53" s="10">
        <v>96140</v>
      </c>
      <c r="G53" t="s">
        <v>16</v>
      </c>
      <c r="H53" t="s">
        <v>205</v>
      </c>
      <c r="I53" s="17">
        <f ca="1">(TODAY()-allstaff[[#This Row],[Date Joined]])/365</f>
        <v>2.6849315068493151</v>
      </c>
      <c r="J53" s="11">
        <f ca="1">ROUNDUP(IF(allstaff[[#This Row],[Tenure in Years]]&gt;2,3%,2%)*allstaff[[#This Row],[Salary]],0)</f>
        <v>2885</v>
      </c>
      <c r="K53">
        <f>VLOOKUP(allstaff[[#This Row],[Rating]],$M$23:$N$27,2,FALSE)</f>
        <v>3</v>
      </c>
    </row>
    <row r="54" spans="1:11" x14ac:dyDescent="0.25">
      <c r="A54" t="s">
        <v>163</v>
      </c>
      <c r="B54" t="s">
        <v>8</v>
      </c>
      <c r="C54" t="s">
        <v>12</v>
      </c>
      <c r="D54">
        <v>33</v>
      </c>
      <c r="E54" s="5">
        <v>44129</v>
      </c>
      <c r="F54" s="10">
        <v>96140</v>
      </c>
      <c r="G54" t="s">
        <v>16</v>
      </c>
      <c r="H54" t="s">
        <v>206</v>
      </c>
      <c r="I54" s="17">
        <f ca="1">(TODAY()-allstaff[[#This Row],[Date Joined]])/365</f>
        <v>2.8520547945205479</v>
      </c>
      <c r="J54" s="11">
        <f ca="1">ROUNDUP(IF(allstaff[[#This Row],[Tenure in Years]]&gt;2,3%,2%)*allstaff[[#This Row],[Salary]],0)</f>
        <v>2885</v>
      </c>
      <c r="K54">
        <f>VLOOKUP(allstaff[[#This Row],[Rating]],$M$23:$N$27,2,FALSE)</f>
        <v>3</v>
      </c>
    </row>
    <row r="55" spans="1:11" x14ac:dyDescent="0.25">
      <c r="A55" t="s">
        <v>77</v>
      </c>
      <c r="B55" t="s">
        <v>8</v>
      </c>
      <c r="C55" t="s">
        <v>19</v>
      </c>
      <c r="D55">
        <v>25</v>
      </c>
      <c r="E55" s="5">
        <v>44205</v>
      </c>
      <c r="F55" s="10">
        <v>92700</v>
      </c>
      <c r="G55" t="s">
        <v>16</v>
      </c>
      <c r="H55" t="s">
        <v>205</v>
      </c>
      <c r="I55" s="17">
        <f ca="1">(TODAY()-allstaff[[#This Row],[Date Joined]])/365</f>
        <v>2.6438356164383561</v>
      </c>
      <c r="J55" s="11">
        <f ca="1">ROUNDUP(IF(allstaff[[#This Row],[Tenure in Years]]&gt;2,3%,2%)*allstaff[[#This Row],[Salary]],0)</f>
        <v>2781</v>
      </c>
      <c r="K55">
        <f>VLOOKUP(allstaff[[#This Row],[Rating]],$M$23:$N$27,2,FALSE)</f>
        <v>3</v>
      </c>
    </row>
    <row r="56" spans="1:11" x14ac:dyDescent="0.25">
      <c r="A56" t="s">
        <v>169</v>
      </c>
      <c r="B56" t="s">
        <v>8</v>
      </c>
      <c r="C56" t="s">
        <v>19</v>
      </c>
      <c r="D56">
        <v>25</v>
      </c>
      <c r="E56" s="5">
        <v>44144</v>
      </c>
      <c r="F56" s="10">
        <v>92700</v>
      </c>
      <c r="G56" t="s">
        <v>16</v>
      </c>
      <c r="H56" t="s">
        <v>206</v>
      </c>
      <c r="I56" s="17">
        <f ca="1">(TODAY()-allstaff[[#This Row],[Date Joined]])/365</f>
        <v>2.8109589041095893</v>
      </c>
      <c r="J56" s="11">
        <f ca="1">ROUNDUP(IF(allstaff[[#This Row],[Tenure in Years]]&gt;2,3%,2%)*allstaff[[#This Row],[Salary]],0)</f>
        <v>2781</v>
      </c>
      <c r="K56">
        <f>VLOOKUP(allstaff[[#This Row],[Rating]],$M$23:$N$27,2,FALSE)</f>
        <v>3</v>
      </c>
    </row>
    <row r="57" spans="1:11" x14ac:dyDescent="0.25">
      <c r="A57" t="s">
        <v>102</v>
      </c>
      <c r="B57" t="s">
        <v>8</v>
      </c>
      <c r="C57" t="s">
        <v>21</v>
      </c>
      <c r="D57">
        <v>34</v>
      </c>
      <c r="E57" s="5">
        <v>44445</v>
      </c>
      <c r="F57" s="10">
        <v>92450</v>
      </c>
      <c r="G57" t="s">
        <v>16</v>
      </c>
      <c r="H57" t="s">
        <v>205</v>
      </c>
      <c r="I57" s="17">
        <f ca="1">(TODAY()-allstaff[[#This Row],[Date Joined]])/365</f>
        <v>1.9863013698630136</v>
      </c>
      <c r="J57" s="11">
        <f ca="1">ROUNDUP(IF(allstaff[[#This Row],[Tenure in Years]]&gt;2,3%,2%)*allstaff[[#This Row],[Salary]],0)</f>
        <v>1849</v>
      </c>
      <c r="K57">
        <f>VLOOKUP(allstaff[[#This Row],[Rating]],$M$23:$N$27,2,FALSE)</f>
        <v>3</v>
      </c>
    </row>
    <row r="58" spans="1:11" x14ac:dyDescent="0.25">
      <c r="A58" t="s">
        <v>195</v>
      </c>
      <c r="B58" t="s">
        <v>8</v>
      </c>
      <c r="C58" t="s">
        <v>21</v>
      </c>
      <c r="D58">
        <v>34</v>
      </c>
      <c r="E58" s="5">
        <v>44383</v>
      </c>
      <c r="F58" s="10">
        <v>92450</v>
      </c>
      <c r="G58" t="s">
        <v>16</v>
      </c>
      <c r="H58" t="s">
        <v>206</v>
      </c>
      <c r="I58" s="17">
        <f ca="1">(TODAY()-allstaff[[#This Row],[Date Joined]])/365</f>
        <v>2.1561643835616437</v>
      </c>
      <c r="J58" s="11">
        <f ca="1">ROUNDUP(IF(allstaff[[#This Row],[Tenure in Years]]&gt;2,3%,2%)*allstaff[[#This Row],[Salary]],0)</f>
        <v>2774</v>
      </c>
      <c r="K58">
        <f>VLOOKUP(allstaff[[#This Row],[Rating]],$M$23:$N$27,2,FALSE)</f>
        <v>3</v>
      </c>
    </row>
    <row r="59" spans="1:11" x14ac:dyDescent="0.25">
      <c r="A59" t="s">
        <v>68</v>
      </c>
      <c r="B59" t="s">
        <v>15</v>
      </c>
      <c r="C59" t="s">
        <v>21</v>
      </c>
      <c r="D59">
        <v>27</v>
      </c>
      <c r="E59" s="5">
        <v>44236</v>
      </c>
      <c r="F59" s="10">
        <v>91650</v>
      </c>
      <c r="G59" t="s">
        <v>13</v>
      </c>
      <c r="H59" t="s">
        <v>205</v>
      </c>
      <c r="I59" s="17">
        <f ca="1">(TODAY()-allstaff[[#This Row],[Date Joined]])/365</f>
        <v>2.558904109589041</v>
      </c>
      <c r="J59" s="11">
        <f ca="1">ROUNDUP(IF(allstaff[[#This Row],[Tenure in Years]]&gt;2,3%,2%)*allstaff[[#This Row],[Salary]],0)</f>
        <v>2750</v>
      </c>
      <c r="K59">
        <f>VLOOKUP(allstaff[[#This Row],[Rating]],$M$23:$N$27,2,FALSE)</f>
        <v>4</v>
      </c>
    </row>
    <row r="60" spans="1:11" x14ac:dyDescent="0.25">
      <c r="A60" t="s">
        <v>160</v>
      </c>
      <c r="B60" t="s">
        <v>15</v>
      </c>
      <c r="C60" t="s">
        <v>21</v>
      </c>
      <c r="D60">
        <v>27</v>
      </c>
      <c r="E60" s="5">
        <v>44174</v>
      </c>
      <c r="F60" s="10">
        <v>91650</v>
      </c>
      <c r="G60" t="s">
        <v>13</v>
      </c>
      <c r="H60" t="s">
        <v>206</v>
      </c>
      <c r="I60" s="17">
        <f ca="1">(TODAY()-allstaff[[#This Row],[Date Joined]])/365</f>
        <v>2.7287671232876711</v>
      </c>
      <c r="J60" s="11">
        <f ca="1">ROUNDUP(IF(allstaff[[#This Row],[Tenure in Years]]&gt;2,3%,2%)*allstaff[[#This Row],[Salary]],0)</f>
        <v>2750</v>
      </c>
      <c r="K60">
        <f>VLOOKUP(allstaff[[#This Row],[Rating]],$M$23:$N$27,2,FALSE)</f>
        <v>4</v>
      </c>
    </row>
    <row r="61" spans="1:11" x14ac:dyDescent="0.25">
      <c r="A61" t="s">
        <v>52</v>
      </c>
      <c r="B61" t="s">
        <v>207</v>
      </c>
      <c r="C61" t="s">
        <v>12</v>
      </c>
      <c r="D61">
        <v>32</v>
      </c>
      <c r="E61" s="5">
        <v>44774</v>
      </c>
      <c r="F61" s="10">
        <v>91310</v>
      </c>
      <c r="G61" t="s">
        <v>16</v>
      </c>
      <c r="H61" t="s">
        <v>205</v>
      </c>
      <c r="I61" s="17">
        <f ca="1">(TODAY()-allstaff[[#This Row],[Date Joined]])/365</f>
        <v>1.0849315068493151</v>
      </c>
      <c r="J61" s="11">
        <f ca="1">ROUNDUP(IF(allstaff[[#This Row],[Tenure in Years]]&gt;2,3%,2%)*allstaff[[#This Row],[Salary]],0)</f>
        <v>1827</v>
      </c>
      <c r="K61">
        <f>VLOOKUP(allstaff[[#This Row],[Rating]],$M$23:$N$27,2,FALSE)</f>
        <v>3</v>
      </c>
    </row>
    <row r="62" spans="1:11" x14ac:dyDescent="0.25">
      <c r="A62" t="s">
        <v>145</v>
      </c>
      <c r="B62" t="s">
        <v>207</v>
      </c>
      <c r="C62" t="s">
        <v>12</v>
      </c>
      <c r="D62">
        <v>32</v>
      </c>
      <c r="E62" s="5">
        <v>44713</v>
      </c>
      <c r="F62" s="10">
        <v>91310</v>
      </c>
      <c r="G62" t="s">
        <v>16</v>
      </c>
      <c r="H62" t="s">
        <v>206</v>
      </c>
      <c r="I62" s="17">
        <f ca="1">(TODAY()-allstaff[[#This Row],[Date Joined]])/365</f>
        <v>1.252054794520548</v>
      </c>
      <c r="J62" s="11">
        <f ca="1">ROUNDUP(IF(allstaff[[#This Row],[Tenure in Years]]&gt;2,3%,2%)*allstaff[[#This Row],[Salary]],0)</f>
        <v>1827</v>
      </c>
      <c r="K62">
        <f>VLOOKUP(allstaff[[#This Row],[Rating]],$M$23:$N$27,2,FALSE)</f>
        <v>3</v>
      </c>
    </row>
    <row r="63" spans="1:11" x14ac:dyDescent="0.25">
      <c r="A63" t="s">
        <v>11</v>
      </c>
      <c r="B63" t="s">
        <v>207</v>
      </c>
      <c r="C63" t="s">
        <v>12</v>
      </c>
      <c r="D63">
        <v>26</v>
      </c>
      <c r="E63" s="5">
        <v>44271</v>
      </c>
      <c r="F63" s="10">
        <v>90700</v>
      </c>
      <c r="G63" t="s">
        <v>13</v>
      </c>
      <c r="H63" t="s">
        <v>205</v>
      </c>
      <c r="I63" s="17">
        <f ca="1">(TODAY()-allstaff[[#This Row],[Date Joined]])/365</f>
        <v>2.463013698630137</v>
      </c>
      <c r="J63" s="11">
        <f ca="1">ROUNDUP(IF(allstaff[[#This Row],[Tenure in Years]]&gt;2,3%,2%)*allstaff[[#This Row],[Salary]],0)</f>
        <v>2721</v>
      </c>
      <c r="K63">
        <f>VLOOKUP(allstaff[[#This Row],[Rating]],$M$23:$N$27,2,FALSE)</f>
        <v>4</v>
      </c>
    </row>
    <row r="64" spans="1:11" x14ac:dyDescent="0.25">
      <c r="A64" t="s">
        <v>112</v>
      </c>
      <c r="B64" t="s">
        <v>207</v>
      </c>
      <c r="C64" t="s">
        <v>12</v>
      </c>
      <c r="D64">
        <v>27</v>
      </c>
      <c r="E64" s="5">
        <v>44212</v>
      </c>
      <c r="F64" s="10">
        <v>90700</v>
      </c>
      <c r="G64" t="s">
        <v>13</v>
      </c>
      <c r="H64" t="s">
        <v>206</v>
      </c>
      <c r="I64" s="17">
        <f ca="1">(TODAY()-allstaff[[#This Row],[Date Joined]])/365</f>
        <v>2.6246575342465754</v>
      </c>
      <c r="J64" s="11">
        <f ca="1">ROUNDUP(IF(allstaff[[#This Row],[Tenure in Years]]&gt;2,3%,2%)*allstaff[[#This Row],[Salary]],0)</f>
        <v>2721</v>
      </c>
      <c r="K64">
        <f>VLOOKUP(allstaff[[#This Row],[Rating]],$M$23:$N$27,2,FALSE)</f>
        <v>4</v>
      </c>
    </row>
    <row r="65" spans="1:11" x14ac:dyDescent="0.25">
      <c r="A65" t="s">
        <v>23</v>
      </c>
      <c r="B65" t="s">
        <v>15</v>
      </c>
      <c r="C65" t="s">
        <v>12</v>
      </c>
      <c r="D65">
        <v>37</v>
      </c>
      <c r="E65" s="5">
        <v>44338</v>
      </c>
      <c r="F65" s="10">
        <v>88050</v>
      </c>
      <c r="G65" t="s">
        <v>24</v>
      </c>
      <c r="H65" t="s">
        <v>205</v>
      </c>
      <c r="I65" s="17">
        <f ca="1">(TODAY()-allstaff[[#This Row],[Date Joined]])/365</f>
        <v>2.2794520547945205</v>
      </c>
      <c r="J65" s="11">
        <f ca="1">ROUNDUP(IF(allstaff[[#This Row],[Tenure in Years]]&gt;2,3%,2%)*allstaff[[#This Row],[Salary]],0)</f>
        <v>2642</v>
      </c>
      <c r="K65">
        <f>VLOOKUP(allstaff[[#This Row],[Rating]],$M$23:$N$27,2,FALSE)</f>
        <v>2</v>
      </c>
    </row>
    <row r="66" spans="1:11" x14ac:dyDescent="0.25">
      <c r="A66" t="s">
        <v>118</v>
      </c>
      <c r="B66" t="s">
        <v>15</v>
      </c>
      <c r="C66" t="s">
        <v>12</v>
      </c>
      <c r="D66">
        <v>37</v>
      </c>
      <c r="E66" s="5">
        <v>44277</v>
      </c>
      <c r="F66" s="10">
        <v>88050</v>
      </c>
      <c r="G66" t="s">
        <v>24</v>
      </c>
      <c r="H66" t="s">
        <v>206</v>
      </c>
      <c r="I66" s="17">
        <f ca="1">(TODAY()-allstaff[[#This Row],[Date Joined]])/365</f>
        <v>2.4465753424657533</v>
      </c>
      <c r="J66" s="11">
        <f ca="1">ROUNDUP(IF(allstaff[[#This Row],[Tenure in Years]]&gt;2,3%,2%)*allstaff[[#This Row],[Salary]],0)</f>
        <v>2642</v>
      </c>
      <c r="K66">
        <f>VLOOKUP(allstaff[[#This Row],[Rating]],$M$23:$N$27,2,FALSE)</f>
        <v>2</v>
      </c>
    </row>
    <row r="67" spans="1:11" x14ac:dyDescent="0.25">
      <c r="A67" t="s">
        <v>74</v>
      </c>
      <c r="B67" t="s">
        <v>8</v>
      </c>
      <c r="C67" t="s">
        <v>12</v>
      </c>
      <c r="D67">
        <v>40</v>
      </c>
      <c r="E67" s="5">
        <v>44337</v>
      </c>
      <c r="F67" s="10">
        <v>87620</v>
      </c>
      <c r="G67" t="s">
        <v>16</v>
      </c>
      <c r="H67" t="s">
        <v>205</v>
      </c>
      <c r="I67" s="17">
        <f ca="1">(TODAY()-allstaff[[#This Row],[Date Joined]])/365</f>
        <v>2.2821917808219179</v>
      </c>
      <c r="J67" s="11">
        <f ca="1">ROUNDUP(IF(allstaff[[#This Row],[Tenure in Years]]&gt;2,3%,2%)*allstaff[[#This Row],[Salary]],0)</f>
        <v>2629</v>
      </c>
      <c r="K67">
        <f>VLOOKUP(allstaff[[#This Row],[Rating]],$M$23:$N$27,2,FALSE)</f>
        <v>3</v>
      </c>
    </row>
    <row r="68" spans="1:11" x14ac:dyDescent="0.25">
      <c r="A68" t="s">
        <v>166</v>
      </c>
      <c r="B68" t="s">
        <v>8</v>
      </c>
      <c r="C68" t="s">
        <v>12</v>
      </c>
      <c r="D68">
        <v>40</v>
      </c>
      <c r="E68" s="5">
        <v>44276</v>
      </c>
      <c r="F68" s="10">
        <v>87620</v>
      </c>
      <c r="G68" t="s">
        <v>16</v>
      </c>
      <c r="H68" t="s">
        <v>206</v>
      </c>
      <c r="I68" s="17">
        <f ca="1">(TODAY()-allstaff[[#This Row],[Date Joined]])/365</f>
        <v>2.4493150684931506</v>
      </c>
      <c r="J68" s="11">
        <f ca="1">ROUNDUP(IF(allstaff[[#This Row],[Tenure in Years]]&gt;2,3%,2%)*allstaff[[#This Row],[Salary]],0)</f>
        <v>2629</v>
      </c>
      <c r="K68">
        <f>VLOOKUP(allstaff[[#This Row],[Rating]],$M$23:$N$27,2,FALSE)</f>
        <v>3</v>
      </c>
    </row>
    <row r="69" spans="1:11" x14ac:dyDescent="0.25">
      <c r="A69" t="s">
        <v>88</v>
      </c>
      <c r="B69" t="s">
        <v>8</v>
      </c>
      <c r="C69" t="s">
        <v>21</v>
      </c>
      <c r="D69">
        <v>33</v>
      </c>
      <c r="E69" s="5">
        <v>44809</v>
      </c>
      <c r="F69" s="10">
        <v>86570</v>
      </c>
      <c r="G69" t="s">
        <v>16</v>
      </c>
      <c r="H69" t="s">
        <v>205</v>
      </c>
      <c r="I69" s="17">
        <f ca="1">(TODAY()-allstaff[[#This Row],[Date Joined]])/365</f>
        <v>0.989041095890411</v>
      </c>
      <c r="J69" s="11">
        <f ca="1">ROUNDUP(IF(allstaff[[#This Row],[Tenure in Years]]&gt;2,3%,2%)*allstaff[[#This Row],[Salary]],0)</f>
        <v>1732</v>
      </c>
      <c r="K69">
        <f>VLOOKUP(allstaff[[#This Row],[Rating]],$M$23:$N$27,2,FALSE)</f>
        <v>3</v>
      </c>
    </row>
    <row r="70" spans="1:11" x14ac:dyDescent="0.25">
      <c r="A70" t="s">
        <v>181</v>
      </c>
      <c r="B70" t="s">
        <v>8</v>
      </c>
      <c r="C70" t="s">
        <v>21</v>
      </c>
      <c r="D70">
        <v>33</v>
      </c>
      <c r="E70" s="5">
        <v>44747</v>
      </c>
      <c r="F70" s="10">
        <v>86570</v>
      </c>
      <c r="G70" t="s">
        <v>16</v>
      </c>
      <c r="H70" t="s">
        <v>206</v>
      </c>
      <c r="I70" s="17">
        <f ca="1">(TODAY()-allstaff[[#This Row],[Date Joined]])/365</f>
        <v>1.1589041095890411</v>
      </c>
      <c r="J70" s="11">
        <f ca="1">ROUNDUP(IF(allstaff[[#This Row],[Tenure in Years]]&gt;2,3%,2%)*allstaff[[#This Row],[Salary]],0)</f>
        <v>1732</v>
      </c>
      <c r="K70">
        <f>VLOOKUP(allstaff[[#This Row],[Rating]],$M$23:$N$27,2,FALSE)</f>
        <v>3</v>
      </c>
    </row>
    <row r="71" spans="1:11" x14ac:dyDescent="0.25">
      <c r="A71" t="s">
        <v>28</v>
      </c>
      <c r="B71" t="s">
        <v>8</v>
      </c>
      <c r="C71" t="s">
        <v>21</v>
      </c>
      <c r="D71">
        <v>34</v>
      </c>
      <c r="E71" s="5">
        <v>44459</v>
      </c>
      <c r="F71" s="10">
        <v>85000</v>
      </c>
      <c r="G71" t="s">
        <v>16</v>
      </c>
      <c r="H71" t="s">
        <v>205</v>
      </c>
      <c r="I71" s="17">
        <f ca="1">(TODAY()-allstaff[[#This Row],[Date Joined]])/365</f>
        <v>1.9479452054794522</v>
      </c>
      <c r="J71" s="11">
        <f ca="1">ROUNDUP(IF(allstaff[[#This Row],[Tenure in Years]]&gt;2,3%,2%)*allstaff[[#This Row],[Salary]],0)</f>
        <v>1700</v>
      </c>
      <c r="K71">
        <f>VLOOKUP(allstaff[[#This Row],[Rating]],$M$23:$N$27,2,FALSE)</f>
        <v>3</v>
      </c>
    </row>
    <row r="72" spans="1:11" x14ac:dyDescent="0.25">
      <c r="A72" t="s">
        <v>122</v>
      </c>
      <c r="B72" t="s">
        <v>8</v>
      </c>
      <c r="C72" t="s">
        <v>21</v>
      </c>
      <c r="D72">
        <v>34</v>
      </c>
      <c r="E72" s="5">
        <v>44397</v>
      </c>
      <c r="F72" s="10">
        <v>85000</v>
      </c>
      <c r="G72" t="s">
        <v>16</v>
      </c>
      <c r="H72" t="s">
        <v>206</v>
      </c>
      <c r="I72" s="17">
        <f ca="1">(TODAY()-allstaff[[#This Row],[Date Joined]])/365</f>
        <v>2.117808219178082</v>
      </c>
      <c r="J72" s="11">
        <f ca="1">ROUNDUP(IF(allstaff[[#This Row],[Tenure in Years]]&gt;2,3%,2%)*allstaff[[#This Row],[Salary]],0)</f>
        <v>2550</v>
      </c>
      <c r="K72">
        <f>VLOOKUP(allstaff[[#This Row],[Rating]],$M$23:$N$27,2,FALSE)</f>
        <v>3</v>
      </c>
    </row>
    <row r="73" spans="1:11" x14ac:dyDescent="0.25">
      <c r="A73" t="s">
        <v>92</v>
      </c>
      <c r="B73" t="s">
        <v>8</v>
      </c>
      <c r="C73" t="s">
        <v>12</v>
      </c>
      <c r="D73">
        <v>27</v>
      </c>
      <c r="E73" s="5">
        <v>44686</v>
      </c>
      <c r="F73" s="10">
        <v>83750</v>
      </c>
      <c r="G73" t="s">
        <v>16</v>
      </c>
      <c r="H73" t="s">
        <v>205</v>
      </c>
      <c r="I73" s="17">
        <f ca="1">(TODAY()-allstaff[[#This Row],[Date Joined]])/365</f>
        <v>1.3260273972602741</v>
      </c>
      <c r="J73" s="11">
        <f ca="1">ROUNDUP(IF(allstaff[[#This Row],[Tenure in Years]]&gt;2,3%,2%)*allstaff[[#This Row],[Salary]],0)</f>
        <v>1675</v>
      </c>
      <c r="K73">
        <f>VLOOKUP(allstaff[[#This Row],[Rating]],$M$23:$N$27,2,FALSE)</f>
        <v>3</v>
      </c>
    </row>
    <row r="74" spans="1:11" x14ac:dyDescent="0.25">
      <c r="A74" t="s">
        <v>185</v>
      </c>
      <c r="B74" t="s">
        <v>8</v>
      </c>
      <c r="C74" t="s">
        <v>12</v>
      </c>
      <c r="D74">
        <v>27</v>
      </c>
      <c r="E74" s="5">
        <v>44625</v>
      </c>
      <c r="F74" s="10">
        <v>83750</v>
      </c>
      <c r="G74" t="s">
        <v>16</v>
      </c>
      <c r="H74" t="s">
        <v>206</v>
      </c>
      <c r="I74" s="17">
        <f ca="1">(TODAY()-allstaff[[#This Row],[Date Joined]])/365</f>
        <v>1.4931506849315068</v>
      </c>
      <c r="J74" s="11">
        <f ca="1">ROUNDUP(IF(allstaff[[#This Row],[Tenure in Years]]&gt;2,3%,2%)*allstaff[[#This Row],[Salary]],0)</f>
        <v>1675</v>
      </c>
      <c r="K74">
        <f>VLOOKUP(allstaff[[#This Row],[Rating]],$M$23:$N$27,2,FALSE)</f>
        <v>3</v>
      </c>
    </row>
    <row r="75" spans="1:11" x14ac:dyDescent="0.25">
      <c r="A75" t="s">
        <v>39</v>
      </c>
      <c r="B75" t="s">
        <v>8</v>
      </c>
      <c r="C75" t="s">
        <v>12</v>
      </c>
      <c r="D75">
        <v>25</v>
      </c>
      <c r="E75" s="5">
        <v>44694</v>
      </c>
      <c r="F75" s="10">
        <v>80700</v>
      </c>
      <c r="G75" t="s">
        <v>13</v>
      </c>
      <c r="H75" t="s">
        <v>205</v>
      </c>
      <c r="I75" s="17">
        <f ca="1">(TODAY()-allstaff[[#This Row],[Date Joined]])/365</f>
        <v>1.3041095890410959</v>
      </c>
      <c r="J75" s="11">
        <f ca="1">ROUNDUP(IF(allstaff[[#This Row],[Tenure in Years]]&gt;2,3%,2%)*allstaff[[#This Row],[Salary]],0)</f>
        <v>1614</v>
      </c>
      <c r="K75">
        <f>VLOOKUP(allstaff[[#This Row],[Rating]],$M$23:$N$27,2,FALSE)</f>
        <v>4</v>
      </c>
    </row>
    <row r="76" spans="1:11" x14ac:dyDescent="0.25">
      <c r="A76" t="s">
        <v>133</v>
      </c>
      <c r="B76" t="s">
        <v>8</v>
      </c>
      <c r="C76" t="s">
        <v>12</v>
      </c>
      <c r="D76">
        <v>25</v>
      </c>
      <c r="E76" s="5">
        <v>44633</v>
      </c>
      <c r="F76" s="10">
        <v>80700</v>
      </c>
      <c r="G76" t="s">
        <v>13</v>
      </c>
      <c r="H76" t="s">
        <v>206</v>
      </c>
      <c r="I76" s="17">
        <f ca="1">(TODAY()-allstaff[[#This Row],[Date Joined]])/365</f>
        <v>1.4712328767123288</v>
      </c>
      <c r="J76" s="11">
        <f ca="1">ROUNDUP(IF(allstaff[[#This Row],[Tenure in Years]]&gt;2,3%,2%)*allstaff[[#This Row],[Salary]],0)</f>
        <v>1614</v>
      </c>
      <c r="K76">
        <f>VLOOKUP(allstaff[[#This Row],[Rating]],$M$23:$N$27,2,FALSE)</f>
        <v>4</v>
      </c>
    </row>
    <row r="77" spans="1:11" x14ac:dyDescent="0.25">
      <c r="A77" t="s">
        <v>104</v>
      </c>
      <c r="B77" t="s">
        <v>15</v>
      </c>
      <c r="C77" t="s">
        <v>9</v>
      </c>
      <c r="D77">
        <v>20</v>
      </c>
      <c r="E77" s="5">
        <v>44744</v>
      </c>
      <c r="F77" s="10">
        <v>79570</v>
      </c>
      <c r="G77" t="s">
        <v>16</v>
      </c>
      <c r="H77" t="s">
        <v>205</v>
      </c>
      <c r="I77" s="17">
        <f ca="1">(TODAY()-allstaff[[#This Row],[Date Joined]])/365</f>
        <v>1.167123287671233</v>
      </c>
      <c r="J77" s="11">
        <f ca="1">ROUNDUP(IF(allstaff[[#This Row],[Tenure in Years]]&gt;2,3%,2%)*allstaff[[#This Row],[Salary]],0)</f>
        <v>1592</v>
      </c>
      <c r="K77">
        <f>VLOOKUP(allstaff[[#This Row],[Rating]],$M$23:$N$27,2,FALSE)</f>
        <v>3</v>
      </c>
    </row>
    <row r="78" spans="1:11" x14ac:dyDescent="0.25">
      <c r="A78" t="s">
        <v>197</v>
      </c>
      <c r="B78" t="s">
        <v>15</v>
      </c>
      <c r="C78" t="s">
        <v>9</v>
      </c>
      <c r="D78">
        <v>20</v>
      </c>
      <c r="E78" s="5">
        <v>44683</v>
      </c>
      <c r="F78" s="10">
        <v>79570</v>
      </c>
      <c r="G78" t="s">
        <v>16</v>
      </c>
      <c r="H78" t="s">
        <v>206</v>
      </c>
      <c r="I78" s="17">
        <f ca="1">(TODAY()-allstaff[[#This Row],[Date Joined]])/365</f>
        <v>1.3342465753424657</v>
      </c>
      <c r="J78" s="11">
        <f ca="1">ROUNDUP(IF(allstaff[[#This Row],[Tenure in Years]]&gt;2,3%,2%)*allstaff[[#This Row],[Salary]],0)</f>
        <v>1592</v>
      </c>
      <c r="K78">
        <f>VLOOKUP(allstaff[[#This Row],[Rating]],$M$23:$N$27,2,FALSE)</f>
        <v>3</v>
      </c>
    </row>
    <row r="79" spans="1:11" x14ac:dyDescent="0.25">
      <c r="A79" t="s">
        <v>48</v>
      </c>
      <c r="B79" t="s">
        <v>8</v>
      </c>
      <c r="C79" t="s">
        <v>19</v>
      </c>
      <c r="D79">
        <v>36</v>
      </c>
      <c r="E79" s="5">
        <v>44494</v>
      </c>
      <c r="F79" s="10">
        <v>78540</v>
      </c>
      <c r="G79" t="s">
        <v>16</v>
      </c>
      <c r="H79" t="s">
        <v>205</v>
      </c>
      <c r="I79" s="17">
        <f ca="1">(TODAY()-allstaff[[#This Row],[Date Joined]])/365</f>
        <v>1.8520547945205479</v>
      </c>
      <c r="J79" s="11">
        <f ca="1">ROUNDUP(IF(allstaff[[#This Row],[Tenure in Years]]&gt;2,3%,2%)*allstaff[[#This Row],[Salary]],0)</f>
        <v>1571</v>
      </c>
      <c r="K79">
        <f>VLOOKUP(allstaff[[#This Row],[Rating]],$M$23:$N$27,2,FALSE)</f>
        <v>3</v>
      </c>
    </row>
    <row r="80" spans="1:11" x14ac:dyDescent="0.25">
      <c r="A80" t="s">
        <v>141</v>
      </c>
      <c r="B80" t="s">
        <v>8</v>
      </c>
      <c r="C80" t="s">
        <v>19</v>
      </c>
      <c r="D80">
        <v>36</v>
      </c>
      <c r="E80" s="5">
        <v>44433</v>
      </c>
      <c r="F80" s="10">
        <v>78540</v>
      </c>
      <c r="G80" t="s">
        <v>16</v>
      </c>
      <c r="H80" t="s">
        <v>206</v>
      </c>
      <c r="I80" s="17">
        <f ca="1">(TODAY()-allstaff[[#This Row],[Date Joined]])/365</f>
        <v>2.0191780821917806</v>
      </c>
      <c r="J80" s="11">
        <f ca="1">ROUNDUP(IF(allstaff[[#This Row],[Tenure in Years]]&gt;2,3%,2%)*allstaff[[#This Row],[Salary]],0)</f>
        <v>2357</v>
      </c>
      <c r="K80">
        <f>VLOOKUP(allstaff[[#This Row],[Rating]],$M$23:$N$27,2,FALSE)</f>
        <v>3</v>
      </c>
    </row>
    <row r="81" spans="1:11" x14ac:dyDescent="0.25">
      <c r="A81" t="s">
        <v>72</v>
      </c>
      <c r="B81" t="s">
        <v>8</v>
      </c>
      <c r="C81" t="s">
        <v>9</v>
      </c>
      <c r="D81">
        <v>36</v>
      </c>
      <c r="E81" s="5">
        <v>44529</v>
      </c>
      <c r="F81" s="10">
        <v>78390</v>
      </c>
      <c r="G81" t="s">
        <v>16</v>
      </c>
      <c r="H81" t="s">
        <v>205</v>
      </c>
      <c r="I81" s="17">
        <f ca="1">(TODAY()-allstaff[[#This Row],[Date Joined]])/365</f>
        <v>1.7561643835616438</v>
      </c>
      <c r="J81" s="11">
        <f ca="1">ROUNDUP(IF(allstaff[[#This Row],[Tenure in Years]]&gt;2,3%,2%)*allstaff[[#This Row],[Salary]],0)</f>
        <v>1568</v>
      </c>
      <c r="K81">
        <f>VLOOKUP(allstaff[[#This Row],[Rating]],$M$23:$N$27,2,FALSE)</f>
        <v>3</v>
      </c>
    </row>
    <row r="82" spans="1:11" x14ac:dyDescent="0.25">
      <c r="A82" t="s">
        <v>164</v>
      </c>
      <c r="B82" t="s">
        <v>8</v>
      </c>
      <c r="C82" t="s">
        <v>9</v>
      </c>
      <c r="D82">
        <v>36</v>
      </c>
      <c r="E82" s="5">
        <v>44468</v>
      </c>
      <c r="F82" s="10">
        <v>78390</v>
      </c>
      <c r="G82" t="s">
        <v>16</v>
      </c>
      <c r="H82" t="s">
        <v>206</v>
      </c>
      <c r="I82" s="17">
        <f ca="1">(TODAY()-allstaff[[#This Row],[Date Joined]])/365</f>
        <v>1.9232876712328768</v>
      </c>
      <c r="J82" s="11">
        <f ca="1">ROUNDUP(IF(allstaff[[#This Row],[Tenure in Years]]&gt;2,3%,2%)*allstaff[[#This Row],[Salary]],0)</f>
        <v>1568</v>
      </c>
      <c r="K82">
        <f>VLOOKUP(allstaff[[#This Row],[Rating]],$M$23:$N$27,2,FALSE)</f>
        <v>3</v>
      </c>
    </row>
    <row r="83" spans="1:11" x14ac:dyDescent="0.25">
      <c r="A83" t="s">
        <v>62</v>
      </c>
      <c r="B83" t="s">
        <v>8</v>
      </c>
      <c r="C83" t="s">
        <v>9</v>
      </c>
      <c r="D83">
        <v>22</v>
      </c>
      <c r="E83" s="5">
        <v>44450</v>
      </c>
      <c r="F83" s="10">
        <v>76900</v>
      </c>
      <c r="G83" t="s">
        <v>13</v>
      </c>
      <c r="H83" t="s">
        <v>205</v>
      </c>
      <c r="I83" s="17">
        <f ca="1">(TODAY()-allstaff[[#This Row],[Date Joined]])/365</f>
        <v>1.9726027397260273</v>
      </c>
      <c r="J83" s="11">
        <f ca="1">ROUNDUP(IF(allstaff[[#This Row],[Tenure in Years]]&gt;2,3%,2%)*allstaff[[#This Row],[Salary]],0)</f>
        <v>1538</v>
      </c>
      <c r="K83">
        <f>VLOOKUP(allstaff[[#This Row],[Rating]],$M$23:$N$27,2,FALSE)</f>
        <v>4</v>
      </c>
    </row>
    <row r="84" spans="1:11" x14ac:dyDescent="0.25">
      <c r="A84" t="s">
        <v>154</v>
      </c>
      <c r="B84" t="s">
        <v>8</v>
      </c>
      <c r="C84" t="s">
        <v>9</v>
      </c>
      <c r="D84">
        <v>22</v>
      </c>
      <c r="E84" s="5">
        <v>44388</v>
      </c>
      <c r="F84" s="10">
        <v>76900</v>
      </c>
      <c r="G84" t="s">
        <v>13</v>
      </c>
      <c r="H84" t="s">
        <v>206</v>
      </c>
      <c r="I84" s="17">
        <f ca="1">(TODAY()-allstaff[[#This Row],[Date Joined]])/365</f>
        <v>2.1424657534246574</v>
      </c>
      <c r="J84" s="11">
        <f ca="1">ROUNDUP(IF(allstaff[[#This Row],[Tenure in Years]]&gt;2,3%,2%)*allstaff[[#This Row],[Salary]],0)</f>
        <v>2307</v>
      </c>
      <c r="K84">
        <f>VLOOKUP(allstaff[[#This Row],[Rating]],$M$23:$N$27,2,FALSE)</f>
        <v>4</v>
      </c>
    </row>
    <row r="85" spans="1:11" x14ac:dyDescent="0.25">
      <c r="A85" t="s">
        <v>35</v>
      </c>
      <c r="B85" t="s">
        <v>8</v>
      </c>
      <c r="C85" t="s">
        <v>21</v>
      </c>
      <c r="D85">
        <v>28</v>
      </c>
      <c r="E85" s="5">
        <v>44185</v>
      </c>
      <c r="F85" s="10">
        <v>75970</v>
      </c>
      <c r="G85" t="s">
        <v>16</v>
      </c>
      <c r="H85" t="s">
        <v>205</v>
      </c>
      <c r="I85" s="17">
        <f ca="1">(TODAY()-allstaff[[#This Row],[Date Joined]])/365</f>
        <v>2.6986301369863015</v>
      </c>
      <c r="J85" s="11">
        <f ca="1">ROUNDUP(IF(allstaff[[#This Row],[Tenure in Years]]&gt;2,3%,2%)*allstaff[[#This Row],[Salary]],0)</f>
        <v>2280</v>
      </c>
      <c r="K85">
        <f>VLOOKUP(allstaff[[#This Row],[Rating]],$M$23:$N$27,2,FALSE)</f>
        <v>3</v>
      </c>
    </row>
    <row r="86" spans="1:11" x14ac:dyDescent="0.25">
      <c r="A86" t="s">
        <v>129</v>
      </c>
      <c r="B86" t="s">
        <v>8</v>
      </c>
      <c r="C86" t="s">
        <v>21</v>
      </c>
      <c r="D86">
        <v>28</v>
      </c>
      <c r="E86" s="5">
        <v>44124</v>
      </c>
      <c r="F86" s="10">
        <v>75970</v>
      </c>
      <c r="G86" t="s">
        <v>16</v>
      </c>
      <c r="H86" t="s">
        <v>206</v>
      </c>
      <c r="I86" s="17">
        <f ca="1">(TODAY()-allstaff[[#This Row],[Date Joined]])/365</f>
        <v>2.8657534246575342</v>
      </c>
      <c r="J86" s="11">
        <f ca="1">ROUNDUP(IF(allstaff[[#This Row],[Tenure in Years]]&gt;2,3%,2%)*allstaff[[#This Row],[Salary]],0)</f>
        <v>2280</v>
      </c>
      <c r="K86">
        <f>VLOOKUP(allstaff[[#This Row],[Rating]],$M$23:$N$27,2,FALSE)</f>
        <v>3</v>
      </c>
    </row>
    <row r="87" spans="1:11" x14ac:dyDescent="0.25">
      <c r="A87" t="s">
        <v>78</v>
      </c>
      <c r="B87" t="s">
        <v>15</v>
      </c>
      <c r="C87" t="s">
        <v>56</v>
      </c>
      <c r="D87">
        <v>21</v>
      </c>
      <c r="E87" s="5">
        <v>44242</v>
      </c>
      <c r="F87" s="10">
        <v>75880</v>
      </c>
      <c r="G87" t="s">
        <v>16</v>
      </c>
      <c r="H87" t="s">
        <v>205</v>
      </c>
      <c r="I87" s="17">
        <f ca="1">(TODAY()-allstaff[[#This Row],[Date Joined]])/365</f>
        <v>2.5424657534246577</v>
      </c>
      <c r="J87" s="11">
        <f ca="1">ROUNDUP(IF(allstaff[[#This Row],[Tenure in Years]]&gt;2,3%,2%)*allstaff[[#This Row],[Salary]],0)</f>
        <v>2277</v>
      </c>
      <c r="K87">
        <f>VLOOKUP(allstaff[[#This Row],[Rating]],$M$23:$N$27,2,FALSE)</f>
        <v>3</v>
      </c>
    </row>
    <row r="88" spans="1:11" x14ac:dyDescent="0.25">
      <c r="A88" t="s">
        <v>170</v>
      </c>
      <c r="B88" t="s">
        <v>15</v>
      </c>
      <c r="C88" t="s">
        <v>56</v>
      </c>
      <c r="D88">
        <v>21</v>
      </c>
      <c r="E88" s="5">
        <v>44180</v>
      </c>
      <c r="F88" s="10">
        <v>75880</v>
      </c>
      <c r="G88" t="s">
        <v>16</v>
      </c>
      <c r="H88" t="s">
        <v>206</v>
      </c>
      <c r="I88" s="17">
        <f ca="1">(TODAY()-allstaff[[#This Row],[Date Joined]])/365</f>
        <v>2.7123287671232879</v>
      </c>
      <c r="J88" s="11">
        <f ca="1">ROUNDUP(IF(allstaff[[#This Row],[Tenure in Years]]&gt;2,3%,2%)*allstaff[[#This Row],[Salary]],0)</f>
        <v>2277</v>
      </c>
      <c r="K88">
        <f>VLOOKUP(allstaff[[#This Row],[Rating]],$M$23:$N$27,2,FALSE)</f>
        <v>3</v>
      </c>
    </row>
    <row r="89" spans="1:11" x14ac:dyDescent="0.25">
      <c r="A89" t="s">
        <v>41</v>
      </c>
      <c r="B89" t="s">
        <v>8</v>
      </c>
      <c r="C89" t="s">
        <v>12</v>
      </c>
      <c r="D89">
        <v>33</v>
      </c>
      <c r="E89" s="5">
        <v>44374</v>
      </c>
      <c r="F89" s="10">
        <v>75480</v>
      </c>
      <c r="G89" t="s">
        <v>42</v>
      </c>
      <c r="H89" t="s">
        <v>205</v>
      </c>
      <c r="I89" s="17">
        <f ca="1">(TODAY()-allstaff[[#This Row],[Date Joined]])/365</f>
        <v>2.1808219178082191</v>
      </c>
      <c r="J89" s="11">
        <f ca="1">ROUNDUP(IF(allstaff[[#This Row],[Tenure in Years]]&gt;2,3%,2%)*allstaff[[#This Row],[Salary]],0)</f>
        <v>2265</v>
      </c>
      <c r="K89">
        <f>VLOOKUP(allstaff[[#This Row],[Rating]],$M$23:$N$27,2,FALSE)</f>
        <v>1</v>
      </c>
    </row>
    <row r="90" spans="1:11" x14ac:dyDescent="0.25">
      <c r="A90" t="s">
        <v>135</v>
      </c>
      <c r="B90" t="s">
        <v>8</v>
      </c>
      <c r="C90" t="s">
        <v>12</v>
      </c>
      <c r="D90">
        <v>33</v>
      </c>
      <c r="E90" s="5">
        <v>44313</v>
      </c>
      <c r="F90" s="10">
        <v>75480</v>
      </c>
      <c r="G90" t="s">
        <v>42</v>
      </c>
      <c r="H90" t="s">
        <v>206</v>
      </c>
      <c r="I90" s="17">
        <f ca="1">(TODAY()-allstaff[[#This Row],[Date Joined]])/365</f>
        <v>2.3479452054794518</v>
      </c>
      <c r="J90" s="11">
        <f ca="1">ROUNDUP(IF(allstaff[[#This Row],[Tenure in Years]]&gt;2,3%,2%)*allstaff[[#This Row],[Salary]],0)</f>
        <v>2265</v>
      </c>
      <c r="K90">
        <f>VLOOKUP(allstaff[[#This Row],[Rating]],$M$23:$N$27,2,FALSE)</f>
        <v>1</v>
      </c>
    </row>
    <row r="91" spans="1:11" x14ac:dyDescent="0.25">
      <c r="A91" t="s">
        <v>95</v>
      </c>
      <c r="B91" t="s">
        <v>8</v>
      </c>
      <c r="C91" t="s">
        <v>12</v>
      </c>
      <c r="D91">
        <v>33</v>
      </c>
      <c r="E91" s="5">
        <v>44312</v>
      </c>
      <c r="F91" s="10">
        <v>75280</v>
      </c>
      <c r="G91" t="s">
        <v>16</v>
      </c>
      <c r="H91" t="s">
        <v>205</v>
      </c>
      <c r="I91" s="17">
        <f ca="1">(TODAY()-allstaff[[#This Row],[Date Joined]])/365</f>
        <v>2.3506849315068492</v>
      </c>
      <c r="J91" s="11">
        <f ca="1">ROUNDUP(IF(allstaff[[#This Row],[Tenure in Years]]&gt;2,3%,2%)*allstaff[[#This Row],[Salary]],0)</f>
        <v>2259</v>
      </c>
      <c r="K91">
        <f>VLOOKUP(allstaff[[#This Row],[Rating]],$M$23:$N$27,2,FALSE)</f>
        <v>3</v>
      </c>
    </row>
    <row r="92" spans="1:11" x14ac:dyDescent="0.25">
      <c r="A92" t="s">
        <v>188</v>
      </c>
      <c r="B92" t="s">
        <v>8</v>
      </c>
      <c r="C92" t="s">
        <v>12</v>
      </c>
      <c r="D92">
        <v>33</v>
      </c>
      <c r="E92" s="5">
        <v>44253</v>
      </c>
      <c r="F92" s="10">
        <v>75280</v>
      </c>
      <c r="G92" t="s">
        <v>16</v>
      </c>
      <c r="H92" t="s">
        <v>206</v>
      </c>
      <c r="I92" s="17">
        <f ca="1">(TODAY()-allstaff[[#This Row],[Date Joined]])/365</f>
        <v>2.5123287671232877</v>
      </c>
      <c r="J92" s="11">
        <f ca="1">ROUNDUP(IF(allstaff[[#This Row],[Tenure in Years]]&gt;2,3%,2%)*allstaff[[#This Row],[Salary]],0)</f>
        <v>2259</v>
      </c>
      <c r="K92">
        <f>VLOOKUP(allstaff[[#This Row],[Rating]],$M$23:$N$27,2,FALSE)</f>
        <v>3</v>
      </c>
    </row>
    <row r="93" spans="1:11" x14ac:dyDescent="0.25">
      <c r="A93" t="s">
        <v>7</v>
      </c>
      <c r="B93" t="s">
        <v>8</v>
      </c>
      <c r="C93" t="s">
        <v>9</v>
      </c>
      <c r="D93">
        <v>42</v>
      </c>
      <c r="E93" s="5">
        <v>44779</v>
      </c>
      <c r="F93" s="10">
        <v>75000</v>
      </c>
      <c r="G93" t="s">
        <v>10</v>
      </c>
      <c r="H93" t="s">
        <v>205</v>
      </c>
      <c r="I93" s="17">
        <f ca="1">(TODAY()-allstaff[[#This Row],[Date Joined]])/365</f>
        <v>1.0712328767123287</v>
      </c>
      <c r="J93" s="11">
        <f ca="1">ROUNDUP(IF(allstaff[[#This Row],[Tenure in Years]]&gt;2,3%,2%)*allstaff[[#This Row],[Salary]],0)</f>
        <v>1500</v>
      </c>
      <c r="K93">
        <f>VLOOKUP(allstaff[[#This Row],[Rating]],$M$23:$N$27,2,FALSE)</f>
        <v>5</v>
      </c>
    </row>
    <row r="94" spans="1:11" x14ac:dyDescent="0.25">
      <c r="A94" t="s">
        <v>111</v>
      </c>
      <c r="B94" t="s">
        <v>8</v>
      </c>
      <c r="C94" t="s">
        <v>9</v>
      </c>
      <c r="D94">
        <v>42</v>
      </c>
      <c r="E94" s="5">
        <v>44718</v>
      </c>
      <c r="F94" s="10">
        <v>75000</v>
      </c>
      <c r="G94" t="s">
        <v>10</v>
      </c>
      <c r="H94" t="s">
        <v>206</v>
      </c>
      <c r="I94" s="17">
        <f ca="1">(TODAY()-allstaff[[#This Row],[Date Joined]])/365</f>
        <v>1.2383561643835617</v>
      </c>
      <c r="J94" s="11">
        <f ca="1">ROUNDUP(IF(allstaff[[#This Row],[Tenure in Years]]&gt;2,3%,2%)*allstaff[[#This Row],[Salary]],0)</f>
        <v>1500</v>
      </c>
      <c r="K94">
        <f>VLOOKUP(allstaff[[#This Row],[Rating]],$M$23:$N$27,2,FALSE)</f>
        <v>5</v>
      </c>
    </row>
    <row r="95" spans="1:11" x14ac:dyDescent="0.25">
      <c r="A95" t="s">
        <v>18</v>
      </c>
      <c r="B95" t="s">
        <v>15</v>
      </c>
      <c r="C95" t="s">
        <v>19</v>
      </c>
      <c r="D95">
        <v>33</v>
      </c>
      <c r="E95" s="5">
        <v>44385</v>
      </c>
      <c r="F95" s="10">
        <v>74550</v>
      </c>
      <c r="G95" t="s">
        <v>16</v>
      </c>
      <c r="H95" t="s">
        <v>205</v>
      </c>
      <c r="I95" s="17">
        <f ca="1">(TODAY()-allstaff[[#This Row],[Date Joined]])/365</f>
        <v>2.1506849315068495</v>
      </c>
      <c r="J95" s="11">
        <f ca="1">ROUNDUP(IF(allstaff[[#This Row],[Tenure in Years]]&gt;2,3%,2%)*allstaff[[#This Row],[Salary]],0)</f>
        <v>2237</v>
      </c>
      <c r="K95">
        <f>VLOOKUP(allstaff[[#This Row],[Rating]],$M$23:$N$27,2,FALSE)</f>
        <v>3</v>
      </c>
    </row>
    <row r="96" spans="1:11" x14ac:dyDescent="0.25">
      <c r="A96" t="s">
        <v>115</v>
      </c>
      <c r="B96" t="s">
        <v>15</v>
      </c>
      <c r="C96" t="s">
        <v>19</v>
      </c>
      <c r="D96">
        <v>33</v>
      </c>
      <c r="E96" s="5">
        <v>44324</v>
      </c>
      <c r="F96" s="10">
        <v>74550</v>
      </c>
      <c r="G96" t="s">
        <v>16</v>
      </c>
      <c r="H96" t="s">
        <v>206</v>
      </c>
      <c r="I96" s="17">
        <f ca="1">(TODAY()-allstaff[[#This Row],[Date Joined]])/365</f>
        <v>2.3178082191780822</v>
      </c>
      <c r="J96" s="11">
        <f ca="1">ROUNDUP(IF(allstaff[[#This Row],[Tenure in Years]]&gt;2,3%,2%)*allstaff[[#This Row],[Salary]],0)</f>
        <v>2237</v>
      </c>
      <c r="K96">
        <f>VLOOKUP(allstaff[[#This Row],[Rating]],$M$23:$N$27,2,FALSE)</f>
        <v>3</v>
      </c>
    </row>
    <row r="97" spans="1:11" x14ac:dyDescent="0.25">
      <c r="A97" t="s">
        <v>94</v>
      </c>
      <c r="B97" t="s">
        <v>15</v>
      </c>
      <c r="C97" t="s">
        <v>21</v>
      </c>
      <c r="D97">
        <v>36</v>
      </c>
      <c r="E97" s="5">
        <v>44333</v>
      </c>
      <c r="F97" s="10">
        <v>71380</v>
      </c>
      <c r="G97" t="s">
        <v>16</v>
      </c>
      <c r="H97" t="s">
        <v>205</v>
      </c>
      <c r="I97" s="17">
        <f ca="1">(TODAY()-allstaff[[#This Row],[Date Joined]])/365</f>
        <v>2.2931506849315069</v>
      </c>
      <c r="J97" s="11">
        <f ca="1">ROUNDUP(IF(allstaff[[#This Row],[Tenure in Years]]&gt;2,3%,2%)*allstaff[[#This Row],[Salary]],0)</f>
        <v>2142</v>
      </c>
      <c r="K97">
        <f>VLOOKUP(allstaff[[#This Row],[Rating]],$M$23:$N$27,2,FALSE)</f>
        <v>3</v>
      </c>
    </row>
    <row r="98" spans="1:11" x14ac:dyDescent="0.25">
      <c r="A98" t="s">
        <v>187</v>
      </c>
      <c r="B98" t="s">
        <v>15</v>
      </c>
      <c r="C98" t="s">
        <v>21</v>
      </c>
      <c r="D98">
        <v>36</v>
      </c>
      <c r="E98" s="5">
        <v>44272</v>
      </c>
      <c r="F98" s="10">
        <v>71380</v>
      </c>
      <c r="G98" t="s">
        <v>16</v>
      </c>
      <c r="H98" t="s">
        <v>206</v>
      </c>
      <c r="I98" s="17">
        <f ca="1">(TODAY()-allstaff[[#This Row],[Date Joined]])/365</f>
        <v>2.4602739726027396</v>
      </c>
      <c r="J98" s="11">
        <f ca="1">ROUNDUP(IF(allstaff[[#This Row],[Tenure in Years]]&gt;2,3%,2%)*allstaff[[#This Row],[Salary]],0)</f>
        <v>2142</v>
      </c>
      <c r="K98">
        <f>VLOOKUP(allstaff[[#This Row],[Rating]],$M$23:$N$27,2,FALSE)</f>
        <v>3</v>
      </c>
    </row>
    <row r="99" spans="1:11" x14ac:dyDescent="0.25">
      <c r="A99" t="s">
        <v>70</v>
      </c>
      <c r="B99" t="s">
        <v>15</v>
      </c>
      <c r="C99" t="s">
        <v>9</v>
      </c>
      <c r="D99">
        <v>46</v>
      </c>
      <c r="E99" s="5">
        <v>44758</v>
      </c>
      <c r="F99" s="10">
        <v>70610</v>
      </c>
      <c r="G99" t="s">
        <v>16</v>
      </c>
      <c r="H99" t="s">
        <v>205</v>
      </c>
      <c r="I99" s="17">
        <f ca="1">(TODAY()-allstaff[[#This Row],[Date Joined]])/365</f>
        <v>1.1287671232876713</v>
      </c>
      <c r="J99" s="11">
        <f ca="1">ROUNDUP(IF(allstaff[[#This Row],[Tenure in Years]]&gt;2,3%,2%)*allstaff[[#This Row],[Salary]],0)</f>
        <v>1413</v>
      </c>
      <c r="K99">
        <f>VLOOKUP(allstaff[[#This Row],[Rating]],$M$23:$N$27,2,FALSE)</f>
        <v>3</v>
      </c>
    </row>
    <row r="100" spans="1:11" x14ac:dyDescent="0.25">
      <c r="A100" t="s">
        <v>162</v>
      </c>
      <c r="B100" t="s">
        <v>15</v>
      </c>
      <c r="C100" t="s">
        <v>9</v>
      </c>
      <c r="D100">
        <v>46</v>
      </c>
      <c r="E100" s="5">
        <v>44697</v>
      </c>
      <c r="F100" s="10">
        <v>70610</v>
      </c>
      <c r="G100" t="s">
        <v>16</v>
      </c>
      <c r="H100" t="s">
        <v>206</v>
      </c>
      <c r="I100" s="17">
        <f ca="1">(TODAY()-allstaff[[#This Row],[Date Joined]])/365</f>
        <v>1.295890410958904</v>
      </c>
      <c r="J100" s="11">
        <f ca="1">ROUNDUP(IF(allstaff[[#This Row],[Tenure in Years]]&gt;2,3%,2%)*allstaff[[#This Row],[Salary]],0)</f>
        <v>1413</v>
      </c>
      <c r="K100">
        <f>VLOOKUP(allstaff[[#This Row],[Rating]],$M$23:$N$27,2,FALSE)</f>
        <v>3</v>
      </c>
    </row>
    <row r="101" spans="1:11" x14ac:dyDescent="0.25">
      <c r="A101" t="s">
        <v>90</v>
      </c>
      <c r="B101" t="s">
        <v>15</v>
      </c>
      <c r="C101" t="s">
        <v>21</v>
      </c>
      <c r="D101">
        <v>42</v>
      </c>
      <c r="E101" s="5">
        <v>44731</v>
      </c>
      <c r="F101" s="10">
        <v>70270</v>
      </c>
      <c r="G101" t="s">
        <v>24</v>
      </c>
      <c r="H101" t="s">
        <v>205</v>
      </c>
      <c r="I101" s="17">
        <f ca="1">(TODAY()-allstaff[[#This Row],[Date Joined]])/365</f>
        <v>1.2027397260273973</v>
      </c>
      <c r="J101" s="11">
        <f ca="1">ROUNDUP(IF(allstaff[[#This Row],[Tenure in Years]]&gt;2,3%,2%)*allstaff[[#This Row],[Salary]],0)</f>
        <v>1406</v>
      </c>
      <c r="K101">
        <f>VLOOKUP(allstaff[[#This Row],[Rating]],$M$23:$N$27,2,FALSE)</f>
        <v>2</v>
      </c>
    </row>
    <row r="102" spans="1:11" x14ac:dyDescent="0.25">
      <c r="A102" t="s">
        <v>183</v>
      </c>
      <c r="B102" t="s">
        <v>15</v>
      </c>
      <c r="C102" t="s">
        <v>21</v>
      </c>
      <c r="D102">
        <v>42</v>
      </c>
      <c r="E102" s="5">
        <v>44670</v>
      </c>
      <c r="F102" s="10">
        <v>70270</v>
      </c>
      <c r="G102" t="s">
        <v>24</v>
      </c>
      <c r="H102" t="s">
        <v>206</v>
      </c>
      <c r="I102" s="17">
        <f ca="1">(TODAY()-allstaff[[#This Row],[Date Joined]])/365</f>
        <v>1.3698630136986301</v>
      </c>
      <c r="J102" s="11">
        <f ca="1">ROUNDUP(IF(allstaff[[#This Row],[Tenure in Years]]&gt;2,3%,2%)*allstaff[[#This Row],[Salary]],0)</f>
        <v>1406</v>
      </c>
      <c r="K102">
        <f>VLOOKUP(allstaff[[#This Row],[Rating]],$M$23:$N$27,2,FALSE)</f>
        <v>2</v>
      </c>
    </row>
    <row r="103" spans="1:11" x14ac:dyDescent="0.25">
      <c r="A103" t="s">
        <v>67</v>
      </c>
      <c r="B103" t="s">
        <v>15</v>
      </c>
      <c r="C103" t="s">
        <v>12</v>
      </c>
      <c r="D103">
        <v>30</v>
      </c>
      <c r="E103" s="5">
        <v>44850</v>
      </c>
      <c r="F103" s="10">
        <v>69710</v>
      </c>
      <c r="G103" t="s">
        <v>16</v>
      </c>
      <c r="H103" t="s">
        <v>205</v>
      </c>
      <c r="I103" s="17">
        <f ca="1">(TODAY()-allstaff[[#This Row],[Date Joined]])/365</f>
        <v>0.87671232876712324</v>
      </c>
      <c r="J103" s="11">
        <f ca="1">ROUNDUP(IF(allstaff[[#This Row],[Tenure in Years]]&gt;2,3%,2%)*allstaff[[#This Row],[Salary]],0)</f>
        <v>1395</v>
      </c>
      <c r="K103">
        <f>VLOOKUP(allstaff[[#This Row],[Rating]],$M$23:$N$27,2,FALSE)</f>
        <v>3</v>
      </c>
    </row>
    <row r="104" spans="1:11" x14ac:dyDescent="0.25">
      <c r="A104" t="s">
        <v>159</v>
      </c>
      <c r="B104" t="s">
        <v>15</v>
      </c>
      <c r="C104" t="s">
        <v>12</v>
      </c>
      <c r="D104">
        <v>30</v>
      </c>
      <c r="E104" s="5">
        <v>44789</v>
      </c>
      <c r="F104" s="10">
        <v>69710</v>
      </c>
      <c r="G104" t="s">
        <v>16</v>
      </c>
      <c r="H104" t="s">
        <v>206</v>
      </c>
      <c r="I104" s="17">
        <f ca="1">(TODAY()-allstaff[[#This Row],[Date Joined]])/365</f>
        <v>1.0438356164383562</v>
      </c>
      <c r="J104" s="11">
        <f ca="1">ROUNDUP(IF(allstaff[[#This Row],[Tenure in Years]]&gt;2,3%,2%)*allstaff[[#This Row],[Salary]],0)</f>
        <v>1395</v>
      </c>
      <c r="K104">
        <f>VLOOKUP(allstaff[[#This Row],[Rating]],$M$23:$N$27,2,FALSE)</f>
        <v>3</v>
      </c>
    </row>
    <row r="105" spans="1:11" x14ac:dyDescent="0.25">
      <c r="A105" t="s">
        <v>25</v>
      </c>
      <c r="B105" t="s">
        <v>15</v>
      </c>
      <c r="C105" t="s">
        <v>12</v>
      </c>
      <c r="D105">
        <v>30</v>
      </c>
      <c r="E105" s="5">
        <v>44273</v>
      </c>
      <c r="F105" s="10">
        <v>69120</v>
      </c>
      <c r="G105" t="s">
        <v>16</v>
      </c>
      <c r="H105" t="s">
        <v>205</v>
      </c>
      <c r="I105" s="17">
        <f ca="1">(TODAY()-allstaff[[#This Row],[Date Joined]])/365</f>
        <v>2.4575342465753423</v>
      </c>
      <c r="J105" s="11">
        <f ca="1">ROUNDUP(IF(allstaff[[#This Row],[Tenure in Years]]&gt;2,3%,2%)*allstaff[[#This Row],[Salary]],0)</f>
        <v>2074</v>
      </c>
      <c r="K105">
        <f>VLOOKUP(allstaff[[#This Row],[Rating]],$M$23:$N$27,2,FALSE)</f>
        <v>3</v>
      </c>
    </row>
    <row r="106" spans="1:11" x14ac:dyDescent="0.25">
      <c r="A106" t="s">
        <v>119</v>
      </c>
      <c r="B106" t="s">
        <v>15</v>
      </c>
      <c r="C106" t="s">
        <v>12</v>
      </c>
      <c r="D106">
        <v>30</v>
      </c>
      <c r="E106" s="5">
        <v>44214</v>
      </c>
      <c r="F106" s="10">
        <v>69120</v>
      </c>
      <c r="G106" t="s">
        <v>16</v>
      </c>
      <c r="H106" t="s">
        <v>206</v>
      </c>
      <c r="I106" s="17">
        <f ca="1">(TODAY()-allstaff[[#This Row],[Date Joined]])/365</f>
        <v>2.6191780821917807</v>
      </c>
      <c r="J106" s="11">
        <f ca="1">ROUNDUP(IF(allstaff[[#This Row],[Tenure in Years]]&gt;2,3%,2%)*allstaff[[#This Row],[Salary]],0)</f>
        <v>2074</v>
      </c>
      <c r="K106">
        <f>VLOOKUP(allstaff[[#This Row],[Rating]],$M$23:$N$27,2,FALSE)</f>
        <v>3</v>
      </c>
    </row>
    <row r="107" spans="1:11" x14ac:dyDescent="0.25">
      <c r="A107" t="s">
        <v>97</v>
      </c>
      <c r="B107" t="s">
        <v>15</v>
      </c>
      <c r="C107" t="s">
        <v>12</v>
      </c>
      <c r="D107">
        <v>37</v>
      </c>
      <c r="E107" s="5">
        <v>44701</v>
      </c>
      <c r="F107" s="10">
        <v>69070</v>
      </c>
      <c r="G107" t="s">
        <v>16</v>
      </c>
      <c r="H107" t="s">
        <v>205</v>
      </c>
      <c r="I107" s="17">
        <f ca="1">(TODAY()-allstaff[[#This Row],[Date Joined]])/365</f>
        <v>1.284931506849315</v>
      </c>
      <c r="J107" s="11">
        <f ca="1">ROUNDUP(IF(allstaff[[#This Row],[Tenure in Years]]&gt;2,3%,2%)*allstaff[[#This Row],[Salary]],0)</f>
        <v>1382</v>
      </c>
      <c r="K107">
        <f>VLOOKUP(allstaff[[#This Row],[Rating]],$M$23:$N$27,2,FALSE)</f>
        <v>3</v>
      </c>
    </row>
    <row r="108" spans="1:11" x14ac:dyDescent="0.25">
      <c r="A108" t="s">
        <v>190</v>
      </c>
      <c r="B108" t="s">
        <v>15</v>
      </c>
      <c r="C108" t="s">
        <v>12</v>
      </c>
      <c r="D108">
        <v>37</v>
      </c>
      <c r="E108" s="5">
        <v>44640</v>
      </c>
      <c r="F108" s="10">
        <v>69070</v>
      </c>
      <c r="G108" t="s">
        <v>16</v>
      </c>
      <c r="H108" t="s">
        <v>206</v>
      </c>
      <c r="I108" s="17">
        <f ca="1">(TODAY()-allstaff[[#This Row],[Date Joined]])/365</f>
        <v>1.452054794520548</v>
      </c>
      <c r="J108" s="11">
        <f ca="1">ROUNDUP(IF(allstaff[[#This Row],[Tenure in Years]]&gt;2,3%,2%)*allstaff[[#This Row],[Salary]],0)</f>
        <v>1382</v>
      </c>
      <c r="K108">
        <f>VLOOKUP(allstaff[[#This Row],[Rating]],$M$23:$N$27,2,FALSE)</f>
        <v>3</v>
      </c>
    </row>
    <row r="109" spans="1:11" x14ac:dyDescent="0.25">
      <c r="A109" t="s">
        <v>91</v>
      </c>
      <c r="B109" t="s">
        <v>8</v>
      </c>
      <c r="C109" t="s">
        <v>19</v>
      </c>
      <c r="D109">
        <v>20</v>
      </c>
      <c r="E109" s="5">
        <v>44537</v>
      </c>
      <c r="F109" s="10">
        <v>68900</v>
      </c>
      <c r="G109" t="s">
        <v>24</v>
      </c>
      <c r="H109" t="s">
        <v>205</v>
      </c>
      <c r="I109" s="17">
        <f ca="1">(TODAY()-allstaff[[#This Row],[Date Joined]])/365</f>
        <v>1.7342465753424658</v>
      </c>
      <c r="J109" s="11">
        <f ca="1">ROUNDUP(IF(allstaff[[#This Row],[Tenure in Years]]&gt;2,3%,2%)*allstaff[[#This Row],[Salary]],0)</f>
        <v>1378</v>
      </c>
      <c r="K109">
        <f>VLOOKUP(allstaff[[#This Row],[Rating]],$M$23:$N$27,2,FALSE)</f>
        <v>2</v>
      </c>
    </row>
    <row r="110" spans="1:11" x14ac:dyDescent="0.25">
      <c r="A110" t="s">
        <v>184</v>
      </c>
      <c r="B110" t="s">
        <v>8</v>
      </c>
      <c r="C110" t="s">
        <v>19</v>
      </c>
      <c r="D110">
        <v>20</v>
      </c>
      <c r="E110" s="5">
        <v>44476</v>
      </c>
      <c r="F110" s="10">
        <v>68900</v>
      </c>
      <c r="G110" t="s">
        <v>24</v>
      </c>
      <c r="H110" t="s">
        <v>206</v>
      </c>
      <c r="I110" s="17">
        <f ca="1">(TODAY()-allstaff[[#This Row],[Date Joined]])/365</f>
        <v>1.9013698630136986</v>
      </c>
      <c r="J110" s="11">
        <f ca="1">ROUNDUP(IF(allstaff[[#This Row],[Tenure in Years]]&gt;2,3%,2%)*allstaff[[#This Row],[Salary]],0)</f>
        <v>1378</v>
      </c>
      <c r="K110">
        <f>VLOOKUP(allstaff[[#This Row],[Rating]],$M$23:$N$27,2,FALSE)</f>
        <v>2</v>
      </c>
    </row>
    <row r="111" spans="1:11" x14ac:dyDescent="0.25">
      <c r="A111" t="s">
        <v>45</v>
      </c>
      <c r="B111" t="s">
        <v>15</v>
      </c>
      <c r="C111" t="s">
        <v>9</v>
      </c>
      <c r="D111">
        <v>30</v>
      </c>
      <c r="E111" s="5">
        <v>44701</v>
      </c>
      <c r="F111" s="10">
        <v>67950</v>
      </c>
      <c r="G111" t="s">
        <v>16</v>
      </c>
      <c r="H111" t="s">
        <v>205</v>
      </c>
      <c r="I111" s="17">
        <f ca="1">(TODAY()-allstaff[[#This Row],[Date Joined]])/365</f>
        <v>1.284931506849315</v>
      </c>
      <c r="J111" s="11">
        <f ca="1">ROUNDUP(IF(allstaff[[#This Row],[Tenure in Years]]&gt;2,3%,2%)*allstaff[[#This Row],[Salary]],0)</f>
        <v>1359</v>
      </c>
      <c r="K111">
        <f>VLOOKUP(allstaff[[#This Row],[Rating]],$M$23:$N$27,2,FALSE)</f>
        <v>3</v>
      </c>
    </row>
    <row r="112" spans="1:11" x14ac:dyDescent="0.25">
      <c r="A112" t="s">
        <v>138</v>
      </c>
      <c r="B112" t="s">
        <v>15</v>
      </c>
      <c r="C112" t="s">
        <v>9</v>
      </c>
      <c r="D112">
        <v>30</v>
      </c>
      <c r="E112" s="5">
        <v>44640</v>
      </c>
      <c r="F112" s="10">
        <v>67950</v>
      </c>
      <c r="G112" t="s">
        <v>16</v>
      </c>
      <c r="H112" t="s">
        <v>206</v>
      </c>
      <c r="I112" s="17">
        <f ca="1">(TODAY()-allstaff[[#This Row],[Date Joined]])/365</f>
        <v>1.452054794520548</v>
      </c>
      <c r="J112" s="11">
        <f ca="1">ROUNDUP(IF(allstaff[[#This Row],[Tenure in Years]]&gt;2,3%,2%)*allstaff[[#This Row],[Salary]],0)</f>
        <v>1359</v>
      </c>
      <c r="K112">
        <f>VLOOKUP(allstaff[[#This Row],[Rating]],$M$23:$N$27,2,FALSE)</f>
        <v>3</v>
      </c>
    </row>
    <row r="113" spans="1:11" x14ac:dyDescent="0.25">
      <c r="A113" t="s">
        <v>27</v>
      </c>
      <c r="B113" t="s">
        <v>8</v>
      </c>
      <c r="C113" t="s">
        <v>21</v>
      </c>
      <c r="D113">
        <v>30</v>
      </c>
      <c r="E113" s="5">
        <v>44389</v>
      </c>
      <c r="F113" s="10">
        <v>67910</v>
      </c>
      <c r="G113" t="s">
        <v>24</v>
      </c>
      <c r="H113" t="s">
        <v>205</v>
      </c>
      <c r="I113" s="17">
        <f ca="1">(TODAY()-allstaff[[#This Row],[Date Joined]])/365</f>
        <v>2.1397260273972605</v>
      </c>
      <c r="J113" s="11">
        <f ca="1">ROUNDUP(IF(allstaff[[#This Row],[Tenure in Years]]&gt;2,3%,2%)*allstaff[[#This Row],[Salary]],0)</f>
        <v>2038</v>
      </c>
      <c r="K113">
        <f>VLOOKUP(allstaff[[#This Row],[Rating]],$M$23:$N$27,2,FALSE)</f>
        <v>2</v>
      </c>
    </row>
    <row r="114" spans="1:11" x14ac:dyDescent="0.25">
      <c r="A114" t="s">
        <v>121</v>
      </c>
      <c r="B114" t="s">
        <v>8</v>
      </c>
      <c r="C114" t="s">
        <v>21</v>
      </c>
      <c r="D114">
        <v>30</v>
      </c>
      <c r="E114" s="5">
        <v>44328</v>
      </c>
      <c r="F114" s="10">
        <v>67910</v>
      </c>
      <c r="G114" t="s">
        <v>24</v>
      </c>
      <c r="H114" t="s">
        <v>206</v>
      </c>
      <c r="I114" s="17">
        <f ca="1">(TODAY()-allstaff[[#This Row],[Date Joined]])/365</f>
        <v>2.3068493150684932</v>
      </c>
      <c r="J114" s="11">
        <f ca="1">ROUNDUP(IF(allstaff[[#This Row],[Tenure in Years]]&gt;2,3%,2%)*allstaff[[#This Row],[Salary]],0)</f>
        <v>2038</v>
      </c>
      <c r="K114">
        <f>VLOOKUP(allstaff[[#This Row],[Rating]],$M$23:$N$27,2,FALSE)</f>
        <v>2</v>
      </c>
    </row>
    <row r="115" spans="1:11" x14ac:dyDescent="0.25">
      <c r="A115" t="s">
        <v>32</v>
      </c>
      <c r="B115" t="s">
        <v>8</v>
      </c>
      <c r="C115" t="s">
        <v>21</v>
      </c>
      <c r="D115">
        <v>21</v>
      </c>
      <c r="E115" s="5">
        <v>44317</v>
      </c>
      <c r="F115" s="10">
        <v>65920</v>
      </c>
      <c r="G115" t="s">
        <v>16</v>
      </c>
      <c r="H115" t="s">
        <v>205</v>
      </c>
      <c r="I115" s="17">
        <f ca="1">(TODAY()-allstaff[[#This Row],[Date Joined]])/365</f>
        <v>2.3369863013698629</v>
      </c>
      <c r="J115" s="11">
        <f ca="1">ROUNDUP(IF(allstaff[[#This Row],[Tenure in Years]]&gt;2,3%,2%)*allstaff[[#This Row],[Salary]],0)</f>
        <v>1978</v>
      </c>
      <c r="K115">
        <f>VLOOKUP(allstaff[[#This Row],[Rating]],$M$23:$N$27,2,FALSE)</f>
        <v>3</v>
      </c>
    </row>
    <row r="116" spans="1:11" x14ac:dyDescent="0.25">
      <c r="A116" t="s">
        <v>126</v>
      </c>
      <c r="B116" t="s">
        <v>8</v>
      </c>
      <c r="C116" t="s">
        <v>21</v>
      </c>
      <c r="D116">
        <v>21</v>
      </c>
      <c r="E116" s="5">
        <v>44256</v>
      </c>
      <c r="F116" s="10">
        <v>65920</v>
      </c>
      <c r="G116" t="s">
        <v>16</v>
      </c>
      <c r="H116" t="s">
        <v>206</v>
      </c>
      <c r="I116" s="17">
        <f ca="1">(TODAY()-allstaff[[#This Row],[Date Joined]])/365</f>
        <v>2.504109589041096</v>
      </c>
      <c r="J116" s="11">
        <f ca="1">ROUNDUP(IF(allstaff[[#This Row],[Tenure in Years]]&gt;2,3%,2%)*allstaff[[#This Row],[Salary]],0)</f>
        <v>1978</v>
      </c>
      <c r="K116">
        <f>VLOOKUP(allstaff[[#This Row],[Rating]],$M$23:$N$27,2,FALSE)</f>
        <v>3</v>
      </c>
    </row>
    <row r="117" spans="1:11" x14ac:dyDescent="0.25">
      <c r="A117" t="s">
        <v>76</v>
      </c>
      <c r="B117" t="s">
        <v>15</v>
      </c>
      <c r="C117" t="s">
        <v>19</v>
      </c>
      <c r="D117">
        <v>25</v>
      </c>
      <c r="E117" s="5">
        <v>44383</v>
      </c>
      <c r="F117" s="10">
        <v>65700</v>
      </c>
      <c r="G117" t="s">
        <v>16</v>
      </c>
      <c r="H117" t="s">
        <v>205</v>
      </c>
      <c r="I117" s="17">
        <f ca="1">(TODAY()-allstaff[[#This Row],[Date Joined]])/365</f>
        <v>2.1561643835616437</v>
      </c>
      <c r="J117" s="11">
        <f ca="1">ROUNDUP(IF(allstaff[[#This Row],[Tenure in Years]]&gt;2,3%,2%)*allstaff[[#This Row],[Salary]],0)</f>
        <v>1971</v>
      </c>
      <c r="K117">
        <f>VLOOKUP(allstaff[[#This Row],[Rating]],$M$23:$N$27,2,FALSE)</f>
        <v>3</v>
      </c>
    </row>
    <row r="118" spans="1:11" x14ac:dyDescent="0.25">
      <c r="A118" t="s">
        <v>168</v>
      </c>
      <c r="B118" t="s">
        <v>15</v>
      </c>
      <c r="C118" t="s">
        <v>19</v>
      </c>
      <c r="D118">
        <v>25</v>
      </c>
      <c r="E118" s="5">
        <v>44322</v>
      </c>
      <c r="F118" s="10">
        <v>65700</v>
      </c>
      <c r="G118" t="s">
        <v>16</v>
      </c>
      <c r="H118" t="s">
        <v>206</v>
      </c>
      <c r="I118" s="17">
        <f ca="1">(TODAY()-allstaff[[#This Row],[Date Joined]])/365</f>
        <v>2.3232876712328765</v>
      </c>
      <c r="J118" s="11">
        <f ca="1">ROUNDUP(IF(allstaff[[#This Row],[Tenure in Years]]&gt;2,3%,2%)*allstaff[[#This Row],[Salary]],0)</f>
        <v>1971</v>
      </c>
      <c r="K118">
        <f>VLOOKUP(allstaff[[#This Row],[Rating]],$M$23:$N$27,2,FALSE)</f>
        <v>3</v>
      </c>
    </row>
    <row r="119" spans="1:11" x14ac:dyDescent="0.25">
      <c r="A119" t="s">
        <v>93</v>
      </c>
      <c r="B119" t="s">
        <v>8</v>
      </c>
      <c r="C119" t="s">
        <v>21</v>
      </c>
      <c r="D119">
        <v>33</v>
      </c>
      <c r="E119" s="5">
        <v>44067</v>
      </c>
      <c r="F119" s="10">
        <v>65360</v>
      </c>
      <c r="G119" t="s">
        <v>16</v>
      </c>
      <c r="H119" t="s">
        <v>205</v>
      </c>
      <c r="I119" s="17">
        <f ca="1">(TODAY()-allstaff[[#This Row],[Date Joined]])/365</f>
        <v>3.021917808219178</v>
      </c>
      <c r="J119" s="11">
        <f ca="1">ROUNDUP(IF(allstaff[[#This Row],[Tenure in Years]]&gt;2,3%,2%)*allstaff[[#This Row],[Salary]],0)</f>
        <v>1961</v>
      </c>
      <c r="K119">
        <f>VLOOKUP(allstaff[[#This Row],[Rating]],$M$23:$N$27,2,FALSE)</f>
        <v>3</v>
      </c>
    </row>
    <row r="120" spans="1:11" x14ac:dyDescent="0.25">
      <c r="A120" t="s">
        <v>186</v>
      </c>
      <c r="B120" t="s">
        <v>8</v>
      </c>
      <c r="C120" t="s">
        <v>21</v>
      </c>
      <c r="D120">
        <v>33</v>
      </c>
      <c r="E120" s="5">
        <v>44006</v>
      </c>
      <c r="F120" s="10">
        <v>65360</v>
      </c>
      <c r="G120" t="s">
        <v>16</v>
      </c>
      <c r="H120" t="s">
        <v>206</v>
      </c>
      <c r="I120" s="17">
        <f ca="1">(TODAY()-allstaff[[#This Row],[Date Joined]])/365</f>
        <v>3.1890410958904107</v>
      </c>
      <c r="J120" s="11">
        <f ca="1">ROUNDUP(IF(allstaff[[#This Row],[Tenure in Years]]&gt;2,3%,2%)*allstaff[[#This Row],[Salary]],0)</f>
        <v>1961</v>
      </c>
      <c r="K120">
        <f>VLOOKUP(allstaff[[#This Row],[Rating]],$M$23:$N$27,2,FALSE)</f>
        <v>3</v>
      </c>
    </row>
    <row r="121" spans="1:11" x14ac:dyDescent="0.25">
      <c r="A121" t="s">
        <v>20</v>
      </c>
      <c r="B121" t="s">
        <v>207</v>
      </c>
      <c r="C121" t="s">
        <v>21</v>
      </c>
      <c r="D121">
        <v>30</v>
      </c>
      <c r="E121" s="5">
        <v>44597</v>
      </c>
      <c r="F121" s="10">
        <v>64000</v>
      </c>
      <c r="G121" t="s">
        <v>16</v>
      </c>
      <c r="H121" t="s">
        <v>205</v>
      </c>
      <c r="I121" s="17">
        <f ca="1">(TODAY()-allstaff[[#This Row],[Date Joined]])/365</f>
        <v>1.5698630136986302</v>
      </c>
      <c r="J121" s="11">
        <f ca="1">ROUNDUP(IF(allstaff[[#This Row],[Tenure in Years]]&gt;2,3%,2%)*allstaff[[#This Row],[Salary]],0)</f>
        <v>1280</v>
      </c>
      <c r="K121">
        <f>VLOOKUP(allstaff[[#This Row],[Rating]],$M$23:$N$27,2,FALSE)</f>
        <v>3</v>
      </c>
    </row>
    <row r="122" spans="1:11" x14ac:dyDescent="0.25">
      <c r="A122" t="s">
        <v>116</v>
      </c>
      <c r="B122" t="s">
        <v>207</v>
      </c>
      <c r="C122" t="s">
        <v>21</v>
      </c>
      <c r="D122">
        <v>30</v>
      </c>
      <c r="E122" s="5">
        <v>44535</v>
      </c>
      <c r="F122" s="10">
        <v>64000</v>
      </c>
      <c r="G122" t="s">
        <v>16</v>
      </c>
      <c r="H122" t="s">
        <v>206</v>
      </c>
      <c r="I122" s="17">
        <f ca="1">(TODAY()-allstaff[[#This Row],[Date Joined]])/365</f>
        <v>1.7397260273972603</v>
      </c>
      <c r="J122" s="11">
        <f ca="1">ROUNDUP(IF(allstaff[[#This Row],[Tenure in Years]]&gt;2,3%,2%)*allstaff[[#This Row],[Salary]],0)</f>
        <v>1280</v>
      </c>
      <c r="K122">
        <f>VLOOKUP(allstaff[[#This Row],[Rating]],$M$23:$N$27,2,FALSE)</f>
        <v>3</v>
      </c>
    </row>
    <row r="123" spans="1:11" x14ac:dyDescent="0.25">
      <c r="A123" t="s">
        <v>61</v>
      </c>
      <c r="B123" t="s">
        <v>8</v>
      </c>
      <c r="C123" t="s">
        <v>12</v>
      </c>
      <c r="D123">
        <v>24</v>
      </c>
      <c r="E123" s="5">
        <v>44148</v>
      </c>
      <c r="F123" s="10">
        <v>62780</v>
      </c>
      <c r="G123" t="s">
        <v>16</v>
      </c>
      <c r="H123" t="s">
        <v>205</v>
      </c>
      <c r="I123" s="17">
        <f ca="1">(TODAY()-allstaff[[#This Row],[Date Joined]])/365</f>
        <v>2.8</v>
      </c>
      <c r="J123" s="11">
        <f ca="1">ROUNDUP(IF(allstaff[[#This Row],[Tenure in Years]]&gt;2,3%,2%)*allstaff[[#This Row],[Salary]],0)</f>
        <v>1884</v>
      </c>
      <c r="K123">
        <f>VLOOKUP(allstaff[[#This Row],[Rating]],$M$23:$N$27,2,FALSE)</f>
        <v>3</v>
      </c>
    </row>
    <row r="124" spans="1:11" x14ac:dyDescent="0.25">
      <c r="A124" t="s">
        <v>153</v>
      </c>
      <c r="B124" t="s">
        <v>8</v>
      </c>
      <c r="C124" t="s">
        <v>12</v>
      </c>
      <c r="D124">
        <v>24</v>
      </c>
      <c r="E124" s="5">
        <v>44087</v>
      </c>
      <c r="F124" s="10">
        <v>62780</v>
      </c>
      <c r="G124" t="s">
        <v>16</v>
      </c>
      <c r="H124" t="s">
        <v>206</v>
      </c>
      <c r="I124" s="17">
        <f ca="1">(TODAY()-allstaff[[#This Row],[Date Joined]])/365</f>
        <v>2.967123287671233</v>
      </c>
      <c r="J124" s="11">
        <f ca="1">ROUNDUP(IF(allstaff[[#This Row],[Tenure in Years]]&gt;2,3%,2%)*allstaff[[#This Row],[Salary]],0)</f>
        <v>1884</v>
      </c>
      <c r="K124">
        <f>VLOOKUP(allstaff[[#This Row],[Rating]],$M$23:$N$27,2,FALSE)</f>
        <v>3</v>
      </c>
    </row>
    <row r="125" spans="1:11" x14ac:dyDescent="0.25">
      <c r="A125" t="s">
        <v>37</v>
      </c>
      <c r="B125" t="s">
        <v>15</v>
      </c>
      <c r="C125" t="s">
        <v>9</v>
      </c>
      <c r="D125">
        <v>30</v>
      </c>
      <c r="E125" s="5">
        <v>44666</v>
      </c>
      <c r="F125" s="10">
        <v>60570</v>
      </c>
      <c r="G125" t="s">
        <v>16</v>
      </c>
      <c r="H125" t="s">
        <v>205</v>
      </c>
      <c r="I125" s="17">
        <f ca="1">(TODAY()-allstaff[[#This Row],[Date Joined]])/365</f>
        <v>1.3808219178082193</v>
      </c>
      <c r="J125" s="11">
        <f ca="1">ROUNDUP(IF(allstaff[[#This Row],[Tenure in Years]]&gt;2,3%,2%)*allstaff[[#This Row],[Salary]],0)</f>
        <v>1212</v>
      </c>
      <c r="K125">
        <f>VLOOKUP(allstaff[[#This Row],[Rating]],$M$23:$N$27,2,FALSE)</f>
        <v>3</v>
      </c>
    </row>
    <row r="126" spans="1:11" x14ac:dyDescent="0.25">
      <c r="A126" t="s">
        <v>131</v>
      </c>
      <c r="B126" t="s">
        <v>15</v>
      </c>
      <c r="C126" t="s">
        <v>9</v>
      </c>
      <c r="D126">
        <v>30</v>
      </c>
      <c r="E126" s="5">
        <v>44607</v>
      </c>
      <c r="F126" s="10">
        <v>60570</v>
      </c>
      <c r="G126" t="s">
        <v>16</v>
      </c>
      <c r="H126" t="s">
        <v>206</v>
      </c>
      <c r="I126" s="17">
        <f ca="1">(TODAY()-allstaff[[#This Row],[Date Joined]])/365</f>
        <v>1.5424657534246575</v>
      </c>
      <c r="J126" s="11">
        <f ca="1">ROUNDUP(IF(allstaff[[#This Row],[Tenure in Years]]&gt;2,3%,2%)*allstaff[[#This Row],[Salary]],0)</f>
        <v>1212</v>
      </c>
      <c r="K126">
        <f>VLOOKUP(allstaff[[#This Row],[Rating]],$M$23:$N$27,2,FALSE)</f>
        <v>3</v>
      </c>
    </row>
    <row r="127" spans="1:11" x14ac:dyDescent="0.25">
      <c r="A127" t="s">
        <v>38</v>
      </c>
      <c r="B127" t="s">
        <v>8</v>
      </c>
      <c r="C127" t="s">
        <v>21</v>
      </c>
      <c r="D127">
        <v>34</v>
      </c>
      <c r="E127" s="5">
        <v>44612</v>
      </c>
      <c r="F127" s="10">
        <v>60130</v>
      </c>
      <c r="G127" t="s">
        <v>16</v>
      </c>
      <c r="H127" t="s">
        <v>205</v>
      </c>
      <c r="I127" s="17">
        <f ca="1">(TODAY()-allstaff[[#This Row],[Date Joined]])/365</f>
        <v>1.5287671232876712</v>
      </c>
      <c r="J127" s="11">
        <f ca="1">ROUNDUP(IF(allstaff[[#This Row],[Tenure in Years]]&gt;2,3%,2%)*allstaff[[#This Row],[Salary]],0)</f>
        <v>1203</v>
      </c>
      <c r="K127">
        <f>VLOOKUP(allstaff[[#This Row],[Rating]],$M$23:$N$27,2,FALSE)</f>
        <v>3</v>
      </c>
    </row>
    <row r="128" spans="1:11" x14ac:dyDescent="0.25">
      <c r="A128" t="s">
        <v>132</v>
      </c>
      <c r="B128" t="s">
        <v>8</v>
      </c>
      <c r="C128" t="s">
        <v>21</v>
      </c>
      <c r="D128">
        <v>34</v>
      </c>
      <c r="E128" s="5">
        <v>44550</v>
      </c>
      <c r="F128" s="10">
        <v>60130</v>
      </c>
      <c r="G128" t="s">
        <v>16</v>
      </c>
      <c r="H128" t="s">
        <v>206</v>
      </c>
      <c r="I128" s="17">
        <f ca="1">(TODAY()-allstaff[[#This Row],[Date Joined]])/365</f>
        <v>1.6986301369863013</v>
      </c>
      <c r="J128" s="11">
        <f ca="1">ROUNDUP(IF(allstaff[[#This Row],[Tenure in Years]]&gt;2,3%,2%)*allstaff[[#This Row],[Salary]],0)</f>
        <v>1203</v>
      </c>
      <c r="K128">
        <f>VLOOKUP(allstaff[[#This Row],[Rating]],$M$23:$N$27,2,FALSE)</f>
        <v>3</v>
      </c>
    </row>
    <row r="129" spans="1:11" x14ac:dyDescent="0.25">
      <c r="A129" t="s">
        <v>79</v>
      </c>
      <c r="B129" t="s">
        <v>15</v>
      </c>
      <c r="C129" t="s">
        <v>21</v>
      </c>
      <c r="D129">
        <v>33</v>
      </c>
      <c r="E129" s="5">
        <v>44243</v>
      </c>
      <c r="F129" s="10">
        <v>59430</v>
      </c>
      <c r="G129" t="s">
        <v>16</v>
      </c>
      <c r="H129" t="s">
        <v>205</v>
      </c>
      <c r="I129" s="17">
        <f ca="1">(TODAY()-allstaff[[#This Row],[Date Joined]])/365</f>
        <v>2.5397260273972604</v>
      </c>
      <c r="J129" s="11">
        <f ca="1">ROUNDUP(IF(allstaff[[#This Row],[Tenure in Years]]&gt;2,3%,2%)*allstaff[[#This Row],[Salary]],0)</f>
        <v>1783</v>
      </c>
      <c r="K129">
        <f>VLOOKUP(allstaff[[#This Row],[Rating]],$M$23:$N$27,2,FALSE)</f>
        <v>3</v>
      </c>
    </row>
    <row r="130" spans="1:11" x14ac:dyDescent="0.25">
      <c r="A130" t="s">
        <v>171</v>
      </c>
      <c r="B130" t="s">
        <v>15</v>
      </c>
      <c r="C130" t="s">
        <v>21</v>
      </c>
      <c r="D130">
        <v>33</v>
      </c>
      <c r="E130" s="5">
        <v>44181</v>
      </c>
      <c r="F130" s="10">
        <v>59430</v>
      </c>
      <c r="G130" t="s">
        <v>16</v>
      </c>
      <c r="H130" t="s">
        <v>206</v>
      </c>
      <c r="I130" s="17">
        <f ca="1">(TODAY()-allstaff[[#This Row],[Date Joined]])/365</f>
        <v>2.7095890410958905</v>
      </c>
      <c r="J130" s="11">
        <f ca="1">ROUNDUP(IF(allstaff[[#This Row],[Tenure in Years]]&gt;2,3%,2%)*allstaff[[#This Row],[Salary]],0)</f>
        <v>1783</v>
      </c>
      <c r="K130">
        <f>VLOOKUP(allstaff[[#This Row],[Rating]],$M$23:$N$27,2,FALSE)</f>
        <v>3</v>
      </c>
    </row>
    <row r="131" spans="1:11" x14ac:dyDescent="0.25">
      <c r="A131" t="s">
        <v>100</v>
      </c>
      <c r="B131" t="s">
        <v>15</v>
      </c>
      <c r="C131" t="s">
        <v>9</v>
      </c>
      <c r="D131">
        <v>19</v>
      </c>
      <c r="E131" s="5">
        <v>44277</v>
      </c>
      <c r="F131" s="10">
        <v>58960</v>
      </c>
      <c r="G131" t="s">
        <v>16</v>
      </c>
      <c r="H131" t="s">
        <v>205</v>
      </c>
      <c r="I131" s="17">
        <f ca="1">(TODAY()-allstaff[[#This Row],[Date Joined]])/365</f>
        <v>2.4465753424657533</v>
      </c>
      <c r="J131" s="11">
        <f ca="1">ROUNDUP(IF(allstaff[[#This Row],[Tenure in Years]]&gt;2,3%,2%)*allstaff[[#This Row],[Salary]],0)</f>
        <v>1769</v>
      </c>
      <c r="K131">
        <f>VLOOKUP(allstaff[[#This Row],[Rating]],$M$23:$N$27,2,FALSE)</f>
        <v>3</v>
      </c>
    </row>
    <row r="132" spans="1:11" x14ac:dyDescent="0.25">
      <c r="A132" t="s">
        <v>193</v>
      </c>
      <c r="B132" t="s">
        <v>15</v>
      </c>
      <c r="C132" t="s">
        <v>9</v>
      </c>
      <c r="D132">
        <v>19</v>
      </c>
      <c r="E132" s="5">
        <v>44218</v>
      </c>
      <c r="F132" s="10">
        <v>58960</v>
      </c>
      <c r="G132" t="s">
        <v>16</v>
      </c>
      <c r="H132" t="s">
        <v>206</v>
      </c>
      <c r="I132" s="17">
        <f ca="1">(TODAY()-allstaff[[#This Row],[Date Joined]])/365</f>
        <v>2.6082191780821917</v>
      </c>
      <c r="J132" s="11">
        <f ca="1">ROUNDUP(IF(allstaff[[#This Row],[Tenure in Years]]&gt;2,3%,2%)*allstaff[[#This Row],[Salary]],0)</f>
        <v>1769</v>
      </c>
      <c r="K132">
        <f>VLOOKUP(allstaff[[#This Row],[Rating]],$M$23:$N$27,2,FALSE)</f>
        <v>3</v>
      </c>
    </row>
    <row r="133" spans="1:11" x14ac:dyDescent="0.25">
      <c r="A133" t="s">
        <v>36</v>
      </c>
      <c r="B133" t="s">
        <v>8</v>
      </c>
      <c r="C133" t="s">
        <v>21</v>
      </c>
      <c r="D133">
        <v>34</v>
      </c>
      <c r="E133" s="5">
        <v>44653</v>
      </c>
      <c r="F133" s="10">
        <v>58940</v>
      </c>
      <c r="G133" t="s">
        <v>16</v>
      </c>
      <c r="H133" t="s">
        <v>205</v>
      </c>
      <c r="I133" s="17">
        <f ca="1">(TODAY()-allstaff[[#This Row],[Date Joined]])/365</f>
        <v>1.4164383561643836</v>
      </c>
      <c r="J133" s="11">
        <f ca="1">ROUNDUP(IF(allstaff[[#This Row],[Tenure in Years]]&gt;2,3%,2%)*allstaff[[#This Row],[Salary]],0)</f>
        <v>1179</v>
      </c>
      <c r="K133">
        <f>VLOOKUP(allstaff[[#This Row],[Rating]],$M$23:$N$27,2,FALSE)</f>
        <v>3</v>
      </c>
    </row>
    <row r="134" spans="1:11" x14ac:dyDescent="0.25">
      <c r="A134" t="s">
        <v>130</v>
      </c>
      <c r="B134" t="s">
        <v>8</v>
      </c>
      <c r="C134" t="s">
        <v>21</v>
      </c>
      <c r="D134">
        <v>34</v>
      </c>
      <c r="E134" s="5">
        <v>44594</v>
      </c>
      <c r="F134" s="10">
        <v>58940</v>
      </c>
      <c r="G134" t="s">
        <v>16</v>
      </c>
      <c r="H134" t="s">
        <v>206</v>
      </c>
      <c r="I134" s="17">
        <f ca="1">(TODAY()-allstaff[[#This Row],[Date Joined]])/365</f>
        <v>1.5780821917808219</v>
      </c>
      <c r="J134" s="11">
        <f ca="1">ROUNDUP(IF(allstaff[[#This Row],[Tenure in Years]]&gt;2,3%,2%)*allstaff[[#This Row],[Salary]],0)</f>
        <v>1179</v>
      </c>
      <c r="K134">
        <f>VLOOKUP(allstaff[[#This Row],[Rating]],$M$23:$N$27,2,FALSE)</f>
        <v>3</v>
      </c>
    </row>
    <row r="135" spans="1:11" x14ac:dyDescent="0.25">
      <c r="A135" t="s">
        <v>26</v>
      </c>
      <c r="B135" t="s">
        <v>8</v>
      </c>
      <c r="C135" t="s">
        <v>12</v>
      </c>
      <c r="D135">
        <v>31</v>
      </c>
      <c r="E135" s="5">
        <v>44663</v>
      </c>
      <c r="F135" s="10">
        <v>58100</v>
      </c>
      <c r="G135" t="s">
        <v>16</v>
      </c>
      <c r="H135" t="s">
        <v>205</v>
      </c>
      <c r="I135" s="17">
        <f ca="1">(TODAY()-allstaff[[#This Row],[Date Joined]])/365</f>
        <v>1.3890410958904109</v>
      </c>
      <c r="J135" s="11">
        <f ca="1">ROUNDUP(IF(allstaff[[#This Row],[Tenure in Years]]&gt;2,3%,2%)*allstaff[[#This Row],[Salary]],0)</f>
        <v>1162</v>
      </c>
      <c r="K135">
        <f>VLOOKUP(allstaff[[#This Row],[Rating]],$M$23:$N$27,2,FALSE)</f>
        <v>3</v>
      </c>
    </row>
    <row r="136" spans="1:11" x14ac:dyDescent="0.25">
      <c r="A136" t="s">
        <v>120</v>
      </c>
      <c r="B136" t="s">
        <v>8</v>
      </c>
      <c r="C136" t="s">
        <v>12</v>
      </c>
      <c r="D136">
        <v>31</v>
      </c>
      <c r="E136" s="5">
        <v>44604</v>
      </c>
      <c r="F136" s="10">
        <v>58100</v>
      </c>
      <c r="G136" t="s">
        <v>16</v>
      </c>
      <c r="H136" t="s">
        <v>206</v>
      </c>
      <c r="I136" s="17">
        <f ca="1">(TODAY()-allstaff[[#This Row],[Date Joined]])/365</f>
        <v>1.5506849315068494</v>
      </c>
      <c r="J136" s="11">
        <f ca="1">ROUNDUP(IF(allstaff[[#This Row],[Tenure in Years]]&gt;2,3%,2%)*allstaff[[#This Row],[Salary]],0)</f>
        <v>1162</v>
      </c>
      <c r="K136">
        <f>VLOOKUP(allstaff[[#This Row],[Rating]],$M$23:$N$27,2,FALSE)</f>
        <v>3</v>
      </c>
    </row>
    <row r="137" spans="1:11" x14ac:dyDescent="0.25">
      <c r="A137" t="s">
        <v>31</v>
      </c>
      <c r="B137" t="s">
        <v>15</v>
      </c>
      <c r="C137" t="s">
        <v>9</v>
      </c>
      <c r="D137">
        <v>21</v>
      </c>
      <c r="E137" s="5">
        <v>44762</v>
      </c>
      <c r="F137" s="10">
        <v>57090</v>
      </c>
      <c r="G137" t="s">
        <v>16</v>
      </c>
      <c r="H137" t="s">
        <v>205</v>
      </c>
      <c r="I137" s="17">
        <f ca="1">(TODAY()-allstaff[[#This Row],[Date Joined]])/365</f>
        <v>1.1178082191780823</v>
      </c>
      <c r="J137" s="11">
        <f ca="1">ROUNDUP(IF(allstaff[[#This Row],[Tenure in Years]]&gt;2,3%,2%)*allstaff[[#This Row],[Salary]],0)</f>
        <v>1142</v>
      </c>
      <c r="K137">
        <f>VLOOKUP(allstaff[[#This Row],[Rating]],$M$23:$N$27,2,FALSE)</f>
        <v>3</v>
      </c>
    </row>
    <row r="138" spans="1:11" x14ac:dyDescent="0.25">
      <c r="A138" t="s">
        <v>125</v>
      </c>
      <c r="B138" t="s">
        <v>15</v>
      </c>
      <c r="C138" t="s">
        <v>9</v>
      </c>
      <c r="D138">
        <v>21</v>
      </c>
      <c r="E138" s="5">
        <v>44701</v>
      </c>
      <c r="F138" s="10">
        <v>57090</v>
      </c>
      <c r="G138" t="s">
        <v>16</v>
      </c>
      <c r="H138" t="s">
        <v>206</v>
      </c>
      <c r="I138" s="17">
        <f ca="1">(TODAY()-allstaff[[#This Row],[Date Joined]])/365</f>
        <v>1.284931506849315</v>
      </c>
      <c r="J138" s="11">
        <f ca="1">ROUNDUP(IF(allstaff[[#This Row],[Tenure in Years]]&gt;2,3%,2%)*allstaff[[#This Row],[Salary]],0)</f>
        <v>1142</v>
      </c>
      <c r="K138">
        <f>VLOOKUP(allstaff[[#This Row],[Rating]],$M$23:$N$27,2,FALSE)</f>
        <v>3</v>
      </c>
    </row>
    <row r="139" spans="1:11" x14ac:dyDescent="0.25">
      <c r="A139" t="s">
        <v>109</v>
      </c>
      <c r="B139" t="s">
        <v>8</v>
      </c>
      <c r="C139" t="s">
        <v>19</v>
      </c>
      <c r="D139">
        <v>38</v>
      </c>
      <c r="E139" s="5">
        <v>44329</v>
      </c>
      <c r="F139" s="10">
        <v>56870</v>
      </c>
      <c r="G139" t="s">
        <v>13</v>
      </c>
      <c r="H139" t="s">
        <v>205</v>
      </c>
      <c r="I139" s="17">
        <f ca="1">(TODAY()-allstaff[[#This Row],[Date Joined]])/365</f>
        <v>2.3041095890410959</v>
      </c>
      <c r="J139" s="11">
        <f ca="1">ROUNDUP(IF(allstaff[[#This Row],[Tenure in Years]]&gt;2,3%,2%)*allstaff[[#This Row],[Salary]],0)</f>
        <v>1707</v>
      </c>
      <c r="K139">
        <f>VLOOKUP(allstaff[[#This Row],[Rating]],$M$23:$N$27,2,FALSE)</f>
        <v>4</v>
      </c>
    </row>
    <row r="140" spans="1:11" x14ac:dyDescent="0.25">
      <c r="A140" t="s">
        <v>202</v>
      </c>
      <c r="B140" t="s">
        <v>8</v>
      </c>
      <c r="C140" t="s">
        <v>19</v>
      </c>
      <c r="D140">
        <v>38</v>
      </c>
      <c r="E140" s="5">
        <v>44268</v>
      </c>
      <c r="F140" s="10">
        <v>56870</v>
      </c>
      <c r="G140" t="s">
        <v>13</v>
      </c>
      <c r="H140" t="s">
        <v>206</v>
      </c>
      <c r="I140" s="17">
        <f ca="1">(TODAY()-allstaff[[#This Row],[Date Joined]])/365</f>
        <v>2.4712328767123286</v>
      </c>
      <c r="J140" s="11">
        <f ca="1">ROUNDUP(IF(allstaff[[#This Row],[Tenure in Years]]&gt;2,3%,2%)*allstaff[[#This Row],[Salary]],0)</f>
        <v>1707</v>
      </c>
      <c r="K140">
        <f>VLOOKUP(allstaff[[#This Row],[Rating]],$M$23:$N$27,2,FALSE)</f>
        <v>4</v>
      </c>
    </row>
    <row r="141" spans="1:11" x14ac:dyDescent="0.25">
      <c r="A141" t="s">
        <v>89</v>
      </c>
      <c r="B141" t="s">
        <v>15</v>
      </c>
      <c r="C141" t="s">
        <v>19</v>
      </c>
      <c r="D141">
        <v>27</v>
      </c>
      <c r="E141" s="5">
        <v>44134</v>
      </c>
      <c r="F141" s="10">
        <v>54970</v>
      </c>
      <c r="G141" t="s">
        <v>16</v>
      </c>
      <c r="H141" t="s">
        <v>205</v>
      </c>
      <c r="I141" s="17">
        <f ca="1">(TODAY()-allstaff[[#This Row],[Date Joined]])/365</f>
        <v>2.8383561643835615</v>
      </c>
      <c r="J141" s="11">
        <f ca="1">ROUNDUP(IF(allstaff[[#This Row],[Tenure in Years]]&gt;2,3%,2%)*allstaff[[#This Row],[Salary]],0)</f>
        <v>1650</v>
      </c>
      <c r="K141">
        <f>VLOOKUP(allstaff[[#This Row],[Rating]],$M$23:$N$27,2,FALSE)</f>
        <v>3</v>
      </c>
    </row>
    <row r="142" spans="1:11" x14ac:dyDescent="0.25">
      <c r="A142" t="s">
        <v>182</v>
      </c>
      <c r="B142" t="s">
        <v>15</v>
      </c>
      <c r="C142" t="s">
        <v>19</v>
      </c>
      <c r="D142">
        <v>27</v>
      </c>
      <c r="E142" s="5">
        <v>44073</v>
      </c>
      <c r="F142" s="10">
        <v>54970</v>
      </c>
      <c r="G142" t="s">
        <v>16</v>
      </c>
      <c r="H142" t="s">
        <v>206</v>
      </c>
      <c r="I142" s="17">
        <f ca="1">(TODAY()-allstaff[[#This Row],[Date Joined]])/365</f>
        <v>3.0054794520547947</v>
      </c>
      <c r="J142" s="11">
        <f ca="1">ROUNDUP(IF(allstaff[[#This Row],[Tenure in Years]]&gt;2,3%,2%)*allstaff[[#This Row],[Salary]],0)</f>
        <v>1650</v>
      </c>
      <c r="K142">
        <f>VLOOKUP(allstaff[[#This Row],[Rating]],$M$23:$N$27,2,FALSE)</f>
        <v>3</v>
      </c>
    </row>
    <row r="143" spans="1:11" x14ac:dyDescent="0.25">
      <c r="A143" t="s">
        <v>82</v>
      </c>
      <c r="B143" t="s">
        <v>15</v>
      </c>
      <c r="C143" t="s">
        <v>12</v>
      </c>
      <c r="D143">
        <v>33</v>
      </c>
      <c r="E143" s="5">
        <v>44509</v>
      </c>
      <c r="F143" s="10">
        <v>53870</v>
      </c>
      <c r="G143" t="s">
        <v>16</v>
      </c>
      <c r="H143" t="s">
        <v>205</v>
      </c>
      <c r="I143" s="17">
        <f ca="1">(TODAY()-allstaff[[#This Row],[Date Joined]])/365</f>
        <v>1.810958904109589</v>
      </c>
      <c r="J143" s="11">
        <f ca="1">ROUNDUP(IF(allstaff[[#This Row],[Tenure in Years]]&gt;2,3%,2%)*allstaff[[#This Row],[Salary]],0)</f>
        <v>1078</v>
      </c>
      <c r="K143">
        <f>VLOOKUP(allstaff[[#This Row],[Rating]],$M$23:$N$27,2,FALSE)</f>
        <v>3</v>
      </c>
    </row>
    <row r="144" spans="1:11" x14ac:dyDescent="0.25">
      <c r="A144" t="s">
        <v>174</v>
      </c>
      <c r="B144" t="s">
        <v>15</v>
      </c>
      <c r="C144" t="s">
        <v>12</v>
      </c>
      <c r="D144">
        <v>33</v>
      </c>
      <c r="E144" s="5">
        <v>44448</v>
      </c>
      <c r="F144" s="10">
        <v>53870</v>
      </c>
      <c r="G144" t="s">
        <v>16</v>
      </c>
      <c r="H144" t="s">
        <v>206</v>
      </c>
      <c r="I144" s="17">
        <f ca="1">(TODAY()-allstaff[[#This Row],[Date Joined]])/365</f>
        <v>1.978082191780822</v>
      </c>
      <c r="J144" s="11">
        <f ca="1">ROUNDUP(IF(allstaff[[#This Row],[Tenure in Years]]&gt;2,3%,2%)*allstaff[[#This Row],[Salary]],0)</f>
        <v>1078</v>
      </c>
      <c r="K144">
        <f>VLOOKUP(allstaff[[#This Row],[Rating]],$M$23:$N$27,2,FALSE)</f>
        <v>3</v>
      </c>
    </row>
    <row r="145" spans="1:11" x14ac:dyDescent="0.25">
      <c r="A145" t="s">
        <v>65</v>
      </c>
      <c r="B145" t="s">
        <v>15</v>
      </c>
      <c r="C145" t="s">
        <v>19</v>
      </c>
      <c r="D145">
        <v>32</v>
      </c>
      <c r="E145" s="5">
        <v>44465</v>
      </c>
      <c r="F145" s="10">
        <v>53540</v>
      </c>
      <c r="G145" t="s">
        <v>16</v>
      </c>
      <c r="H145" t="s">
        <v>205</v>
      </c>
      <c r="I145" s="17">
        <f ca="1">(TODAY()-allstaff[[#This Row],[Date Joined]])/365</f>
        <v>1.9315068493150684</v>
      </c>
      <c r="J145" s="11">
        <f ca="1">ROUNDUP(IF(allstaff[[#This Row],[Tenure in Years]]&gt;2,3%,2%)*allstaff[[#This Row],[Salary]],0)</f>
        <v>1071</v>
      </c>
      <c r="K145">
        <f>VLOOKUP(allstaff[[#This Row],[Rating]],$M$23:$N$27,2,FALSE)</f>
        <v>3</v>
      </c>
    </row>
    <row r="146" spans="1:11" x14ac:dyDescent="0.25">
      <c r="A146" t="s">
        <v>46</v>
      </c>
      <c r="B146" t="s">
        <v>15</v>
      </c>
      <c r="C146" t="s">
        <v>9</v>
      </c>
      <c r="D146">
        <v>26</v>
      </c>
      <c r="E146" s="5">
        <v>44411</v>
      </c>
      <c r="F146" s="10">
        <v>53540</v>
      </c>
      <c r="G146" t="s">
        <v>16</v>
      </c>
      <c r="H146" t="s">
        <v>205</v>
      </c>
      <c r="I146" s="17">
        <f ca="1">(TODAY()-allstaff[[#This Row],[Date Joined]])/365</f>
        <v>2.0794520547945203</v>
      </c>
      <c r="J146" s="11">
        <f ca="1">ROUNDUP(IF(allstaff[[#This Row],[Tenure in Years]]&gt;2,3%,2%)*allstaff[[#This Row],[Salary]],0)</f>
        <v>1607</v>
      </c>
      <c r="K146">
        <f>VLOOKUP(allstaff[[#This Row],[Rating]],$M$23:$N$27,2,FALSE)</f>
        <v>3</v>
      </c>
    </row>
    <row r="147" spans="1:11" x14ac:dyDescent="0.25">
      <c r="A147" t="s">
        <v>157</v>
      </c>
      <c r="B147" t="s">
        <v>15</v>
      </c>
      <c r="C147" t="s">
        <v>19</v>
      </c>
      <c r="D147">
        <v>32</v>
      </c>
      <c r="E147" s="5">
        <v>44403</v>
      </c>
      <c r="F147" s="10">
        <v>53540</v>
      </c>
      <c r="G147" t="s">
        <v>16</v>
      </c>
      <c r="H147" t="s">
        <v>206</v>
      </c>
      <c r="I147" s="17">
        <f ca="1">(TODAY()-allstaff[[#This Row],[Date Joined]])/365</f>
        <v>2.1013698630136988</v>
      </c>
      <c r="J147" s="11">
        <f ca="1">ROUNDUP(IF(allstaff[[#This Row],[Tenure in Years]]&gt;2,3%,2%)*allstaff[[#This Row],[Salary]],0)</f>
        <v>1607</v>
      </c>
      <c r="K147">
        <f>VLOOKUP(allstaff[[#This Row],[Rating]],$M$23:$N$27,2,FALSE)</f>
        <v>3</v>
      </c>
    </row>
    <row r="148" spans="1:11" x14ac:dyDescent="0.25">
      <c r="A148" t="s">
        <v>139</v>
      </c>
      <c r="B148" t="s">
        <v>15</v>
      </c>
      <c r="C148" t="s">
        <v>9</v>
      </c>
      <c r="D148">
        <v>26</v>
      </c>
      <c r="E148" s="5">
        <v>44350</v>
      </c>
      <c r="F148" s="10">
        <v>53540</v>
      </c>
      <c r="G148" t="s">
        <v>16</v>
      </c>
      <c r="H148" t="s">
        <v>206</v>
      </c>
      <c r="I148" s="17">
        <f ca="1">(TODAY()-allstaff[[#This Row],[Date Joined]])/365</f>
        <v>2.2465753424657535</v>
      </c>
      <c r="J148" s="11">
        <f ca="1">ROUNDUP(IF(allstaff[[#This Row],[Tenure in Years]]&gt;2,3%,2%)*allstaff[[#This Row],[Salary]],0)</f>
        <v>1607</v>
      </c>
      <c r="K148">
        <f>VLOOKUP(allstaff[[#This Row],[Rating]],$M$23:$N$27,2,FALSE)</f>
        <v>3</v>
      </c>
    </row>
    <row r="149" spans="1:11" x14ac:dyDescent="0.25">
      <c r="A149" t="s">
        <v>75</v>
      </c>
      <c r="B149" t="s">
        <v>8</v>
      </c>
      <c r="C149" t="s">
        <v>19</v>
      </c>
      <c r="D149">
        <v>28</v>
      </c>
      <c r="E149" s="5">
        <v>44357</v>
      </c>
      <c r="F149" s="10">
        <v>53240</v>
      </c>
      <c r="G149" t="s">
        <v>16</v>
      </c>
      <c r="H149" t="s">
        <v>205</v>
      </c>
      <c r="I149" s="17">
        <f ca="1">(TODAY()-allstaff[[#This Row],[Date Joined]])/365</f>
        <v>2.2273972602739724</v>
      </c>
      <c r="J149" s="11">
        <f ca="1">ROUNDUP(IF(allstaff[[#This Row],[Tenure in Years]]&gt;2,3%,2%)*allstaff[[#This Row],[Salary]],0)</f>
        <v>1598</v>
      </c>
      <c r="K149">
        <f>VLOOKUP(allstaff[[#This Row],[Rating]],$M$23:$N$27,2,FALSE)</f>
        <v>3</v>
      </c>
    </row>
    <row r="150" spans="1:11" x14ac:dyDescent="0.25">
      <c r="A150" t="s">
        <v>167</v>
      </c>
      <c r="B150" t="s">
        <v>8</v>
      </c>
      <c r="C150" t="s">
        <v>19</v>
      </c>
      <c r="D150">
        <v>28</v>
      </c>
      <c r="E150" s="5">
        <v>44296</v>
      </c>
      <c r="F150" s="10">
        <v>53240</v>
      </c>
      <c r="G150" t="s">
        <v>16</v>
      </c>
      <c r="H150" t="s">
        <v>206</v>
      </c>
      <c r="I150" s="17">
        <f ca="1">(TODAY()-allstaff[[#This Row],[Date Joined]])/365</f>
        <v>2.3945205479452056</v>
      </c>
      <c r="J150" s="11">
        <f ca="1">ROUNDUP(IF(allstaff[[#This Row],[Tenure in Years]]&gt;2,3%,2%)*allstaff[[#This Row],[Salary]],0)</f>
        <v>1598</v>
      </c>
      <c r="K150">
        <f>VLOOKUP(allstaff[[#This Row],[Rating]],$M$23:$N$27,2,FALSE)</f>
        <v>3</v>
      </c>
    </row>
    <row r="151" spans="1:11" x14ac:dyDescent="0.25">
      <c r="A151" t="s">
        <v>63</v>
      </c>
      <c r="B151" t="s">
        <v>15</v>
      </c>
      <c r="C151" t="s">
        <v>21</v>
      </c>
      <c r="D151">
        <v>24</v>
      </c>
      <c r="E151" s="5">
        <v>44436</v>
      </c>
      <c r="F151" s="10">
        <v>52610</v>
      </c>
      <c r="G151" t="s">
        <v>24</v>
      </c>
      <c r="H151" t="s">
        <v>205</v>
      </c>
      <c r="I151" s="17">
        <f ca="1">(TODAY()-allstaff[[#This Row],[Date Joined]])/365</f>
        <v>2.010958904109589</v>
      </c>
      <c r="J151" s="11">
        <f ca="1">ROUNDUP(IF(allstaff[[#This Row],[Tenure in Years]]&gt;2,3%,2%)*allstaff[[#This Row],[Salary]],0)</f>
        <v>1579</v>
      </c>
      <c r="K151">
        <f>VLOOKUP(allstaff[[#This Row],[Rating]],$M$23:$N$27,2,FALSE)</f>
        <v>2</v>
      </c>
    </row>
    <row r="152" spans="1:11" x14ac:dyDescent="0.25">
      <c r="A152" t="s">
        <v>155</v>
      </c>
      <c r="B152" t="s">
        <v>15</v>
      </c>
      <c r="C152" t="s">
        <v>21</v>
      </c>
      <c r="D152">
        <v>24</v>
      </c>
      <c r="E152" s="5">
        <v>44375</v>
      </c>
      <c r="F152" s="10">
        <v>52610</v>
      </c>
      <c r="G152" t="s">
        <v>24</v>
      </c>
      <c r="H152" t="s">
        <v>206</v>
      </c>
      <c r="I152" s="17">
        <f ca="1">(TODAY()-allstaff[[#This Row],[Date Joined]])/365</f>
        <v>2.1780821917808217</v>
      </c>
      <c r="J152" s="11">
        <f ca="1">ROUNDUP(IF(allstaff[[#This Row],[Tenure in Years]]&gt;2,3%,2%)*allstaff[[#This Row],[Salary]],0)</f>
        <v>1579</v>
      </c>
      <c r="K152">
        <f>VLOOKUP(allstaff[[#This Row],[Rating]],$M$23:$N$27,2,FALSE)</f>
        <v>2</v>
      </c>
    </row>
    <row r="153" spans="1:11" x14ac:dyDescent="0.25">
      <c r="A153" t="s">
        <v>73</v>
      </c>
      <c r="B153" t="s">
        <v>8</v>
      </c>
      <c r="C153" t="s">
        <v>19</v>
      </c>
      <c r="D153">
        <v>34</v>
      </c>
      <c r="E153" s="5">
        <v>44721</v>
      </c>
      <c r="F153" s="10">
        <v>49630</v>
      </c>
      <c r="G153" t="s">
        <v>24</v>
      </c>
      <c r="H153" t="s">
        <v>205</v>
      </c>
      <c r="I153" s="17">
        <f ca="1">(TODAY()-allstaff[[#This Row],[Date Joined]])/365</f>
        <v>1.2301369863013698</v>
      </c>
      <c r="J153" s="11">
        <f ca="1">ROUNDUP(IF(allstaff[[#This Row],[Tenure in Years]]&gt;2,3%,2%)*allstaff[[#This Row],[Salary]],0)</f>
        <v>993</v>
      </c>
      <c r="K153">
        <f>VLOOKUP(allstaff[[#This Row],[Rating]],$M$23:$N$27,2,FALSE)</f>
        <v>2</v>
      </c>
    </row>
    <row r="154" spans="1:11" x14ac:dyDescent="0.25">
      <c r="A154" t="s">
        <v>165</v>
      </c>
      <c r="B154" t="s">
        <v>8</v>
      </c>
      <c r="C154" t="s">
        <v>19</v>
      </c>
      <c r="D154">
        <v>34</v>
      </c>
      <c r="E154" s="5">
        <v>44660</v>
      </c>
      <c r="F154" s="10">
        <v>49630</v>
      </c>
      <c r="G154" t="s">
        <v>24</v>
      </c>
      <c r="H154" t="s">
        <v>206</v>
      </c>
      <c r="I154" s="17">
        <f ca="1">(TODAY()-allstaff[[#This Row],[Date Joined]])/365</f>
        <v>1.3972602739726028</v>
      </c>
      <c r="J154" s="11">
        <f ca="1">ROUNDUP(IF(allstaff[[#This Row],[Tenure in Years]]&gt;2,3%,2%)*allstaff[[#This Row],[Salary]],0)</f>
        <v>993</v>
      </c>
      <c r="K154">
        <f>VLOOKUP(allstaff[[#This Row],[Rating]],$M$23:$N$27,2,FALSE)</f>
        <v>2</v>
      </c>
    </row>
    <row r="155" spans="1:11" x14ac:dyDescent="0.25">
      <c r="A155" t="s">
        <v>53</v>
      </c>
      <c r="B155" t="s">
        <v>15</v>
      </c>
      <c r="C155" t="s">
        <v>21</v>
      </c>
      <c r="D155">
        <v>27</v>
      </c>
      <c r="E155" s="5">
        <v>44567</v>
      </c>
      <c r="F155" s="10">
        <v>48980</v>
      </c>
      <c r="G155" t="s">
        <v>16</v>
      </c>
      <c r="H155" t="s">
        <v>205</v>
      </c>
      <c r="I155" s="17">
        <f ca="1">(TODAY()-allstaff[[#This Row],[Date Joined]])/365</f>
        <v>1.6520547945205479</v>
      </c>
      <c r="J155" s="11">
        <f ca="1">ROUNDUP(IF(allstaff[[#This Row],[Tenure in Years]]&gt;2,3%,2%)*allstaff[[#This Row],[Salary]],0)</f>
        <v>980</v>
      </c>
      <c r="K155">
        <f>VLOOKUP(allstaff[[#This Row],[Rating]],$M$23:$N$27,2,FALSE)</f>
        <v>3</v>
      </c>
    </row>
    <row r="156" spans="1:11" x14ac:dyDescent="0.25">
      <c r="A156" t="s">
        <v>146</v>
      </c>
      <c r="B156" t="s">
        <v>15</v>
      </c>
      <c r="C156" t="s">
        <v>21</v>
      </c>
      <c r="D156">
        <v>27</v>
      </c>
      <c r="E156" s="5">
        <v>44506</v>
      </c>
      <c r="F156" s="10">
        <v>48980</v>
      </c>
      <c r="G156" t="s">
        <v>16</v>
      </c>
      <c r="H156" t="s">
        <v>206</v>
      </c>
      <c r="I156" s="17">
        <f ca="1">(TODAY()-allstaff[[#This Row],[Date Joined]])/365</f>
        <v>1.8191780821917809</v>
      </c>
      <c r="J156" s="11">
        <f ca="1">ROUNDUP(IF(allstaff[[#This Row],[Tenure in Years]]&gt;2,3%,2%)*allstaff[[#This Row],[Salary]],0)</f>
        <v>980</v>
      </c>
      <c r="K156">
        <f>VLOOKUP(allstaff[[#This Row],[Rating]],$M$23:$N$27,2,FALSE)</f>
        <v>3</v>
      </c>
    </row>
    <row r="157" spans="1:11" x14ac:dyDescent="0.25">
      <c r="A157" t="s">
        <v>14</v>
      </c>
      <c r="B157" t="s">
        <v>15</v>
      </c>
      <c r="C157" t="s">
        <v>12</v>
      </c>
      <c r="D157">
        <v>31</v>
      </c>
      <c r="E157" s="5">
        <v>44511</v>
      </c>
      <c r="F157" s="10">
        <v>48950</v>
      </c>
      <c r="G157" t="s">
        <v>16</v>
      </c>
      <c r="H157" t="s">
        <v>205</v>
      </c>
      <c r="I157" s="17">
        <f ca="1">(TODAY()-allstaff[[#This Row],[Date Joined]])/365</f>
        <v>1.8054794520547945</v>
      </c>
      <c r="J157" s="11">
        <f ca="1">ROUNDUP(IF(allstaff[[#This Row],[Tenure in Years]]&gt;2,3%,2%)*allstaff[[#This Row],[Salary]],0)</f>
        <v>979</v>
      </c>
      <c r="K157">
        <f>VLOOKUP(allstaff[[#This Row],[Rating]],$M$23:$N$27,2,FALSE)</f>
        <v>3</v>
      </c>
    </row>
    <row r="158" spans="1:11" x14ac:dyDescent="0.25">
      <c r="A158" t="s">
        <v>113</v>
      </c>
      <c r="B158" t="s">
        <v>15</v>
      </c>
      <c r="C158" t="s">
        <v>12</v>
      </c>
      <c r="D158">
        <v>31</v>
      </c>
      <c r="E158" s="5">
        <v>44450</v>
      </c>
      <c r="F158" s="10">
        <v>48950</v>
      </c>
      <c r="G158" t="s">
        <v>16</v>
      </c>
      <c r="H158" t="s">
        <v>206</v>
      </c>
      <c r="I158" s="17">
        <f ca="1">(TODAY()-allstaff[[#This Row],[Date Joined]])/365</f>
        <v>1.9726027397260273</v>
      </c>
      <c r="J158" s="11">
        <f ca="1">ROUNDUP(IF(allstaff[[#This Row],[Tenure in Years]]&gt;2,3%,2%)*allstaff[[#This Row],[Salary]],0)</f>
        <v>979</v>
      </c>
      <c r="K158">
        <f>VLOOKUP(allstaff[[#This Row],[Rating]],$M$23:$N$27,2,FALSE)</f>
        <v>3</v>
      </c>
    </row>
    <row r="159" spans="1:11" x14ac:dyDescent="0.25">
      <c r="A159" t="s">
        <v>51</v>
      </c>
      <c r="B159" t="s">
        <v>15</v>
      </c>
      <c r="C159" t="s">
        <v>9</v>
      </c>
      <c r="D159">
        <v>33</v>
      </c>
      <c r="E159" s="5">
        <v>44701</v>
      </c>
      <c r="F159" s="10">
        <v>48530</v>
      </c>
      <c r="G159" t="s">
        <v>13</v>
      </c>
      <c r="H159" t="s">
        <v>205</v>
      </c>
      <c r="I159" s="17">
        <f ca="1">(TODAY()-allstaff[[#This Row],[Date Joined]])/365</f>
        <v>1.284931506849315</v>
      </c>
      <c r="J159" s="11">
        <f ca="1">ROUNDUP(IF(allstaff[[#This Row],[Tenure in Years]]&gt;2,3%,2%)*allstaff[[#This Row],[Salary]],0)</f>
        <v>971</v>
      </c>
      <c r="K159">
        <f>VLOOKUP(allstaff[[#This Row],[Rating]],$M$23:$N$27,2,FALSE)</f>
        <v>4</v>
      </c>
    </row>
    <row r="160" spans="1:11" x14ac:dyDescent="0.25">
      <c r="A160" t="s">
        <v>144</v>
      </c>
      <c r="B160" t="s">
        <v>15</v>
      </c>
      <c r="C160" t="s">
        <v>9</v>
      </c>
      <c r="D160">
        <v>33</v>
      </c>
      <c r="E160" s="5">
        <v>44640</v>
      </c>
      <c r="F160" s="10">
        <v>48530</v>
      </c>
      <c r="G160" t="s">
        <v>13</v>
      </c>
      <c r="H160" t="s">
        <v>206</v>
      </c>
      <c r="I160" s="17">
        <f ca="1">(TODAY()-allstaff[[#This Row],[Date Joined]])/365</f>
        <v>1.452054794520548</v>
      </c>
      <c r="J160" s="11">
        <f ca="1">ROUNDUP(IF(allstaff[[#This Row],[Tenure in Years]]&gt;2,3%,2%)*allstaff[[#This Row],[Salary]],0)</f>
        <v>971</v>
      </c>
      <c r="K160">
        <f>VLOOKUP(allstaff[[#This Row],[Rating]],$M$23:$N$27,2,FALSE)</f>
        <v>4</v>
      </c>
    </row>
    <row r="161" spans="1:11" x14ac:dyDescent="0.25">
      <c r="A161" t="s">
        <v>29</v>
      </c>
      <c r="B161" t="s">
        <v>15</v>
      </c>
      <c r="C161" t="s">
        <v>21</v>
      </c>
      <c r="D161">
        <v>28</v>
      </c>
      <c r="E161" s="5">
        <v>44041</v>
      </c>
      <c r="F161" s="10">
        <v>48170</v>
      </c>
      <c r="G161" t="s">
        <v>13</v>
      </c>
      <c r="H161" t="s">
        <v>205</v>
      </c>
      <c r="I161" s="17">
        <f ca="1">(TODAY()-allstaff[[#This Row],[Date Joined]])/365</f>
        <v>3.0931506849315067</v>
      </c>
      <c r="J161" s="11">
        <f ca="1">ROUNDUP(IF(allstaff[[#This Row],[Tenure in Years]]&gt;2,3%,2%)*allstaff[[#This Row],[Salary]],0)</f>
        <v>1446</v>
      </c>
      <c r="K161">
        <f>VLOOKUP(allstaff[[#This Row],[Rating]],$M$23:$N$27,2,FALSE)</f>
        <v>4</v>
      </c>
    </row>
    <row r="162" spans="1:11" x14ac:dyDescent="0.25">
      <c r="A162" t="s">
        <v>123</v>
      </c>
      <c r="B162" t="s">
        <v>15</v>
      </c>
      <c r="C162" t="s">
        <v>21</v>
      </c>
      <c r="D162">
        <v>28</v>
      </c>
      <c r="E162" s="5">
        <v>43980</v>
      </c>
      <c r="F162" s="10">
        <v>48170</v>
      </c>
      <c r="G162" t="s">
        <v>13</v>
      </c>
      <c r="H162" t="s">
        <v>206</v>
      </c>
      <c r="I162" s="17">
        <f ca="1">(TODAY()-allstaff[[#This Row],[Date Joined]])/365</f>
        <v>3.2602739726027399</v>
      </c>
      <c r="J162" s="11">
        <f ca="1">ROUNDUP(IF(allstaff[[#This Row],[Tenure in Years]]&gt;2,3%,2%)*allstaff[[#This Row],[Salary]],0)</f>
        <v>1446</v>
      </c>
      <c r="K162">
        <f>VLOOKUP(allstaff[[#This Row],[Rating]],$M$23:$N$27,2,FALSE)</f>
        <v>4</v>
      </c>
    </row>
    <row r="163" spans="1:11" x14ac:dyDescent="0.25">
      <c r="A163" t="s">
        <v>59</v>
      </c>
      <c r="B163" t="s">
        <v>15</v>
      </c>
      <c r="C163" t="s">
        <v>9</v>
      </c>
      <c r="D163">
        <v>26</v>
      </c>
      <c r="E163" s="5">
        <v>44225</v>
      </c>
      <c r="F163" s="10">
        <v>47360</v>
      </c>
      <c r="G163" t="s">
        <v>16</v>
      </c>
      <c r="H163" t="s">
        <v>205</v>
      </c>
      <c r="I163" s="17">
        <f ca="1">(TODAY()-allstaff[[#This Row],[Date Joined]])/365</f>
        <v>2.5890410958904111</v>
      </c>
      <c r="J163" s="11">
        <f ca="1">ROUNDUP(IF(allstaff[[#This Row],[Tenure in Years]]&gt;2,3%,2%)*allstaff[[#This Row],[Salary]],0)</f>
        <v>1421</v>
      </c>
      <c r="K163">
        <f>VLOOKUP(allstaff[[#This Row],[Rating]],$M$23:$N$27,2,FALSE)</f>
        <v>3</v>
      </c>
    </row>
    <row r="164" spans="1:11" x14ac:dyDescent="0.25">
      <c r="A164" t="s">
        <v>151</v>
      </c>
      <c r="B164" t="s">
        <v>15</v>
      </c>
      <c r="C164" t="s">
        <v>9</v>
      </c>
      <c r="D164">
        <v>26</v>
      </c>
      <c r="E164" s="5">
        <v>44164</v>
      </c>
      <c r="F164" s="10">
        <v>47360</v>
      </c>
      <c r="G164" t="s">
        <v>16</v>
      </c>
      <c r="H164" t="s">
        <v>206</v>
      </c>
      <c r="I164" s="17">
        <f ca="1">(TODAY()-allstaff[[#This Row],[Date Joined]])/365</f>
        <v>2.7561643835616438</v>
      </c>
      <c r="J164" s="11">
        <f ca="1">ROUNDUP(IF(allstaff[[#This Row],[Tenure in Years]]&gt;2,3%,2%)*allstaff[[#This Row],[Salary]],0)</f>
        <v>1421</v>
      </c>
      <c r="K164">
        <f>VLOOKUP(allstaff[[#This Row],[Rating]],$M$23:$N$27,2,FALSE)</f>
        <v>3</v>
      </c>
    </row>
    <row r="165" spans="1:11" x14ac:dyDescent="0.25">
      <c r="A165" t="s">
        <v>108</v>
      </c>
      <c r="B165" t="s">
        <v>8</v>
      </c>
      <c r="C165" t="s">
        <v>56</v>
      </c>
      <c r="D165">
        <v>32</v>
      </c>
      <c r="E165" s="5">
        <v>44400</v>
      </c>
      <c r="F165" s="10">
        <v>45510</v>
      </c>
      <c r="G165" t="s">
        <v>16</v>
      </c>
      <c r="H165" t="s">
        <v>205</v>
      </c>
      <c r="I165" s="17">
        <f ca="1">(TODAY()-allstaff[[#This Row],[Date Joined]])/365</f>
        <v>2.1095890410958904</v>
      </c>
      <c r="J165" s="11">
        <f ca="1">ROUNDUP(IF(allstaff[[#This Row],[Tenure in Years]]&gt;2,3%,2%)*allstaff[[#This Row],[Salary]],0)</f>
        <v>1366</v>
      </c>
      <c r="K165">
        <f>VLOOKUP(allstaff[[#This Row],[Rating]],$M$23:$N$27,2,FALSE)</f>
        <v>3</v>
      </c>
    </row>
    <row r="166" spans="1:11" x14ac:dyDescent="0.25">
      <c r="A166" t="s">
        <v>201</v>
      </c>
      <c r="B166" t="s">
        <v>8</v>
      </c>
      <c r="C166" t="s">
        <v>56</v>
      </c>
      <c r="D166">
        <v>32</v>
      </c>
      <c r="E166" s="5">
        <v>44339</v>
      </c>
      <c r="F166" s="10">
        <v>45510</v>
      </c>
      <c r="G166" t="s">
        <v>16</v>
      </c>
      <c r="H166" t="s">
        <v>206</v>
      </c>
      <c r="I166" s="17">
        <f ca="1">(TODAY()-allstaff[[#This Row],[Date Joined]])/365</f>
        <v>2.2767123287671232</v>
      </c>
      <c r="J166" s="11">
        <f ca="1">ROUNDUP(IF(allstaff[[#This Row],[Tenure in Years]]&gt;2,3%,2%)*allstaff[[#This Row],[Salary]],0)</f>
        <v>1366</v>
      </c>
      <c r="K166">
        <f>VLOOKUP(allstaff[[#This Row],[Rating]],$M$23:$N$27,2,FALSE)</f>
        <v>3</v>
      </c>
    </row>
    <row r="167" spans="1:11" x14ac:dyDescent="0.25">
      <c r="A167" t="s">
        <v>84</v>
      </c>
      <c r="B167" t="s">
        <v>8</v>
      </c>
      <c r="C167" t="s">
        <v>12</v>
      </c>
      <c r="D167">
        <v>32</v>
      </c>
      <c r="E167" s="5">
        <v>44354</v>
      </c>
      <c r="F167" s="10">
        <v>43840</v>
      </c>
      <c r="G167" t="s">
        <v>13</v>
      </c>
      <c r="H167" t="s">
        <v>205</v>
      </c>
      <c r="I167" s="17">
        <f ca="1">(TODAY()-allstaff[[#This Row],[Date Joined]])/365</f>
        <v>2.2356164383561645</v>
      </c>
      <c r="J167" s="11">
        <f ca="1">ROUNDUP(IF(allstaff[[#This Row],[Tenure in Years]]&gt;2,3%,2%)*allstaff[[#This Row],[Salary]],0)</f>
        <v>1316</v>
      </c>
      <c r="K167">
        <f>VLOOKUP(allstaff[[#This Row],[Rating]],$M$23:$N$27,2,FALSE)</f>
        <v>4</v>
      </c>
    </row>
    <row r="168" spans="1:11" x14ac:dyDescent="0.25">
      <c r="A168" t="s">
        <v>176</v>
      </c>
      <c r="B168" t="s">
        <v>8</v>
      </c>
      <c r="C168" t="s">
        <v>12</v>
      </c>
      <c r="D168">
        <v>32</v>
      </c>
      <c r="E168" s="5">
        <v>44293</v>
      </c>
      <c r="F168" s="10">
        <v>43840</v>
      </c>
      <c r="G168" t="s">
        <v>13</v>
      </c>
      <c r="H168" t="s">
        <v>206</v>
      </c>
      <c r="I168" s="17">
        <f ca="1">(TODAY()-allstaff[[#This Row],[Date Joined]])/365</f>
        <v>2.4027397260273973</v>
      </c>
      <c r="J168" s="11">
        <f ca="1">ROUNDUP(IF(allstaff[[#This Row],[Tenure in Years]]&gt;2,3%,2%)*allstaff[[#This Row],[Salary]],0)</f>
        <v>1316</v>
      </c>
      <c r="K168">
        <f>VLOOKUP(allstaff[[#This Row],[Rating]],$M$23:$N$27,2,FALSE)</f>
        <v>4</v>
      </c>
    </row>
    <row r="169" spans="1:11" x14ac:dyDescent="0.25">
      <c r="A169" t="s">
        <v>80</v>
      </c>
      <c r="B169" t="s">
        <v>15</v>
      </c>
      <c r="C169" t="s">
        <v>19</v>
      </c>
      <c r="D169">
        <v>28</v>
      </c>
      <c r="E169" s="5">
        <v>44820</v>
      </c>
      <c r="F169" s="10">
        <v>43510</v>
      </c>
      <c r="G169" t="s">
        <v>42</v>
      </c>
      <c r="H169" t="s">
        <v>205</v>
      </c>
      <c r="I169" s="17">
        <f ca="1">(TODAY()-allstaff[[#This Row],[Date Joined]])/365</f>
        <v>0.95890410958904104</v>
      </c>
      <c r="J169" s="11">
        <f ca="1">ROUNDUP(IF(allstaff[[#This Row],[Tenure in Years]]&gt;2,3%,2%)*allstaff[[#This Row],[Salary]],0)</f>
        <v>871</v>
      </c>
      <c r="K169">
        <f>VLOOKUP(allstaff[[#This Row],[Rating]],$M$23:$N$27,2,FALSE)</f>
        <v>1</v>
      </c>
    </row>
    <row r="170" spans="1:11" x14ac:dyDescent="0.25">
      <c r="A170" t="s">
        <v>172</v>
      </c>
      <c r="B170" t="s">
        <v>15</v>
      </c>
      <c r="C170" t="s">
        <v>19</v>
      </c>
      <c r="D170">
        <v>28</v>
      </c>
      <c r="E170" s="5">
        <v>44758</v>
      </c>
      <c r="F170" s="10">
        <v>43510</v>
      </c>
      <c r="G170" t="s">
        <v>42</v>
      </c>
      <c r="H170" t="s">
        <v>206</v>
      </c>
      <c r="I170" s="17">
        <f ca="1">(TODAY()-allstaff[[#This Row],[Date Joined]])/365</f>
        <v>1.1287671232876713</v>
      </c>
      <c r="J170" s="11">
        <f ca="1">ROUNDUP(IF(allstaff[[#This Row],[Tenure in Years]]&gt;2,3%,2%)*allstaff[[#This Row],[Salary]],0)</f>
        <v>871</v>
      </c>
      <c r="K170">
        <f>VLOOKUP(allstaff[[#This Row],[Rating]],$M$23:$N$27,2,FALSE)</f>
        <v>1</v>
      </c>
    </row>
    <row r="171" spans="1:11" x14ac:dyDescent="0.25">
      <c r="A171" t="s">
        <v>30</v>
      </c>
      <c r="B171" t="s">
        <v>8</v>
      </c>
      <c r="C171" t="s">
        <v>12</v>
      </c>
      <c r="D171">
        <v>31</v>
      </c>
      <c r="E171" s="5">
        <v>44145</v>
      </c>
      <c r="F171" s="10">
        <v>41980</v>
      </c>
      <c r="G171" t="s">
        <v>16</v>
      </c>
      <c r="H171" t="s">
        <v>205</v>
      </c>
      <c r="I171" s="17">
        <f ca="1">(TODAY()-allstaff[[#This Row],[Date Joined]])/365</f>
        <v>2.8082191780821919</v>
      </c>
      <c r="J171" s="11">
        <f ca="1">ROUNDUP(IF(allstaff[[#This Row],[Tenure in Years]]&gt;2,3%,2%)*allstaff[[#This Row],[Salary]],0)</f>
        <v>1260</v>
      </c>
      <c r="K171">
        <f>VLOOKUP(allstaff[[#This Row],[Rating]],$M$23:$N$27,2,FALSE)</f>
        <v>3</v>
      </c>
    </row>
    <row r="172" spans="1:11" x14ac:dyDescent="0.25">
      <c r="A172" t="s">
        <v>124</v>
      </c>
      <c r="B172" t="s">
        <v>8</v>
      </c>
      <c r="C172" t="s">
        <v>12</v>
      </c>
      <c r="D172">
        <v>31</v>
      </c>
      <c r="E172" s="5">
        <v>44084</v>
      </c>
      <c r="F172" s="10">
        <v>41980</v>
      </c>
      <c r="G172" t="s">
        <v>16</v>
      </c>
      <c r="H172" t="s">
        <v>206</v>
      </c>
      <c r="I172" s="17">
        <f ca="1">(TODAY()-allstaff[[#This Row],[Date Joined]])/365</f>
        <v>2.9753424657534246</v>
      </c>
      <c r="J172" s="11">
        <f ca="1">ROUNDUP(IF(allstaff[[#This Row],[Tenure in Years]]&gt;2,3%,2%)*allstaff[[#This Row],[Salary]],0)</f>
        <v>1260</v>
      </c>
      <c r="K172">
        <f>VLOOKUP(allstaff[[#This Row],[Rating]],$M$23:$N$27,2,FALSE)</f>
        <v>3</v>
      </c>
    </row>
    <row r="173" spans="1:11" x14ac:dyDescent="0.25">
      <c r="A173" t="s">
        <v>66</v>
      </c>
      <c r="B173" t="s">
        <v>8</v>
      </c>
      <c r="C173" t="s">
        <v>9</v>
      </c>
      <c r="D173">
        <v>32</v>
      </c>
      <c r="E173" s="5">
        <v>44611</v>
      </c>
      <c r="F173" s="10">
        <v>41570</v>
      </c>
      <c r="G173" t="s">
        <v>16</v>
      </c>
      <c r="H173" t="s">
        <v>205</v>
      </c>
      <c r="I173" s="17">
        <f ca="1">(TODAY()-allstaff[[#This Row],[Date Joined]])/365</f>
        <v>1.5315068493150685</v>
      </c>
      <c r="J173" s="11">
        <f ca="1">ROUNDUP(IF(allstaff[[#This Row],[Tenure in Years]]&gt;2,3%,2%)*allstaff[[#This Row],[Salary]],0)</f>
        <v>832</v>
      </c>
      <c r="K173">
        <f>VLOOKUP(allstaff[[#This Row],[Rating]],$M$23:$N$27,2,FALSE)</f>
        <v>3</v>
      </c>
    </row>
    <row r="174" spans="1:11" x14ac:dyDescent="0.25">
      <c r="A174" t="s">
        <v>158</v>
      </c>
      <c r="B174" t="s">
        <v>8</v>
      </c>
      <c r="C174" t="s">
        <v>9</v>
      </c>
      <c r="D174">
        <v>32</v>
      </c>
      <c r="E174" s="5">
        <v>44549</v>
      </c>
      <c r="F174" s="10">
        <v>41570</v>
      </c>
      <c r="G174" t="s">
        <v>16</v>
      </c>
      <c r="H174" t="s">
        <v>206</v>
      </c>
      <c r="I174" s="17">
        <f ca="1">(TODAY()-allstaff[[#This Row],[Date Joined]])/365</f>
        <v>1.7013698630136986</v>
      </c>
      <c r="J174" s="11">
        <f ca="1">ROUNDUP(IF(allstaff[[#This Row],[Tenure in Years]]&gt;2,3%,2%)*allstaff[[#This Row],[Salary]],0)</f>
        <v>832</v>
      </c>
      <c r="K174">
        <f>VLOOKUP(allstaff[[#This Row],[Rating]],$M$23:$N$27,2,FALSE)</f>
        <v>3</v>
      </c>
    </row>
    <row r="175" spans="1:11" x14ac:dyDescent="0.25">
      <c r="A175" t="s">
        <v>57</v>
      </c>
      <c r="B175" t="s">
        <v>15</v>
      </c>
      <c r="C175" t="s">
        <v>9</v>
      </c>
      <c r="D175">
        <v>35</v>
      </c>
      <c r="E175" s="5">
        <v>44727</v>
      </c>
      <c r="F175" s="10">
        <v>40400</v>
      </c>
      <c r="G175" t="s">
        <v>16</v>
      </c>
      <c r="H175" t="s">
        <v>205</v>
      </c>
      <c r="I175" s="17">
        <f ca="1">(TODAY()-allstaff[[#This Row],[Date Joined]])/365</f>
        <v>1.2136986301369863</v>
      </c>
      <c r="J175" s="11">
        <f ca="1">ROUNDUP(IF(allstaff[[#This Row],[Tenure in Years]]&gt;2,3%,2%)*allstaff[[#This Row],[Salary]],0)</f>
        <v>808</v>
      </c>
      <c r="K175">
        <f>VLOOKUP(allstaff[[#This Row],[Rating]],$M$23:$N$27,2,FALSE)</f>
        <v>3</v>
      </c>
    </row>
    <row r="176" spans="1:11" x14ac:dyDescent="0.25">
      <c r="A176" t="s">
        <v>149</v>
      </c>
      <c r="B176" t="s">
        <v>15</v>
      </c>
      <c r="C176" t="s">
        <v>9</v>
      </c>
      <c r="D176">
        <v>35</v>
      </c>
      <c r="E176" s="5">
        <v>44666</v>
      </c>
      <c r="F176" s="10">
        <v>40400</v>
      </c>
      <c r="G176" t="s">
        <v>16</v>
      </c>
      <c r="H176" t="s">
        <v>206</v>
      </c>
      <c r="I176" s="17">
        <f ca="1">(TODAY()-allstaff[[#This Row],[Date Joined]])/365</f>
        <v>1.3808219178082193</v>
      </c>
      <c r="J176" s="11">
        <f ca="1">ROUNDUP(IF(allstaff[[#This Row],[Tenure in Years]]&gt;2,3%,2%)*allstaff[[#This Row],[Salary]],0)</f>
        <v>808</v>
      </c>
      <c r="K176">
        <f>VLOOKUP(allstaff[[#This Row],[Rating]],$M$23:$N$27,2,FALSE)</f>
        <v>3</v>
      </c>
    </row>
    <row r="177" spans="1:11" x14ac:dyDescent="0.25">
      <c r="A177" t="s">
        <v>47</v>
      </c>
      <c r="B177" t="s">
        <v>15</v>
      </c>
      <c r="C177" t="s">
        <v>9</v>
      </c>
      <c r="D177">
        <v>21</v>
      </c>
      <c r="E177" s="5">
        <v>44104</v>
      </c>
      <c r="F177" s="10">
        <v>37920</v>
      </c>
      <c r="G177" t="s">
        <v>16</v>
      </c>
      <c r="H177" t="s">
        <v>205</v>
      </c>
      <c r="I177" s="17">
        <f ca="1">(TODAY()-allstaff[[#This Row],[Date Joined]])/365</f>
        <v>2.9205479452054797</v>
      </c>
      <c r="J177" s="11">
        <f ca="1">ROUNDUP(IF(allstaff[[#This Row],[Tenure in Years]]&gt;2,3%,2%)*allstaff[[#This Row],[Salary]],0)</f>
        <v>1138</v>
      </c>
      <c r="K177">
        <f>VLOOKUP(allstaff[[#This Row],[Rating]],$M$23:$N$27,2,FALSE)</f>
        <v>3</v>
      </c>
    </row>
    <row r="178" spans="1:11" x14ac:dyDescent="0.25">
      <c r="A178" t="s">
        <v>140</v>
      </c>
      <c r="B178" t="s">
        <v>15</v>
      </c>
      <c r="C178" t="s">
        <v>9</v>
      </c>
      <c r="D178">
        <v>21</v>
      </c>
      <c r="E178" s="5">
        <v>44042</v>
      </c>
      <c r="F178" s="10">
        <v>37920</v>
      </c>
      <c r="G178" t="s">
        <v>16</v>
      </c>
      <c r="H178" t="s">
        <v>206</v>
      </c>
      <c r="I178" s="17">
        <f ca="1">(TODAY()-allstaff[[#This Row],[Date Joined]])/365</f>
        <v>3.0904109589041098</v>
      </c>
      <c r="J178" s="11">
        <f ca="1">ROUNDUP(IF(allstaff[[#This Row],[Tenure in Years]]&gt;2,3%,2%)*allstaff[[#This Row],[Salary]],0)</f>
        <v>1138</v>
      </c>
      <c r="K178">
        <f>VLOOKUP(allstaff[[#This Row],[Rating]],$M$23:$N$27,2,FALSE)</f>
        <v>3</v>
      </c>
    </row>
    <row r="179" spans="1:11" x14ac:dyDescent="0.25">
      <c r="A179" t="s">
        <v>99</v>
      </c>
      <c r="B179" t="s">
        <v>15</v>
      </c>
      <c r="C179" t="s">
        <v>19</v>
      </c>
      <c r="D179">
        <v>43</v>
      </c>
      <c r="E179" s="5">
        <v>44620</v>
      </c>
      <c r="F179" s="10">
        <v>36040</v>
      </c>
      <c r="G179" t="s">
        <v>16</v>
      </c>
      <c r="H179" t="s">
        <v>205</v>
      </c>
      <c r="I179" s="17">
        <f ca="1">(TODAY()-allstaff[[#This Row],[Date Joined]])/365</f>
        <v>1.5068493150684932</v>
      </c>
      <c r="J179" s="11">
        <f ca="1">ROUNDUP(IF(allstaff[[#This Row],[Tenure in Years]]&gt;2,3%,2%)*allstaff[[#This Row],[Salary]],0)</f>
        <v>721</v>
      </c>
      <c r="K179">
        <f>VLOOKUP(allstaff[[#This Row],[Rating]],$M$23:$N$27,2,FALSE)</f>
        <v>3</v>
      </c>
    </row>
    <row r="180" spans="1:11" x14ac:dyDescent="0.25">
      <c r="A180" t="s">
        <v>192</v>
      </c>
      <c r="B180" t="s">
        <v>15</v>
      </c>
      <c r="C180" t="s">
        <v>19</v>
      </c>
      <c r="D180">
        <v>43</v>
      </c>
      <c r="E180" s="5">
        <v>44558</v>
      </c>
      <c r="F180" s="10">
        <v>36040</v>
      </c>
      <c r="G180" t="s">
        <v>16</v>
      </c>
      <c r="H180" t="s">
        <v>206</v>
      </c>
      <c r="I180" s="17">
        <f ca="1">(TODAY()-allstaff[[#This Row],[Date Joined]])/365</f>
        <v>1.6767123287671233</v>
      </c>
      <c r="J180" s="11">
        <f ca="1">ROUNDUP(IF(allstaff[[#This Row],[Tenure in Years]]&gt;2,3%,2%)*allstaff[[#This Row],[Salary]],0)</f>
        <v>721</v>
      </c>
      <c r="K180">
        <f>VLOOKUP(allstaff[[#This Row],[Rating]],$M$23:$N$27,2,FALSE)</f>
        <v>3</v>
      </c>
    </row>
    <row r="181" spans="1:11" x14ac:dyDescent="0.25">
      <c r="A181" t="s">
        <v>44</v>
      </c>
      <c r="B181" t="s">
        <v>8</v>
      </c>
      <c r="C181" t="s">
        <v>12</v>
      </c>
      <c r="D181">
        <v>29</v>
      </c>
      <c r="E181" s="5">
        <v>44023</v>
      </c>
      <c r="F181" s="10">
        <v>34980</v>
      </c>
      <c r="G181" t="s">
        <v>16</v>
      </c>
      <c r="H181" t="s">
        <v>205</v>
      </c>
      <c r="I181" s="17">
        <f ca="1">(TODAY()-allstaff[[#This Row],[Date Joined]])/365</f>
        <v>3.1424657534246574</v>
      </c>
      <c r="J181" s="11">
        <f ca="1">ROUNDUP(IF(allstaff[[#This Row],[Tenure in Years]]&gt;2,3%,2%)*allstaff[[#This Row],[Salary]],0)</f>
        <v>1050</v>
      </c>
      <c r="K181">
        <f>VLOOKUP(allstaff[[#This Row],[Rating]],$M$23:$N$27,2,FALSE)</f>
        <v>3</v>
      </c>
    </row>
    <row r="182" spans="1:11" x14ac:dyDescent="0.25">
      <c r="A182" t="s">
        <v>137</v>
      </c>
      <c r="B182" t="s">
        <v>8</v>
      </c>
      <c r="C182" t="s">
        <v>12</v>
      </c>
      <c r="D182">
        <v>29</v>
      </c>
      <c r="E182" s="5">
        <v>43962</v>
      </c>
      <c r="F182" s="10">
        <v>34980</v>
      </c>
      <c r="G182" t="s">
        <v>16</v>
      </c>
      <c r="H182" t="s">
        <v>206</v>
      </c>
      <c r="I182" s="17">
        <f ca="1">(TODAY()-allstaff[[#This Row],[Date Joined]])/365</f>
        <v>3.3095890410958906</v>
      </c>
      <c r="J182" s="11">
        <f ca="1">ROUNDUP(IF(allstaff[[#This Row],[Tenure in Years]]&gt;2,3%,2%)*allstaff[[#This Row],[Salary]],0)</f>
        <v>1050</v>
      </c>
      <c r="K182">
        <f>VLOOKUP(allstaff[[#This Row],[Rating]],$M$23:$N$27,2,FALSE)</f>
        <v>3</v>
      </c>
    </row>
    <row r="183" spans="1:11" x14ac:dyDescent="0.25">
      <c r="A183" t="s">
        <v>86</v>
      </c>
      <c r="B183" t="s">
        <v>8</v>
      </c>
      <c r="C183" t="s">
        <v>12</v>
      </c>
      <c r="D183">
        <v>21</v>
      </c>
      <c r="E183" s="5">
        <v>44678</v>
      </c>
      <c r="F183" s="10">
        <v>33920</v>
      </c>
      <c r="G183" t="s">
        <v>16</v>
      </c>
      <c r="H183" t="s">
        <v>205</v>
      </c>
      <c r="I183" s="17">
        <f ca="1">(TODAY()-allstaff[[#This Row],[Date Joined]])/365</f>
        <v>1.3479452054794521</v>
      </c>
      <c r="J183" s="11">
        <f ca="1">ROUNDUP(IF(allstaff[[#This Row],[Tenure in Years]]&gt;2,3%,2%)*allstaff[[#This Row],[Salary]],0)</f>
        <v>679</v>
      </c>
      <c r="K183">
        <f>VLOOKUP(allstaff[[#This Row],[Rating]],$M$23:$N$27,2,FALSE)</f>
        <v>3</v>
      </c>
    </row>
    <row r="184" spans="1:11" x14ac:dyDescent="0.25">
      <c r="A184" t="s">
        <v>179</v>
      </c>
      <c r="B184" t="s">
        <v>8</v>
      </c>
      <c r="C184" t="s">
        <v>12</v>
      </c>
      <c r="D184">
        <v>21</v>
      </c>
      <c r="E184" s="5">
        <v>44619</v>
      </c>
      <c r="F184" s="10">
        <v>33920</v>
      </c>
      <c r="G184" t="s">
        <v>16</v>
      </c>
      <c r="H184" t="s">
        <v>206</v>
      </c>
      <c r="I184" s="17">
        <f ca="1">(TODAY()-allstaff[[#This Row],[Date Joined]])/365</f>
        <v>1.5095890410958903</v>
      </c>
      <c r="J184" s="11">
        <f ca="1">ROUNDUP(IF(allstaff[[#This Row],[Tenure in Years]]&gt;2,3%,2%)*allstaff[[#This Row],[Salary]],0)</f>
        <v>679</v>
      </c>
      <c r="K184">
        <f>VLOOKUP(allstaff[[#This Row],[Rating]],$M$23:$N$27,2,FALSE)</f>
        <v>3</v>
      </c>
    </row>
    <row r="185" spans="1:11" x14ac:dyDescent="0.25">
      <c r="A185" t="s">
        <v>203</v>
      </c>
      <c r="B185">
        <f>SUBTOTAL(103,allstaff[Gender])</f>
        <v>183</v>
      </c>
      <c r="C185">
        <f>SUBTOTAL(103,allstaff[Department])</f>
        <v>183</v>
      </c>
      <c r="D185">
        <f>SUBTOTAL(101,allstaff[Age])</f>
        <v>30.42622950819672</v>
      </c>
      <c r="F185" s="10">
        <f>SUBTOTAL(101,allstaff[Salary])</f>
        <v>77173.715846994543</v>
      </c>
      <c r="K185">
        <f>SUBTOTAL(103,allstaff[Rating as Number])</f>
        <v>183</v>
      </c>
    </row>
  </sheetData>
  <mergeCells count="1">
    <mergeCell ref="M9:N9"/>
  </mergeCells>
  <phoneticPr fontId="2" type="noConversion"/>
  <conditionalFormatting sqref="A1:A184 A186:A1048576">
    <cfRule type="duplicateValues" dxfId="5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8DE37-7CCC-4795-830E-9A7D1A7E73D8}">
  <sheetPr codeName="Hoja4"/>
  <dimension ref="A1"/>
  <sheetViews>
    <sheetView zoomScale="84" zoomScaleNormal="84" workbookViewId="0">
      <selection activeCell="J33" sqref="J3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AB85C-D67D-4793-B7D3-A9CED8508399}">
  <sheetPr codeName="Hoja5"/>
  <dimension ref="A1:C6"/>
  <sheetViews>
    <sheetView workbookViewId="0">
      <selection activeCell="B15" sqref="B15"/>
    </sheetView>
  </sheetViews>
  <sheetFormatPr baseColWidth="10" defaultRowHeight="15" x14ac:dyDescent="0.25"/>
  <cols>
    <col min="1" max="1" width="30.5703125" bestFit="1" customWidth="1"/>
    <col min="2" max="2" width="22.42578125" bestFit="1" customWidth="1"/>
    <col min="3" max="3" width="10.5703125" bestFit="1" customWidth="1"/>
    <col min="4" max="4" width="12.5703125" bestFit="1" customWidth="1"/>
    <col min="5" max="5" width="20.7109375" bestFit="1" customWidth="1"/>
    <col min="6" max="6" width="21.42578125" bestFit="1" customWidth="1"/>
    <col min="7" max="7" width="23.28515625" bestFit="1" customWidth="1"/>
    <col min="8" max="8" width="21.42578125" bestFit="1" customWidth="1"/>
  </cols>
  <sheetData>
    <row r="1" spans="1:3" x14ac:dyDescent="0.25">
      <c r="B1" s="26" t="s">
        <v>215</v>
      </c>
    </row>
    <row r="2" spans="1:3" x14ac:dyDescent="0.25">
      <c r="A2" s="26" t="s">
        <v>216</v>
      </c>
      <c r="B2" t="s">
        <v>8</v>
      </c>
      <c r="C2" t="s">
        <v>15</v>
      </c>
    </row>
    <row r="3" spans="1:3" x14ac:dyDescent="0.25">
      <c r="A3" s="27" t="s">
        <v>248</v>
      </c>
      <c r="B3" s="45">
        <v>86</v>
      </c>
      <c r="C3" s="45">
        <v>89</v>
      </c>
    </row>
    <row r="4" spans="1:3" x14ac:dyDescent="0.25">
      <c r="A4" s="27" t="s">
        <v>249</v>
      </c>
      <c r="B4" s="16">
        <v>31.406976744186046</v>
      </c>
      <c r="C4" s="16">
        <v>29.393258426966291</v>
      </c>
    </row>
    <row r="5" spans="1:3" x14ac:dyDescent="0.25">
      <c r="A5" s="27" t="s">
        <v>244</v>
      </c>
      <c r="B5" s="15">
        <v>78284.186046511633</v>
      </c>
      <c r="C5" s="15">
        <v>74915.168539325838</v>
      </c>
    </row>
    <row r="6" spans="1:3" x14ac:dyDescent="0.25">
      <c r="A6" s="29" t="s">
        <v>250</v>
      </c>
      <c r="B6" s="28">
        <v>2.0216629499840715</v>
      </c>
      <c r="C6" s="28">
        <v>2.0125596429121133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0D9D3-745E-4D1D-9D56-A4D63E1A692D}">
  <sheetPr codeName="Hoja6"/>
  <dimension ref="B2:D8"/>
  <sheetViews>
    <sheetView workbookViewId="0">
      <selection activeCell="C3" sqref="C3"/>
    </sheetView>
  </sheetViews>
  <sheetFormatPr baseColWidth="10" defaultRowHeight="15" x14ac:dyDescent="0.25"/>
  <cols>
    <col min="2" max="2" width="17.5703125" bestFit="1" customWidth="1"/>
    <col min="3" max="3" width="22.140625" bestFit="1" customWidth="1"/>
    <col min="4" max="4" width="16.28515625" bestFit="1" customWidth="1"/>
    <col min="5" max="94" width="22.42578125" bestFit="1" customWidth="1"/>
    <col min="95" max="95" width="12.5703125" bestFit="1" customWidth="1"/>
  </cols>
  <sheetData>
    <row r="2" spans="2:4" x14ac:dyDescent="0.25">
      <c r="B2" s="30" t="s">
        <v>218</v>
      </c>
      <c r="C2" s="14" t="s">
        <v>242</v>
      </c>
      <c r="D2" s="14" t="s">
        <v>247</v>
      </c>
    </row>
    <row r="3" spans="2:4" x14ac:dyDescent="0.25">
      <c r="B3" s="27" t="s">
        <v>10</v>
      </c>
      <c r="C3" s="45">
        <v>4</v>
      </c>
      <c r="D3" s="15">
        <v>92080</v>
      </c>
    </row>
    <row r="4" spans="2:4" x14ac:dyDescent="0.25">
      <c r="B4" s="27" t="s">
        <v>13</v>
      </c>
      <c r="C4" s="45">
        <v>20</v>
      </c>
      <c r="D4" s="15">
        <v>75933</v>
      </c>
    </row>
    <row r="5" spans="2:4" x14ac:dyDescent="0.25">
      <c r="B5" s="27" t="s">
        <v>16</v>
      </c>
      <c r="C5" s="45">
        <v>137</v>
      </c>
      <c r="D5" s="15">
        <v>76798.759124087592</v>
      </c>
    </row>
    <row r="6" spans="2:4" x14ac:dyDescent="0.25">
      <c r="B6" s="27" t="s">
        <v>24</v>
      </c>
      <c r="C6" s="45">
        <v>16</v>
      </c>
      <c r="D6" s="15">
        <v>78115</v>
      </c>
    </row>
    <row r="7" spans="2:4" x14ac:dyDescent="0.25">
      <c r="B7" s="27" t="s">
        <v>42</v>
      </c>
      <c r="C7" s="45">
        <v>6</v>
      </c>
      <c r="D7" s="15">
        <v>77423.333333333328</v>
      </c>
    </row>
    <row r="8" spans="2:4" x14ac:dyDescent="0.25">
      <c r="B8" s="27" t="s">
        <v>219</v>
      </c>
      <c r="C8" s="45">
        <v>183</v>
      </c>
      <c r="D8" s="15">
        <v>77173.715846994543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C888C-6F42-40CB-A6BA-5B88FC53C931}">
  <sheetPr codeName="Hoja7"/>
  <dimension ref="B2:H58"/>
  <sheetViews>
    <sheetView workbookViewId="0">
      <selection activeCell="C3" sqref="C3"/>
    </sheetView>
  </sheetViews>
  <sheetFormatPr baseColWidth="10" defaultRowHeight="15" x14ac:dyDescent="0.25"/>
  <cols>
    <col min="2" max="2" width="17.5703125" bestFit="1" customWidth="1"/>
    <col min="3" max="3" width="22.7109375" bestFit="1" customWidth="1"/>
  </cols>
  <sheetData>
    <row r="2" spans="2:3" x14ac:dyDescent="0.25">
      <c r="B2" s="26" t="s">
        <v>218</v>
      </c>
      <c r="C2" t="s">
        <v>239</v>
      </c>
    </row>
    <row r="3" spans="2:3" x14ac:dyDescent="0.25">
      <c r="B3" s="22" t="s">
        <v>221</v>
      </c>
      <c r="C3" s="44"/>
    </row>
    <row r="4" spans="2:3" x14ac:dyDescent="0.25">
      <c r="B4" s="31" t="s">
        <v>222</v>
      </c>
      <c r="C4" s="44">
        <v>3</v>
      </c>
    </row>
    <row r="5" spans="2:3" x14ac:dyDescent="0.25">
      <c r="B5" s="31" t="s">
        <v>223</v>
      </c>
      <c r="C5" s="44">
        <v>4</v>
      </c>
    </row>
    <row r="6" spans="2:3" x14ac:dyDescent="0.25">
      <c r="B6" s="31" t="s">
        <v>224</v>
      </c>
      <c r="C6" s="44">
        <v>9</v>
      </c>
    </row>
    <row r="7" spans="2:3" x14ac:dyDescent="0.25">
      <c r="B7" s="31" t="s">
        <v>225</v>
      </c>
      <c r="C7" s="44">
        <v>12</v>
      </c>
    </row>
    <row r="8" spans="2:3" x14ac:dyDescent="0.25">
      <c r="B8" s="31" t="s">
        <v>226</v>
      </c>
      <c r="C8" s="44">
        <v>18</v>
      </c>
    </row>
    <row r="9" spans="2:3" x14ac:dyDescent="0.25">
      <c r="B9" s="31" t="s">
        <v>227</v>
      </c>
      <c r="C9" s="44">
        <v>24</v>
      </c>
    </row>
    <row r="10" spans="2:3" x14ac:dyDescent="0.25">
      <c r="B10" s="31" t="s">
        <v>228</v>
      </c>
      <c r="C10" s="44">
        <v>30</v>
      </c>
    </row>
    <row r="11" spans="2:3" x14ac:dyDescent="0.25">
      <c r="B11" s="31" t="s">
        <v>229</v>
      </c>
      <c r="C11" s="44">
        <v>37</v>
      </c>
    </row>
    <row r="12" spans="2:3" x14ac:dyDescent="0.25">
      <c r="B12" s="22" t="s">
        <v>230</v>
      </c>
      <c r="C12" s="44"/>
    </row>
    <row r="13" spans="2:3" x14ac:dyDescent="0.25">
      <c r="B13" s="31" t="s">
        <v>231</v>
      </c>
      <c r="C13" s="44">
        <v>6</v>
      </c>
    </row>
    <row r="14" spans="2:3" x14ac:dyDescent="0.25">
      <c r="B14" s="31" t="s">
        <v>232</v>
      </c>
      <c r="C14" s="44">
        <v>10</v>
      </c>
    </row>
    <row r="15" spans="2:3" x14ac:dyDescent="0.25">
      <c r="B15" s="31" t="s">
        <v>233</v>
      </c>
      <c r="C15" s="44">
        <v>19</v>
      </c>
    </row>
    <row r="16" spans="2:3" x14ac:dyDescent="0.25">
      <c r="B16" s="31" t="s">
        <v>234</v>
      </c>
      <c r="C16" s="44">
        <v>24</v>
      </c>
    </row>
    <row r="17" spans="2:8" x14ac:dyDescent="0.25">
      <c r="B17" s="31" t="s">
        <v>222</v>
      </c>
      <c r="C17" s="44">
        <v>34</v>
      </c>
    </row>
    <row r="18" spans="2:8" x14ac:dyDescent="0.25">
      <c r="B18" s="31" t="s">
        <v>223</v>
      </c>
      <c r="C18" s="44">
        <v>40</v>
      </c>
    </row>
    <row r="19" spans="2:8" x14ac:dyDescent="0.25">
      <c r="B19" s="31" t="s">
        <v>224</v>
      </c>
      <c r="C19" s="44">
        <v>53</v>
      </c>
    </row>
    <row r="20" spans="2:8" x14ac:dyDescent="0.25">
      <c r="B20" s="31" t="s">
        <v>225</v>
      </c>
      <c r="C20" s="44">
        <v>57</v>
      </c>
    </row>
    <row r="21" spans="2:8" x14ac:dyDescent="0.25">
      <c r="B21" s="31" t="s">
        <v>226</v>
      </c>
      <c r="C21" s="44">
        <v>68</v>
      </c>
    </row>
    <row r="22" spans="2:8" x14ac:dyDescent="0.25">
      <c r="B22" s="31" t="s">
        <v>227</v>
      </c>
      <c r="C22" s="44">
        <v>71</v>
      </c>
      <c r="E22" s="14"/>
      <c r="F22" s="14" t="s">
        <v>238</v>
      </c>
      <c r="G22" s="14" t="s">
        <v>237</v>
      </c>
      <c r="H22" s="14" t="s">
        <v>203</v>
      </c>
    </row>
    <row r="23" spans="2:8" x14ac:dyDescent="0.25">
      <c r="B23" s="31" t="s">
        <v>228</v>
      </c>
      <c r="C23" s="44">
        <v>75</v>
      </c>
      <c r="E23" s="14">
        <v>1</v>
      </c>
      <c r="F23" s="32">
        <v>43952</v>
      </c>
      <c r="G23" s="14">
        <f>COUNTIFS(allstaff[Date Joined],"&gt;="&amp;F23,allstaff[Date Joined],"&lt;="&amp;EOMONTH(F23,0))</f>
        <v>3</v>
      </c>
      <c r="H23" s="14">
        <f>SUM($G$23:G23)</f>
        <v>3</v>
      </c>
    </row>
    <row r="24" spans="2:8" x14ac:dyDescent="0.25">
      <c r="B24" s="31" t="s">
        <v>229</v>
      </c>
      <c r="C24" s="44">
        <v>82</v>
      </c>
      <c r="E24" s="14">
        <v>2</v>
      </c>
      <c r="F24" s="32">
        <v>43983</v>
      </c>
      <c r="G24" s="14">
        <f>COUNTIFS(allstaff[Date Joined],"&gt;="&amp;F24,allstaff[Date Joined],"&lt;="&amp;EOMONTH(F24,0))</f>
        <v>1</v>
      </c>
      <c r="H24" s="14">
        <f>SUM($G$23:G24)</f>
        <v>4</v>
      </c>
    </row>
    <row r="25" spans="2:8" x14ac:dyDescent="0.25">
      <c r="B25" s="22" t="s">
        <v>235</v>
      </c>
      <c r="C25" s="44"/>
      <c r="E25" s="14">
        <v>3</v>
      </c>
      <c r="F25" s="32">
        <v>44013</v>
      </c>
      <c r="G25" s="14">
        <f>COUNTIFS(allstaff[Date Joined],"&gt;="&amp;F25,allstaff[Date Joined],"&lt;="&amp;EOMONTH(F25,0))</f>
        <v>5</v>
      </c>
      <c r="H25" s="14">
        <f>SUM($G$23:G25)</f>
        <v>9</v>
      </c>
    </row>
    <row r="26" spans="2:8" x14ac:dyDescent="0.25">
      <c r="B26" s="31" t="s">
        <v>231</v>
      </c>
      <c r="C26" s="44">
        <v>3</v>
      </c>
      <c r="E26" s="14">
        <v>4</v>
      </c>
      <c r="F26" s="32">
        <v>44044</v>
      </c>
      <c r="G26" s="14">
        <f>COUNTIFS(allstaff[Date Joined],"&gt;="&amp;F26,allstaff[Date Joined],"&lt;="&amp;EOMONTH(F26,0))</f>
        <v>3</v>
      </c>
      <c r="H26" s="14">
        <f>SUM($G$23:G26)</f>
        <v>12</v>
      </c>
    </row>
    <row r="27" spans="2:8" x14ac:dyDescent="0.25">
      <c r="B27" s="31" t="s">
        <v>232</v>
      </c>
      <c r="C27" s="44">
        <v>13</v>
      </c>
      <c r="E27" s="14">
        <v>5</v>
      </c>
      <c r="F27" s="32">
        <v>44075</v>
      </c>
      <c r="G27" s="14">
        <f>COUNTIFS(allstaff[Date Joined],"&gt;="&amp;F27,allstaff[Date Joined],"&lt;="&amp;EOMONTH(F27,0))</f>
        <v>6</v>
      </c>
      <c r="H27" s="14">
        <f>SUM($G$23:G27)</f>
        <v>18</v>
      </c>
    </row>
    <row r="28" spans="2:8" x14ac:dyDescent="0.25">
      <c r="B28" s="31" t="s">
        <v>233</v>
      </c>
      <c r="C28" s="44">
        <v>22</v>
      </c>
      <c r="E28" s="14">
        <v>6</v>
      </c>
      <c r="F28" s="32">
        <v>44105</v>
      </c>
      <c r="G28" s="14">
        <f>COUNTIFS(allstaff[Date Joined],"&gt;="&amp;F28,allstaff[Date Joined],"&lt;="&amp;EOMONTH(F28,0))</f>
        <v>6</v>
      </c>
      <c r="H28" s="14">
        <f>SUM($G$23:G28)</f>
        <v>24</v>
      </c>
    </row>
    <row r="29" spans="2:8" x14ac:dyDescent="0.25">
      <c r="B29" s="31" t="s">
        <v>234</v>
      </c>
      <c r="C29" s="44">
        <v>31</v>
      </c>
      <c r="E29" s="14">
        <v>7</v>
      </c>
      <c r="F29" s="32">
        <v>44136</v>
      </c>
      <c r="G29" s="14">
        <f>COUNTIFS(allstaff[Date Joined],"&gt;="&amp;F29,allstaff[Date Joined],"&lt;="&amp;EOMONTH(F29,0))</f>
        <v>6</v>
      </c>
      <c r="H29" s="14">
        <f>SUM($G$23:G29)</f>
        <v>30</v>
      </c>
    </row>
    <row r="30" spans="2:8" x14ac:dyDescent="0.25">
      <c r="B30" s="31" t="s">
        <v>222</v>
      </c>
      <c r="C30" s="44">
        <v>40</v>
      </c>
      <c r="E30" s="14">
        <v>8</v>
      </c>
      <c r="F30" s="32">
        <v>44166</v>
      </c>
      <c r="G30" s="14">
        <f>COUNTIFS(allstaff[Date Joined],"&gt;="&amp;F30,allstaff[Date Joined],"&lt;="&amp;EOMONTH(F30,0))</f>
        <v>7</v>
      </c>
      <c r="H30" s="14">
        <f>SUM($G$23:G30)</f>
        <v>37</v>
      </c>
    </row>
    <row r="31" spans="2:8" x14ac:dyDescent="0.25">
      <c r="B31" s="31" t="s">
        <v>223</v>
      </c>
      <c r="C31" s="44">
        <v>47</v>
      </c>
      <c r="E31" s="14">
        <v>9</v>
      </c>
      <c r="F31" s="32">
        <v>44197</v>
      </c>
      <c r="G31" s="14">
        <f>COUNTIFS(allstaff[Date Joined],"&gt;="&amp;F31,allstaff[Date Joined],"&lt;="&amp;EOMONTH(F31,0))</f>
        <v>6</v>
      </c>
      <c r="H31" s="14">
        <f>SUM($G$23:G31)</f>
        <v>43</v>
      </c>
    </row>
    <row r="32" spans="2:8" x14ac:dyDescent="0.25">
      <c r="B32" s="31" t="s">
        <v>224</v>
      </c>
      <c r="C32" s="44">
        <v>52</v>
      </c>
      <c r="E32" s="14">
        <v>10</v>
      </c>
      <c r="F32" s="32">
        <v>44228</v>
      </c>
      <c r="G32" s="14">
        <f>COUNTIFS(allstaff[Date Joined],"&gt;="&amp;F32,allstaff[Date Joined],"&lt;="&amp;EOMONTH(F32,0))</f>
        <v>4</v>
      </c>
      <c r="H32" s="14">
        <f>SUM($G$23:G32)</f>
        <v>47</v>
      </c>
    </row>
    <row r="33" spans="2:8" x14ac:dyDescent="0.25">
      <c r="B33" s="31" t="s">
        <v>225</v>
      </c>
      <c r="C33" s="44">
        <v>57</v>
      </c>
      <c r="E33" s="14">
        <v>11</v>
      </c>
      <c r="F33" s="32">
        <v>44256</v>
      </c>
      <c r="G33" s="14">
        <f>COUNTIFS(allstaff[Date Joined],"&gt;="&amp;F33,allstaff[Date Joined],"&lt;="&amp;EOMONTH(F33,0))</f>
        <v>9</v>
      </c>
      <c r="H33" s="14">
        <f>SUM($G$23:G33)</f>
        <v>56</v>
      </c>
    </row>
    <row r="34" spans="2:8" x14ac:dyDescent="0.25">
      <c r="B34" s="31" t="s">
        <v>226</v>
      </c>
      <c r="C34" s="44">
        <v>59</v>
      </c>
      <c r="E34" s="14">
        <v>12</v>
      </c>
      <c r="F34" s="32">
        <v>44287</v>
      </c>
      <c r="G34" s="14">
        <f>COUNTIFS(allstaff[Date Joined],"&gt;="&amp;F34,allstaff[Date Joined],"&lt;="&amp;EOMONTH(F34,0))</f>
        <v>5</v>
      </c>
      <c r="H34" s="14">
        <f>SUM($G$23:G34)</f>
        <v>61</v>
      </c>
    </row>
    <row r="35" spans="2:8" x14ac:dyDescent="0.25">
      <c r="B35" s="31" t="s">
        <v>227</v>
      </c>
      <c r="C35" s="44">
        <v>62</v>
      </c>
      <c r="E35" s="14">
        <v>13</v>
      </c>
      <c r="F35" s="32">
        <v>44317</v>
      </c>
      <c r="G35" s="14">
        <f>COUNTIFS(allstaff[Date Joined],"&gt;="&amp;F35,allstaff[Date Joined],"&lt;="&amp;EOMONTH(F35,0))</f>
        <v>10</v>
      </c>
      <c r="H35" s="14">
        <f>SUM($G$23:G35)</f>
        <v>71</v>
      </c>
    </row>
    <row r="36" spans="2:8" x14ac:dyDescent="0.25">
      <c r="B36" s="22" t="s">
        <v>236</v>
      </c>
      <c r="C36" s="44"/>
      <c r="E36" s="14">
        <v>14</v>
      </c>
      <c r="F36" s="32">
        <v>44348</v>
      </c>
      <c r="G36" s="14">
        <f>COUNTIFS(allstaff[Date Joined],"&gt;="&amp;F36,allstaff[Date Joined],"&lt;="&amp;EOMONTH(F36,0))</f>
        <v>6</v>
      </c>
      <c r="H36" s="14">
        <f>SUM($G$23:G36)</f>
        <v>77</v>
      </c>
    </row>
    <row r="37" spans="2:8" x14ac:dyDescent="0.25">
      <c r="B37" s="31" t="s">
        <v>232</v>
      </c>
      <c r="C37" s="44">
        <v>1</v>
      </c>
      <c r="E37" s="14">
        <v>15</v>
      </c>
      <c r="F37" s="32">
        <v>44378</v>
      </c>
      <c r="G37" s="14">
        <f>COUNTIFS(allstaff[Date Joined],"&gt;="&amp;F37,allstaff[Date Joined],"&lt;="&amp;EOMONTH(F37,0))</f>
        <v>13</v>
      </c>
      <c r="H37" s="14">
        <f>SUM($G$23:G37)</f>
        <v>90</v>
      </c>
    </row>
    <row r="38" spans="2:8" x14ac:dyDescent="0.25">
      <c r="B38" s="31" t="s">
        <v>234</v>
      </c>
      <c r="C38" s="44">
        <v>2</v>
      </c>
      <c r="E38" s="14">
        <v>16</v>
      </c>
      <c r="F38" s="32">
        <v>44409</v>
      </c>
      <c r="G38" s="14">
        <f>COUNTIFS(allstaff[Date Joined],"&gt;="&amp;F38,allstaff[Date Joined],"&lt;="&amp;EOMONTH(F38,0))</f>
        <v>4</v>
      </c>
      <c r="H38" s="14">
        <f>SUM($G$23:G38)</f>
        <v>94</v>
      </c>
    </row>
    <row r="39" spans="2:8" x14ac:dyDescent="0.25">
      <c r="B39" s="22" t="s">
        <v>219</v>
      </c>
      <c r="C39" s="44"/>
      <c r="E39" s="14">
        <v>17</v>
      </c>
      <c r="F39" s="32">
        <v>44440</v>
      </c>
      <c r="G39" s="14">
        <f>COUNTIFS(allstaff[Date Joined],"&gt;="&amp;F39,allstaff[Date Joined],"&lt;="&amp;EOMONTH(F39,0))</f>
        <v>11</v>
      </c>
      <c r="H39" s="14">
        <f>SUM($G$23:G39)</f>
        <v>105</v>
      </c>
    </row>
    <row r="40" spans="2:8" x14ac:dyDescent="0.25">
      <c r="E40" s="14">
        <v>18</v>
      </c>
      <c r="F40" s="32">
        <v>44470</v>
      </c>
      <c r="G40" s="14">
        <f>COUNTIFS(allstaff[Date Joined],"&gt;="&amp;F40,allstaff[Date Joined],"&lt;="&amp;EOMONTH(F40,0))</f>
        <v>3</v>
      </c>
      <c r="H40" s="14">
        <f>SUM($G$23:G40)</f>
        <v>108</v>
      </c>
    </row>
    <row r="41" spans="2:8" x14ac:dyDescent="0.25">
      <c r="E41" s="14">
        <v>19</v>
      </c>
      <c r="F41" s="32">
        <v>44501</v>
      </c>
      <c r="G41" s="14">
        <f>COUNTIFS(allstaff[Date Joined],"&gt;="&amp;F41,allstaff[Date Joined],"&lt;="&amp;EOMONTH(F41,0))</f>
        <v>4</v>
      </c>
      <c r="H41" s="14">
        <f>SUM($G$23:G41)</f>
        <v>112</v>
      </c>
    </row>
    <row r="42" spans="2:8" x14ac:dyDescent="0.25">
      <c r="E42" s="14">
        <v>20</v>
      </c>
      <c r="F42" s="32">
        <v>44531</v>
      </c>
      <c r="G42" s="14">
        <f>COUNTIFS(allstaff[Date Joined],"&gt;="&amp;F42,allstaff[Date Joined],"&lt;="&amp;EOMONTH(F42,0))</f>
        <v>7</v>
      </c>
      <c r="H42" s="14">
        <f>SUM($G$23:G42)</f>
        <v>119</v>
      </c>
    </row>
    <row r="43" spans="2:8" x14ac:dyDescent="0.25">
      <c r="E43" s="14">
        <v>21</v>
      </c>
      <c r="F43" s="32">
        <v>44562</v>
      </c>
      <c r="G43" s="14">
        <f>COUNTIFS(allstaff[Date Joined],"&gt;="&amp;F43,allstaff[Date Joined],"&lt;="&amp;EOMONTH(F43,0))</f>
        <v>3</v>
      </c>
      <c r="H43" s="14">
        <f>SUM($G$23:G43)</f>
        <v>122</v>
      </c>
    </row>
    <row r="44" spans="2:8" x14ac:dyDescent="0.25">
      <c r="E44" s="14">
        <v>22</v>
      </c>
      <c r="F44" s="32">
        <v>44593</v>
      </c>
      <c r="G44" s="14">
        <f>COUNTIFS(allstaff[Date Joined],"&gt;="&amp;F44,allstaff[Date Joined],"&lt;="&amp;EOMONTH(F44,0))</f>
        <v>10</v>
      </c>
      <c r="H44" s="14">
        <f>SUM($G$23:G44)</f>
        <v>132</v>
      </c>
    </row>
    <row r="45" spans="2:8" x14ac:dyDescent="0.25">
      <c r="E45" s="14">
        <v>23</v>
      </c>
      <c r="F45" s="32">
        <v>44621</v>
      </c>
      <c r="G45" s="14">
        <f>COUNTIFS(allstaff[Date Joined],"&gt;="&amp;F45,allstaff[Date Joined],"&lt;="&amp;EOMONTH(F45,0))</f>
        <v>9</v>
      </c>
      <c r="H45" s="14">
        <f>SUM($G$23:G45)</f>
        <v>141</v>
      </c>
    </row>
    <row r="46" spans="2:8" x14ac:dyDescent="0.25">
      <c r="E46" s="14">
        <v>24</v>
      </c>
      <c r="F46" s="32">
        <v>44652</v>
      </c>
      <c r="G46" s="14">
        <f>COUNTIFS(allstaff[Date Joined],"&gt;="&amp;F46,allstaff[Date Joined],"&lt;="&amp;EOMONTH(F46,0))</f>
        <v>9</v>
      </c>
      <c r="H46" s="14">
        <f>SUM($G$23:G46)</f>
        <v>150</v>
      </c>
    </row>
    <row r="47" spans="2:8" x14ac:dyDescent="0.25">
      <c r="E47" s="14">
        <v>25</v>
      </c>
      <c r="F47" s="32">
        <v>44682</v>
      </c>
      <c r="G47" s="14">
        <f>COUNTIFS(allstaff[Date Joined],"&gt;="&amp;F47,allstaff[Date Joined],"&lt;="&amp;EOMONTH(F47,0))</f>
        <v>9</v>
      </c>
      <c r="H47" s="14">
        <f>SUM($G$23:G47)</f>
        <v>159</v>
      </c>
    </row>
    <row r="48" spans="2:8" x14ac:dyDescent="0.25">
      <c r="E48" s="14">
        <v>26</v>
      </c>
      <c r="F48" s="32">
        <v>44713</v>
      </c>
      <c r="G48" s="14">
        <f>COUNTIFS(allstaff[Date Joined],"&gt;="&amp;F48,allstaff[Date Joined],"&lt;="&amp;EOMONTH(F48,0))</f>
        <v>7</v>
      </c>
      <c r="H48" s="14">
        <f>SUM($G$23:G48)</f>
        <v>166</v>
      </c>
    </row>
    <row r="49" spans="5:8" x14ac:dyDescent="0.25">
      <c r="E49" s="14">
        <v>27</v>
      </c>
      <c r="F49" s="32">
        <v>44743</v>
      </c>
      <c r="G49" s="14">
        <f>COUNTIFS(allstaff[Date Joined],"&gt;="&amp;F49,allstaff[Date Joined],"&lt;="&amp;EOMONTH(F49,0))</f>
        <v>5</v>
      </c>
      <c r="H49" s="14">
        <f>SUM($G$23:G49)</f>
        <v>171</v>
      </c>
    </row>
    <row r="50" spans="5:8" x14ac:dyDescent="0.25">
      <c r="E50" s="14">
        <v>28</v>
      </c>
      <c r="F50" s="32">
        <v>44774</v>
      </c>
      <c r="G50" s="14">
        <f>COUNTIFS(allstaff[Date Joined],"&gt;="&amp;F50,allstaff[Date Joined],"&lt;="&amp;EOMONTH(F50,0))</f>
        <v>5</v>
      </c>
      <c r="H50" s="14">
        <f>SUM($G$23:G50)</f>
        <v>176</v>
      </c>
    </row>
    <row r="51" spans="5:8" x14ac:dyDescent="0.25">
      <c r="E51" s="14">
        <v>29</v>
      </c>
      <c r="F51" s="32">
        <v>44805</v>
      </c>
      <c r="G51" s="14">
        <f>COUNTIFS(allstaff[Date Joined],"&gt;="&amp;F51,allstaff[Date Joined],"&lt;="&amp;EOMONTH(F51,0))</f>
        <v>2</v>
      </c>
      <c r="H51" s="14">
        <f>SUM($G$23:G51)</f>
        <v>178</v>
      </c>
    </row>
    <row r="52" spans="5:8" x14ac:dyDescent="0.25">
      <c r="E52" s="14">
        <v>30</v>
      </c>
      <c r="F52" s="32">
        <v>44835</v>
      </c>
      <c r="G52" s="14">
        <f>COUNTIFS(allstaff[Date Joined],"&gt;="&amp;F52,allstaff[Date Joined],"&lt;="&amp;EOMONTH(F52,0))</f>
        <v>3</v>
      </c>
      <c r="H52" s="14">
        <f>SUM($G$23:G52)</f>
        <v>181</v>
      </c>
    </row>
    <row r="53" spans="5:8" x14ac:dyDescent="0.25">
      <c r="E53" s="14">
        <v>31</v>
      </c>
      <c r="F53" s="32">
        <v>44866</v>
      </c>
      <c r="G53" s="14">
        <f>COUNTIFS(allstaff[Date Joined],"&gt;="&amp;F53,allstaff[Date Joined],"&lt;="&amp;EOMONTH(F53,0))</f>
        <v>0</v>
      </c>
      <c r="H53" s="14">
        <f>SUM($G$23:G53)</f>
        <v>181</v>
      </c>
    </row>
    <row r="54" spans="5:8" x14ac:dyDescent="0.25">
      <c r="E54" s="14">
        <v>32</v>
      </c>
      <c r="F54" s="32">
        <v>44896</v>
      </c>
      <c r="G54" s="14">
        <f>COUNTIFS(allstaff[Date Joined],"&gt;="&amp;F54,allstaff[Date Joined],"&lt;="&amp;EOMONTH(F54,0))</f>
        <v>0</v>
      </c>
      <c r="H54" s="14">
        <f>SUM($G$23:G54)</f>
        <v>181</v>
      </c>
    </row>
    <row r="55" spans="5:8" x14ac:dyDescent="0.25">
      <c r="E55" s="14">
        <v>33</v>
      </c>
      <c r="F55" s="32">
        <v>44927</v>
      </c>
      <c r="G55" s="14">
        <f>COUNTIFS(allstaff[Date Joined],"&gt;="&amp;F55,allstaff[Date Joined],"&lt;="&amp;EOMONTH(F55,0))</f>
        <v>0</v>
      </c>
      <c r="H55" s="14">
        <f>SUM($G$23:G55)</f>
        <v>181</v>
      </c>
    </row>
    <row r="56" spans="5:8" x14ac:dyDescent="0.25">
      <c r="E56" s="14">
        <v>34</v>
      </c>
      <c r="F56" s="32">
        <v>44958</v>
      </c>
      <c r="G56" s="14">
        <f>COUNTIFS(allstaff[Date Joined],"&gt;="&amp;F56,allstaff[Date Joined],"&lt;="&amp;EOMONTH(F56,0))</f>
        <v>1</v>
      </c>
      <c r="H56" s="14">
        <f>SUM($G$23:G56)</f>
        <v>182</v>
      </c>
    </row>
    <row r="57" spans="5:8" x14ac:dyDescent="0.25">
      <c r="E57" s="14">
        <v>35</v>
      </c>
      <c r="F57" s="32">
        <v>44986</v>
      </c>
      <c r="G57" s="14">
        <f>COUNTIFS(allstaff[Date Joined],"&gt;="&amp;F57,allstaff[Date Joined],"&lt;="&amp;EOMONTH(F57,0))</f>
        <v>0</v>
      </c>
      <c r="H57" s="14">
        <f>SUM($G$23:G57)</f>
        <v>182</v>
      </c>
    </row>
    <row r="58" spans="5:8" x14ac:dyDescent="0.25">
      <c r="E58" s="14">
        <v>36</v>
      </c>
      <c r="F58" s="32">
        <v>45017</v>
      </c>
      <c r="G58" s="14">
        <f>COUNTIFS(allstaff[Date Joined],"&gt;="&amp;F58,allstaff[Date Joined],"&lt;="&amp;EOMONTH(F58,0))</f>
        <v>1</v>
      </c>
      <c r="H58" s="14">
        <f>SUM($G$23:G58)</f>
        <v>183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22A28-961C-4225-B760-2DD3FA7C448C}">
  <sheetPr codeName="Hoja8"/>
  <dimension ref="C1:N5"/>
  <sheetViews>
    <sheetView showGridLines="0" tabSelected="1" workbookViewId="0">
      <selection activeCell="R9" sqref="R9"/>
    </sheetView>
  </sheetViews>
  <sheetFormatPr baseColWidth="10" defaultRowHeight="15" x14ac:dyDescent="0.25"/>
  <cols>
    <col min="3" max="3" width="13.85546875" customWidth="1"/>
    <col min="4" max="4" width="2.42578125" customWidth="1"/>
    <col min="5" max="5" width="13.28515625" customWidth="1"/>
    <col min="6" max="6" width="2.42578125" customWidth="1"/>
    <col min="7" max="7" width="14.7109375" customWidth="1"/>
    <col min="9" max="9" width="5" customWidth="1"/>
    <col min="10" max="10" width="13.42578125" customWidth="1"/>
    <col min="11" max="11" width="2.140625" customWidth="1"/>
    <col min="12" max="12" width="13.7109375" customWidth="1"/>
    <col min="13" max="13" width="2.140625" customWidth="1"/>
    <col min="14" max="14" width="14.7109375" customWidth="1"/>
  </cols>
  <sheetData>
    <row r="1" spans="3:14" ht="28.5" customHeight="1" x14ac:dyDescent="0.25">
      <c r="C1" s="42" t="s">
        <v>240</v>
      </c>
      <c r="D1" s="42"/>
      <c r="E1" s="42"/>
      <c r="F1" s="42"/>
      <c r="G1" s="42"/>
      <c r="J1" s="42" t="s">
        <v>241</v>
      </c>
      <c r="K1" s="42"/>
      <c r="L1" s="42"/>
      <c r="M1" s="42"/>
      <c r="N1" s="42"/>
    </row>
    <row r="2" spans="3:14" ht="34.5" customHeight="1" x14ac:dyDescent="0.25">
      <c r="C2" s="36" t="s">
        <v>242</v>
      </c>
      <c r="E2" s="36" t="s">
        <v>243</v>
      </c>
      <c r="G2" s="36" t="s">
        <v>244</v>
      </c>
      <c r="J2" s="36" t="s">
        <v>242</v>
      </c>
      <c r="L2" s="36" t="s">
        <v>243</v>
      </c>
      <c r="N2" s="36" t="s">
        <v>244</v>
      </c>
    </row>
    <row r="3" spans="3:14" ht="57.75" customHeight="1" x14ac:dyDescent="0.25">
      <c r="C3" s="33">
        <f>COUNTIF(allstaff[Country],"NZ")</f>
        <v>91</v>
      </c>
      <c r="E3" s="34">
        <f>(COUNTIFS(allstaff[Country],"NZ",allstaff[Gender],"Female"))/C3</f>
        <v>0.47252747252747251</v>
      </c>
      <c r="G3" s="35">
        <f>AVERAGEIFS(allstaff[Salary],allstaff[Country],"NZ")</f>
        <v>76978.791208791212</v>
      </c>
      <c r="J3" s="37">
        <f>COUNTIF(allstaff[Country],"India")</f>
        <v>92</v>
      </c>
      <c r="L3" s="38">
        <f>(COUNTIFS(allstaff[Country],"India",allstaff[Gender],"Female"))/J3</f>
        <v>0.46739130434782611</v>
      </c>
      <c r="N3" s="39">
        <f>AVERAGEIFS(allstaff[Salary],allstaff[Country],"India")</f>
        <v>77366.521739130432</v>
      </c>
    </row>
    <row r="4" spans="3:14" x14ac:dyDescent="0.25">
      <c r="E4" s="43" t="s">
        <v>245</v>
      </c>
      <c r="F4" s="43"/>
      <c r="G4" s="43"/>
      <c r="H4" s="43"/>
      <c r="I4" s="43"/>
      <c r="J4" s="43"/>
      <c r="K4" s="43"/>
      <c r="L4" s="43"/>
      <c r="M4" s="43"/>
    </row>
    <row r="5" spans="3:14" x14ac:dyDescent="0.25">
      <c r="E5" s="43"/>
      <c r="F5" s="43"/>
      <c r="G5" s="43"/>
      <c r="H5" s="43"/>
      <c r="I5" s="43"/>
      <c r="J5" s="43"/>
      <c r="K5" s="43"/>
      <c r="L5" s="43"/>
      <c r="M5" s="43"/>
    </row>
  </sheetData>
  <mergeCells count="3">
    <mergeCell ref="C1:G1"/>
    <mergeCell ref="J1:N1"/>
    <mergeCell ref="E4:M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C9CAE-F128-4750-9A05-738A9A9929F1}">
  <sheetPr codeName="Hoja9"/>
  <dimension ref="A1:M17"/>
  <sheetViews>
    <sheetView workbookViewId="0">
      <selection activeCell="M25" sqref="M25"/>
    </sheetView>
  </sheetViews>
  <sheetFormatPr baseColWidth="10" defaultRowHeight="15" x14ac:dyDescent="0.25"/>
  <cols>
    <col min="1" max="1" width="17.5703125" bestFit="1" customWidth="1"/>
    <col min="2" max="2" width="18" bestFit="1" customWidth="1"/>
    <col min="4" max="4" width="17.5703125" bestFit="1" customWidth="1"/>
    <col min="5" max="5" width="18" bestFit="1" customWidth="1"/>
  </cols>
  <sheetData>
    <row r="1" spans="1:5" x14ac:dyDescent="0.25">
      <c r="A1" s="26" t="s">
        <v>204</v>
      </c>
      <c r="B1" t="s" vm="1">
        <v>206</v>
      </c>
      <c r="D1" s="26" t="s">
        <v>204</v>
      </c>
      <c r="E1" t="s" vm="2">
        <v>205</v>
      </c>
    </row>
    <row r="3" spans="1:5" x14ac:dyDescent="0.25">
      <c r="A3" s="26" t="s">
        <v>218</v>
      </c>
      <c r="B3" t="s">
        <v>246</v>
      </c>
      <c r="D3" s="26" t="s">
        <v>218</v>
      </c>
      <c r="E3" t="s">
        <v>246</v>
      </c>
    </row>
    <row r="4" spans="1:5" x14ac:dyDescent="0.25">
      <c r="A4" s="22" t="s">
        <v>56</v>
      </c>
      <c r="B4" s="44">
        <v>4</v>
      </c>
      <c r="D4" s="22" t="s">
        <v>56</v>
      </c>
      <c r="E4" s="44">
        <v>4</v>
      </c>
    </row>
    <row r="5" spans="1:5" x14ac:dyDescent="0.25">
      <c r="A5" s="22" t="s">
        <v>19</v>
      </c>
      <c r="B5" s="44">
        <v>14</v>
      </c>
      <c r="D5" s="22" t="s">
        <v>19</v>
      </c>
      <c r="E5" s="44">
        <v>14</v>
      </c>
    </row>
    <row r="6" spans="1:5" x14ac:dyDescent="0.25">
      <c r="A6" s="22" t="s">
        <v>21</v>
      </c>
      <c r="B6" s="44">
        <v>19</v>
      </c>
      <c r="D6" s="22" t="s">
        <v>21</v>
      </c>
      <c r="E6" s="44">
        <v>19</v>
      </c>
    </row>
    <row r="7" spans="1:5" x14ac:dyDescent="0.25">
      <c r="A7" s="22" t="s">
        <v>12</v>
      </c>
      <c r="B7" s="44">
        <v>27</v>
      </c>
      <c r="D7" s="22" t="s">
        <v>9</v>
      </c>
      <c r="E7" s="44">
        <v>27</v>
      </c>
    </row>
    <row r="8" spans="1:5" x14ac:dyDescent="0.25">
      <c r="A8" s="22" t="s">
        <v>9</v>
      </c>
      <c r="B8" s="44">
        <v>28</v>
      </c>
      <c r="D8" s="22" t="s">
        <v>12</v>
      </c>
      <c r="E8" s="44">
        <v>27</v>
      </c>
    </row>
    <row r="9" spans="1:5" x14ac:dyDescent="0.25">
      <c r="A9" s="22" t="s">
        <v>219</v>
      </c>
      <c r="B9" s="44">
        <v>92</v>
      </c>
      <c r="D9" s="22" t="s">
        <v>219</v>
      </c>
      <c r="E9" s="44">
        <v>91</v>
      </c>
    </row>
    <row r="17" spans="13:13" x14ac:dyDescent="0.25">
      <c r="M17" s="40"/>
    </row>
  </sheetData>
  <pageMargins left="0.7" right="0.7" top="0.75" bottom="0.75" header="0.3" footer="0.3"/>
  <pageSetup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6 7 8 8 8 8 3 - 8 b f 6 - 4 d f 1 - b e c 2 - 2 b 7 8 e 6 8 1 3 5 e 8 "   x m l n s = " h t t p : / / s c h e m a s . m i c r o s o f t . c o m / D a t a M a s h u p " > A A A A A N w E A A B Q S w M E F A A C A A g A 5 H I h V 4 s 4 J R K k A A A A 9 g A A A B I A H A B D b 2 5 m a W c v U G F j a 2 F n Z S 5 4 b W w g o h g A K K A U A A A A A A A A A A A A A A A A A A A A A A A A A A A A h Y 9 N D o I w G E S v Q r q n P 8 h C y U e J c S u J 0 c S 4 b U q F R i i G F s v d X H g k r y B G U X c u 5 8 1 b z N y v N 8 i G p g 4 u q r O 6 N S l i m K J A G d k W 2 p Q p 6 t 0 x n K O M w 0 b I k y h V M M r G J o M t U l Q 5 d 0 4 I 8 d 5 j P 8 N t V 5 K I U k Y O + X o n K 9 U I 9 J H 1 f z n U x j p h p E I c 9 q 8 x P M K M L X B M Y 0 y B T B B y b b 5 C N O 5 9 t j 8 Q V n 3 t + k 5 x Z c P l F s g U g b w / 8 A d Q S w M E F A A C A A g A 5 H I h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R y I V c E Q p 9 c 1 g E A A A 8 I A A A T A B w A R m 9 y b X V s Y X M v U 2 V j d G l v b j E u b S C i G A A o o B Q A A A A A A A A A A A A A A A A A A A A A A A A A A A D t V M F q 2 0 A Q v R v 8 D 8 v m I o M w u I R e 0 h S C 0 p b k k I B t m o M x Z S y N 7 S W r W T N a E T v C / 5 5 V l M i S J T e p D 2 0 P 8 U X w d u b N z J v n S T C 0 y p A Y F d / B W b f T 7 S R L Y I y E o k j B r 8 T C f C 7 O h U b b 7 Q j 3 u 2 W 1 Q H L I t 3 W I u h + k z E j 2 z v D 9 z J h 7 r 5 d N b i D G c 1 l J l 9 P t J D B k X d z U L 1 h O 5 F i t j A g h n i m I j H R 8 Y 5 h p 7 I 8 Z K J k b j g O j 0 5 j G m x U m X l H T z z K Z c 0 t f W A c L i 2 u 7 9 U U m f y B F y A 3 4 Y l G G U h r P k J / R I V h F i 0 b w J V g U 1 0 Y R R q 9 v k Y O s i r F 4 x x W w j d 0 I j d Q R a O B N S 6 n A p G R 3 L 8 8 J 2 1 6 p w E / Q h g U j x i s N j z U V h u i g E F 1 E i t 6 + V j 6 l W v v y 1 i 7 z o V 9 C u Z b j l 6 J U 6 t V Y B m 9 I 3 t Z e v o A D O t W F K E w R b v o 5 l x u 5 2 1 F 0 o I u q 4 w g f H t F x U H S 8 7 f Y 5 / p H 3 f m O X d l s e o W v T z U C b N u P l c M U H 3 5 W G R M y V t g w R J L v 5 R 6 j d H R i a h 6 T p O Y E Q L o X l F G v b 3 O e q r v O C c A 0 8 a N 1 i U T A w j p 7 Q y / a 3 5 l e v z x + 2 / r K w o m F v U h F 2 K r 5 8 F f m f p / f u G U D r o 6 3 4 m v u / W v C K 7 O f T n Z X e u o D v d m F Z p v 3 + H T w G N e F P S v m E 9 6 k n P / T / G / o / A V B L A Q I t A B Q A A g A I A O R y I V e L O C U S p A A A A P Y A A A A S A A A A A A A A A A A A A A A A A A A A A A B D b 2 5 m a W c v U G F j a 2 F n Z S 5 4 b W x Q S w E C L Q A U A A I A C A D k c i F X D 8 r p q 6 Q A A A D p A A A A E w A A A A A A A A A A A A A A A A D w A A A A W 0 N v b n R l b n R f V H l w Z X N d L n h t b F B L A Q I t A B Q A A g A I A O R y I V c E Q p 9 c 1 g E A A A 8 I A A A T A A A A A A A A A A A A A A A A A O E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8 y A A A A A A A A v T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u Z G l h X 3 N 0 Y W Z m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N v d m V y e V R h c m d l d F N o Z W V 0 I i B W Y W x 1 Z T 0 i c 0 h v a m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R p Y V 9 z d G F m Z i 9 U a X B v I G N h b W J p Y W R v L n t O Y W 1 l L D B 9 J n F 1 b 3 Q 7 L C Z x d W 9 0 O 1 N l Y 3 R p b 2 4 x L 2 l u Z G l h X 3 N 0 Y W Z m L 1 Z h b G 9 y I H J l Z W 1 w b G F 6 Y W R v L n t H Z W 5 k Z X I s M X 0 m c X V v d D s s J n F 1 b 3 Q 7 U 2 V j d G l v b j E v a W 5 k a W F f c 3 R h Z m Y v V G l w b y B j Y W 1 i a W F k b y 5 7 Q W d l L D J 9 J n F 1 b 3 Q 7 L C Z x d W 9 0 O 1 N l Y 3 R p b 2 4 x L 2 l u Z G l h X 3 N 0 Y W Z m L 1 R p c G 8 g Y 2 F t Y m l h Z G 8 u e 1 J h d G l u Z y w z f S Z x d W 9 0 O y w m c X V v d D t T Z W N 0 a W 9 u M S 9 p b m R p Y V 9 z d G F m Z i 9 U a X B v I G N h b W J p Y W R v L n t E Y X R l I E p v a W 5 l Z C w 0 f S Z x d W 9 0 O y w m c X V v d D t T Z W N 0 a W 9 u M S 9 p b m R p Y V 9 z d G F m Z i 9 U a X B v I G N h b W J p Y W R v L n t E Z X B h c n R t Z W 5 0 L D V 9 J n F 1 b 3 Q 7 L C Z x d W 9 0 O 1 N l Y 3 R p b 2 4 x L 2 l u Z G l h X 3 N 0 Y W Z m L 1 R p c G 8 g Y 2 F t Y m l h Z G 8 u e 1 N h b G F y e S w 2 f S Z x d W 9 0 O y w m c X V v d D t T Z W N 0 a W 9 u M S 9 p b m R p Y V 9 z d G F m Z i 9 U a X B v I G N h b W J p Y W R v L n t D b 3 V u d H J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l u Z G l h X 3 N 0 Y W Z m L 1 R p c G 8 g Y 2 F t Y m l h Z G 8 u e 0 5 h b W U s M H 0 m c X V v d D s s J n F 1 b 3 Q 7 U 2 V j d G l v b j E v a W 5 k a W F f c 3 R h Z m Y v V m F s b 3 I g c m V l b X B s Y X p h Z G 8 u e 0 d l b m R l c i w x f S Z x d W 9 0 O y w m c X V v d D t T Z W N 0 a W 9 u M S 9 p b m R p Y V 9 z d G F m Z i 9 U a X B v I G N h b W J p Y W R v L n t B Z 2 U s M n 0 m c X V v d D s s J n F 1 b 3 Q 7 U 2 V j d G l v b j E v a W 5 k a W F f c 3 R h Z m Y v V G l w b y B j Y W 1 i a W F k b y 5 7 U m F 0 a W 5 n L D N 9 J n F 1 b 3 Q 7 L C Z x d W 9 0 O 1 N l Y 3 R p b 2 4 x L 2 l u Z G l h X 3 N 0 Y W Z m L 1 R p c G 8 g Y 2 F t Y m l h Z G 8 u e 0 R h d G U g S m 9 p b m V k L D R 9 J n F 1 b 3 Q 7 L C Z x d W 9 0 O 1 N l Y 3 R p b 2 4 x L 2 l u Z G l h X 3 N 0 Y W Z m L 1 R p c G 8 g Y 2 F t Y m l h Z G 8 u e 0 R l c G F y d G 1 l b n Q s N X 0 m c X V v d D s s J n F 1 b 3 Q 7 U 2 V j d G l v b j E v a W 5 k a W F f c 3 R h Z m Y v V G l w b y B j Y W 1 i a W F k b y 5 7 U 2 F s Y X J 5 L D Z 9 J n F 1 b 3 Q 7 L C Z x d W 9 0 O 1 N l Y 3 R p b 2 4 x L 2 l u Z G l h X 3 N 0 Y W Z m L 1 R p c G 8 g Y 2 F t Y m l h Z G 8 u e 0 N v d W 5 0 c n k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T G F z d F V w Z G F 0 Z W Q i I F Z h b H V l P S J k M j A y M y 0 w N y 0 y M l Q y M z o w M j o w N y 4 z O D c x O T I 4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W 5 k a W F f c 3 R h Z m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a W F f c 3 R h Z m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a W F f c 3 R h Z m Y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3 p l Y W x h b m R f c 3 R h Z m Y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y 0 y M l Q y M z o w M j o w N y 4 0 N D c z N z k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Z X d 6 Z W F s Y W 5 k X 3 N 0 Y W Z m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3 p l Y W x h b m R f c 3 R h Z m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a W F f c 3 R h Z m Y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3 p l Y W x h b m R f c 3 R h Z m Y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V 4 Y X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h b G x z d G F m Z i I g L z 4 8 R W 5 0 c n k g V H l w Z T 0 i R m l s b G V k Q 2 9 t c G x l d G V S Z X N 1 b H R U b 1 d v c m t z a G V l d C I g V m F s d W U 9 I m w x I i A v P j x F b n R y e S B U e X B l P S J G a W x s Q 2 9 1 b n Q i I F Z h b H V l P S J s M T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A x V D E 3 O j I z O j A 4 L j k 4 N z E 2 N D l a I i A v P j x F b n R y e S B U e X B l P S J G a W x s Q 2 9 s d W 1 u V H l w Z X M i I F Z h b H V l P S J z Q m d Z R 0 J R a 1 J B Q U E 9 I i A v P j x F b n R y e S B U e X B l P S J G a W x s Q 2 9 s d W 1 u T m F t Z X M i I F Z h b H V l P S J z W y Z x d W 9 0 O 0 5 h b W U m c X V v d D s s J n F 1 b 3 Q 7 R 2 V u Z G V y J n F 1 b 3 Q 7 L C Z x d W 9 0 O 0 R l c G F y d G 1 l b n Q m c X V v d D s s J n F 1 b 3 Q 7 Q W d l J n F 1 b 3 Q 7 L C Z x d W 9 0 O 0 R h d G U g S m 9 p b m V k J n F 1 b 3 Q 7 L C Z x d W 9 0 O 1 N h b G F y e S Z x d W 9 0 O y w m c X V v d D t S Y X R p b m c m c X V v d D s s J n F 1 b 3 Q 7 Q 2 9 1 b n R y e S Z x d W 9 0 O 1 0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S G 9 q Y T I i I C 8 + P E V u d H J 5 I F R 5 c G U 9 I k Z p b G x U Y X J n Z X R O Y W 1 l Q 3 V z d G 9 t a X p l Z C I g V m F s d W U 9 I m w x I i A v P j x F b n R y e S B U e X B l P S J R d W V y e U l E I i B W Y W x 1 Z T 0 i c z l m N j U z Z D Z m L T g 3 O G Q t N D A w M i 0 4 Z T Q x L W E z Y T d j M T M 0 Y j E y Z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m V 4 Y X I x L 0 F 1 d G 9 S Z W 1 v d m V k Q 2 9 s d W 1 u c z E u e 0 5 h b W U s M H 0 m c X V v d D s s J n F 1 b 3 Q 7 U 2 V j d G l v b j E v Q W 5 l e G F y M S 9 B d X R v U m V t b 3 Z l Z E N v b H V t b n M x L n t H Z W 5 k Z X I s M X 0 m c X V v d D s s J n F 1 b 3 Q 7 U 2 V j d G l v b j E v Q W 5 l e G F y M S 9 B d X R v U m V t b 3 Z l Z E N v b H V t b n M x L n t E Z X B h c n R t Z W 5 0 L D J 9 J n F 1 b 3 Q 7 L C Z x d W 9 0 O 1 N l Y 3 R p b 2 4 x L 0 F u Z X h h c j E v Q X V 0 b 1 J l b W 9 2 Z W R D b 2 x 1 b W 5 z M S 5 7 Q W d l L D N 9 J n F 1 b 3 Q 7 L C Z x d W 9 0 O 1 N l Y 3 R p b 2 4 x L 0 F u Z X h h c j E v Q X V 0 b 1 J l b W 9 2 Z W R D b 2 x 1 b W 5 z M S 5 7 R G F 0 Z S B K b 2 l u Z W Q s N H 0 m c X V v d D s s J n F 1 b 3 Q 7 U 2 V j d G l v b j E v Q W 5 l e G F y M S 9 B d X R v U m V t b 3 Z l Z E N v b H V t b n M x L n t T Y W x h c n k s N X 0 m c X V v d D s s J n F 1 b 3 Q 7 U 2 V j d G l v b j E v Q W 5 l e G F y M S 9 B d X R v U m V t b 3 Z l Z E N v b H V t b n M x L n t S Y X R p b m c s N n 0 m c X V v d D s s J n F 1 b 3 Q 7 U 2 V j d G l v b j E v Q W 5 l e G F y M S 9 B d X R v U m V t b 3 Z l Z E N v b H V t b n M x L n t D b 3 V u d H J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u Z X h h c j E v Q X V 0 b 1 J l b W 9 2 Z W R D b 2 x 1 b W 5 z M S 5 7 T m F t Z S w w f S Z x d W 9 0 O y w m c X V v d D t T Z W N 0 a W 9 u M S 9 B b m V 4 Y X I x L 0 F 1 d G 9 S Z W 1 v d m V k Q 2 9 s d W 1 u c z E u e 0 d l b m R l c i w x f S Z x d W 9 0 O y w m c X V v d D t T Z W N 0 a W 9 u M S 9 B b m V 4 Y X I x L 0 F 1 d G 9 S Z W 1 v d m V k Q 2 9 s d W 1 u c z E u e 0 R l c G F y d G 1 l b n Q s M n 0 m c X V v d D s s J n F 1 b 3 Q 7 U 2 V j d G l v b j E v Q W 5 l e G F y M S 9 B d X R v U m V t b 3 Z l Z E N v b H V t b n M x L n t B Z 2 U s M 3 0 m c X V v d D s s J n F 1 b 3 Q 7 U 2 V j d G l v b j E v Q W 5 l e G F y M S 9 B d X R v U m V t b 3 Z l Z E N v b H V t b n M x L n t E Y X R l I E p v a W 5 l Z C w 0 f S Z x d W 9 0 O y w m c X V v d D t T Z W N 0 a W 9 u M S 9 B b m V 4 Y X I x L 0 F 1 d G 9 S Z W 1 v d m V k Q 2 9 s d W 1 u c z E u e 1 N h b G F y e S w 1 f S Z x d W 9 0 O y w m c X V v d D t T Z W N 0 a W 9 u M S 9 B b m V 4 Y X I x L 0 F 1 d G 9 S Z W 1 v d m V k Q 2 9 s d W 1 u c z E u e 1 J h d G l u Z y w 2 f S Z x d W 9 0 O y w m c X V v d D t T Z W N 0 a W 9 u M S 9 B b m V 4 Y X I x L 0 F 1 d G 9 S Z W 1 v d m V k Q 2 9 s d W 1 u c z E u e 0 N v d W 5 0 c n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u Z X h h c j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l e G F y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H N 0 Y W Z m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a m E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J U M j M 6 M D Y 6 N D k u M j Y y M j c y M V o i I C 8 + P E V u d H J 5 I F R 5 c G U 9 I k Z p b G x D b 2 x 1 b W 5 U e X B l c y I g V m F s d W U 9 I n N C Z 1 l H Q X d j U k J n W T 0 i I C 8 + P E V u d H J 5 I F R 5 c G U 9 I k Z p b G x D b 2 x 1 b W 5 O Y W 1 l c y I g V m F s d W U 9 I n N b J n F 1 b 3 Q 7 T m F t Z S Z x d W 9 0 O y w m c X V v d D t H Z W 5 k Z X I m c X V v d D s s J n F 1 b 3 Q 7 R G V w Y X J 0 b W V u d C Z x d W 9 0 O y w m c X V v d D t B Z 2 U m c X V v d D s s J n F 1 b 3 Q 7 R G F 0 Z S B K b 2 l u Z W Q m c X V v d D s s J n F 1 b 3 Q 7 U 2 F s Y X J 5 J n F 1 b 3 Q 7 L C Z x d W 9 0 O 1 J h d G l u Z y Z x d W 9 0 O y w m c X V v d D t D b 3 V u d H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c 3 R h Z m Y v V G l w b y B j Y W 1 i a W F k b y 5 7 T m F t Z S w w f S Z x d W 9 0 O y w m c X V v d D t T Z W N 0 a W 9 u M S 9 h b G x z d G F m Z i 9 U a X B v I G N h b W J p Y W R v L n t H Z W 5 k Z X I s M X 0 m c X V v d D s s J n F 1 b 3 Q 7 U 2 V j d G l v b j E v Y W x s c 3 R h Z m Y v V G l w b y B j Y W 1 i a W F k b y 5 7 R G V w Y X J 0 b W V u d C w y f S Z x d W 9 0 O y w m c X V v d D t T Z W N 0 a W 9 u M S 9 h b G x z d G F m Z i 9 U a X B v I G N h b W J p Y W R v L n t B Z 2 U s M 3 0 m c X V v d D s s J n F 1 b 3 Q 7 U 2 V j d G l v b j E v Y W x s c 3 R h Z m Y v V G l w b y B j Y W 1 i a W F k b y 5 7 R G F 0 Z S B K b 2 l u Z W Q s N H 0 m c X V v d D s s J n F 1 b 3 Q 7 U 2 V j d G l v b j E v Y W x s c 3 R h Z m Y v V G l w b y B j Y W 1 i a W F k b y 5 7 U 2 F s Y X J 5 L D V 9 J n F 1 b 3 Q 7 L C Z x d W 9 0 O 1 N l Y 3 R p b 2 4 x L 2 F s b H N 0 Y W Z m L 1 R p c G 8 g Y 2 F t Y m l h Z G 8 u e 1 J h d G l u Z y w 2 f S Z x d W 9 0 O y w m c X V v d D t T Z W N 0 a W 9 u M S 9 h b G x z d G F m Z i 9 U a X B v I G N h b W J p Y W R v L n t D b 3 V u d H J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F s b H N 0 Y W Z m L 1 R p c G 8 g Y 2 F t Y m l h Z G 8 u e 0 5 h b W U s M H 0 m c X V v d D s s J n F 1 b 3 Q 7 U 2 V j d G l v b j E v Y W x s c 3 R h Z m Y v V G l w b y B j Y W 1 i a W F k b y 5 7 R 2 V u Z G V y L D F 9 J n F 1 b 3 Q 7 L C Z x d W 9 0 O 1 N l Y 3 R p b 2 4 x L 2 F s b H N 0 Y W Z m L 1 R p c G 8 g Y 2 F t Y m l h Z G 8 u e 0 R l c G F y d G 1 l b n Q s M n 0 m c X V v d D s s J n F 1 b 3 Q 7 U 2 V j d G l v b j E v Y W x s c 3 R h Z m Y v V G l w b y B j Y W 1 i a W F k b y 5 7 Q W d l L D N 9 J n F 1 b 3 Q 7 L C Z x d W 9 0 O 1 N l Y 3 R p b 2 4 x L 2 F s b H N 0 Y W Z m L 1 R p c G 8 g Y 2 F t Y m l h Z G 8 u e 0 R h d G U g S m 9 p b m V k L D R 9 J n F 1 b 3 Q 7 L C Z x d W 9 0 O 1 N l Y 3 R p b 2 4 x L 2 F s b H N 0 Y W Z m L 1 R p c G 8 g Y 2 F t Y m l h Z G 8 u e 1 N h b G F y e S w 1 f S Z x d W 9 0 O y w m c X V v d D t T Z W N 0 a W 9 u M S 9 h b G x z d G F m Z i 9 U a X B v I G N h b W J p Y W R v L n t S Y X R p b m c s N n 0 m c X V v d D s s J n F 1 b 3 Q 7 U 2 V j d G l v b j E v Y W x s c 3 R h Z m Y v V G l w b y B j Y W 1 i a W F k b y 5 7 Q 2 9 1 b n R y e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s c 3 R h Z m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c 3 R h Z m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c 3 R h Z m Y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x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V U M T M 6 N T U 6 M T U u N T U 1 N T g x N 1 o i I C 8 + P E V u d H J 5 I F R 5 c G U 9 I k Z p b G x D b 2 x 1 b W 5 U e X B l c y I g V m F s d W U 9 I n N C Z 1 l H Q X d j U k J n W U F B Q T 0 9 I i A v P j x F b n R y e S B U e X B l P S J G a W x s Q 2 9 s d W 1 u T m F t Z X M i I F Z h b H V l P S J z W y Z x d W 9 0 O 0 5 h b W U m c X V v d D s s J n F 1 b 3 Q 7 R 2 V u Z G V y J n F 1 b 3 Q 7 L C Z x d W 9 0 O 0 R l c G F y d G 1 l b n Q m c X V v d D s s J n F 1 b 3 Q 7 Q W d l J n F 1 b 3 Q 7 L C Z x d W 9 0 O 0 R h d G U g S m 9 p b m V k J n F 1 b 3 Q 7 L C Z x d W 9 0 O 1 N h b G F y e S Z x d W 9 0 O y w m c X V v d D t S Y X R p b m c m c X V v d D s s J n F 1 b 3 Q 7 Q 2 9 1 b n R y e S Z x d W 9 0 O y w m c X V v d D t U Z W 5 1 c m U g a W 4 g W W V h c n M m c X V v d D s s J n F 1 b 3 Q 7 Q m 9 u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c 3 R h Z m Y g K D I p L 1 R p c G 8 g Y 2 F t Y m l h Z G 8 u e 0 5 h b W U s M H 0 m c X V v d D s s J n F 1 b 3 Q 7 U 2 V j d G l v b j E v Y W x s c 3 R h Z m Y g K D I p L 1 R p c G 8 g Y 2 F t Y m l h Z G 8 u e 0 d l b m R l c i w x f S Z x d W 9 0 O y w m c X V v d D t T Z W N 0 a W 9 u M S 9 h b G x z d G F m Z i A o M i k v V G l w b y B j Y W 1 i a W F k b y 5 7 R G V w Y X J 0 b W V u d C w y f S Z x d W 9 0 O y w m c X V v d D t T Z W N 0 a W 9 u M S 9 h b G x z d G F m Z i A o M i k v V G l w b y B j Y W 1 i a W F k b y 5 7 Q W d l L D N 9 J n F 1 b 3 Q 7 L C Z x d W 9 0 O 1 N l Y 3 R p b 2 4 x L 2 F s b H N 0 Y W Z m I C g y K S 9 U a X B v I G N h b W J p Y W R v L n t E Y X R l I E p v a W 5 l Z C w 0 f S Z x d W 9 0 O y w m c X V v d D t T Z W N 0 a W 9 u M S 9 h b G x z d G F m Z i A o M i k v V G l w b y B j Y W 1 i a W F k b y 5 7 U 2 F s Y X J 5 L D V 9 J n F 1 b 3 Q 7 L C Z x d W 9 0 O 1 N l Y 3 R p b 2 4 x L 2 F s b H N 0 Y W Z m I C g y K S 9 U a X B v I G N h b W J p Y W R v L n t S Y X R p b m c s N n 0 m c X V v d D s s J n F 1 b 3 Q 7 U 2 V j d G l v b j E v Y W x s c 3 R h Z m Y g K D I p L 1 R p c G 8 g Y 2 F t Y m l h Z G 8 u e 0 N v d W 5 0 c n k s N 3 0 m c X V v d D s s J n F 1 b 3 Q 7 U 2 V j d G l v b j E v Y W x s c 3 R h Z m Y g K D I p L 0 9 y a W d l b i 5 7 V G V u d X J l I G l u I F l l Y X J z L D h 9 J n F 1 b 3 Q 7 L C Z x d W 9 0 O 1 N l Y 3 R p b 2 4 x L 2 F s b H N 0 Y W Z m I C g y K S 9 P c m l n Z W 4 u e 0 J v b n V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h b G x z d G F m Z i A o M i k v V G l w b y B j Y W 1 i a W F k b y 5 7 T m F t Z S w w f S Z x d W 9 0 O y w m c X V v d D t T Z W N 0 a W 9 u M S 9 h b G x z d G F m Z i A o M i k v V G l w b y B j Y W 1 i a W F k b y 5 7 R 2 V u Z G V y L D F 9 J n F 1 b 3 Q 7 L C Z x d W 9 0 O 1 N l Y 3 R p b 2 4 x L 2 F s b H N 0 Y W Z m I C g y K S 9 U a X B v I G N h b W J p Y W R v L n t E Z X B h c n R t Z W 5 0 L D J 9 J n F 1 b 3 Q 7 L C Z x d W 9 0 O 1 N l Y 3 R p b 2 4 x L 2 F s b H N 0 Y W Z m I C g y K S 9 U a X B v I G N h b W J p Y W R v L n t B Z 2 U s M 3 0 m c X V v d D s s J n F 1 b 3 Q 7 U 2 V j d G l v b j E v Y W x s c 3 R h Z m Y g K D I p L 1 R p c G 8 g Y 2 F t Y m l h Z G 8 u e 0 R h d G U g S m 9 p b m V k L D R 9 J n F 1 b 3 Q 7 L C Z x d W 9 0 O 1 N l Y 3 R p b 2 4 x L 2 F s b H N 0 Y W Z m I C g y K S 9 U a X B v I G N h b W J p Y W R v L n t T Y W x h c n k s N X 0 m c X V v d D s s J n F 1 b 3 Q 7 U 2 V j d G l v b j E v Y W x s c 3 R h Z m Y g K D I p L 1 R p c G 8 g Y 2 F t Y m l h Z G 8 u e 1 J h d G l u Z y w 2 f S Z x d W 9 0 O y w m c X V v d D t T Z W N 0 a W 9 u M S 9 h b G x z d G F m Z i A o M i k v V G l w b y B j Y W 1 i a W F k b y 5 7 Q 2 9 1 b n R y e S w 3 f S Z x d W 9 0 O y w m c X V v d D t T Z W N 0 a W 9 u M S 9 h b G x z d G F m Z i A o M i k v T 3 J p Z 2 V u L n t U Z W 5 1 c m U g a W 4 g W W V h c n M s O H 0 m c X V v d D s s J n F 1 b 3 Q 7 U 2 V j d G l v b j E v Y W x s c 3 R h Z m Y g K D I p L 0 9 y a W d l b i 5 7 Q m 9 u d X M s O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R d W V y e U l E I i B W Y W x 1 Z T 0 i c 2 I y M 2 J m N G I y L W N h Y W E t N G V k Y i 0 4 Z D A w L W Q 0 Z T R h N W Y 1 O T M w N C I g L z 4 8 L 1 N 0 Y W J s Z U V u d H J p Z X M + P C 9 J d G V t P j x J d G V t P j x J d G V t T G 9 j Y X R p b 2 4 + P E l 0 Z W 1 U e X B l P k Z v c m 1 1 b G E 8 L 0 l 0 Z W 1 U e X B l P j x J d G V t U G F 0 a D 5 T Z W N 0 a W 9 u M S 9 h b G x z d G F m Z i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z d G F m Z i U y M C g y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m z n w j C W V U S k 7 p S V N w O f d A A A A A A C A A A A A A A Q Z g A A A A E A A C A A A A B v q 8 v / m Y Z 6 z w D J c T + c K / K Z z x s G 5 q H v t M 3 + 1 s b h B T k t v Q A A A A A O g A A A A A I A A C A A A A A 3 y u o A b 6 f V s 5 r L U Q K p Y h L e a J y L G f V s l + 2 U u M M T T j O 4 a V A A A A A G T 1 S Q p P v K 9 2 j C P B N m D y T K y U 3 k e E y n D j s g 0 y + P W V w s L H T 1 c Q 2 H W J d F I t G I w D U o 2 + X P z E 0 D H A 3 S N I x D 7 o b m + k j W s s F H a l 9 6 Q A d x H G c B e k p k E U A A A A A Z n X 8 H b o P E z / g v A n r / b P r E i k H B p 7 G l + n y q 3 n y N k 4 + g Y X z w / G o 9 C 5 k 2 K 4 z E x 8 6 4 w r M H d D a 6 q r 9 g O e C D W l h r D O c L < / D a t a M a s h u p > 
</file>

<file path=customXml/itemProps1.xml><?xml version="1.0" encoding="utf-8"?>
<ds:datastoreItem xmlns:ds="http://schemas.openxmlformats.org/officeDocument/2006/customXml" ds:itemID="{28615F27-AE47-4AF1-9404-AE3AE71C39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New Zealand Staff</vt:lpstr>
      <vt:lpstr>India Staff</vt:lpstr>
      <vt:lpstr>Todos los Empleados</vt:lpstr>
      <vt:lpstr>Salary Distribution</vt:lpstr>
      <vt:lpstr>Male vs Female</vt:lpstr>
      <vt:lpstr>Salary vs Rating</vt:lpstr>
      <vt:lpstr>Cantidad de Empleados</vt:lpstr>
      <vt:lpstr>India vs NZ</vt:lpstr>
      <vt:lpstr>Empleados por Departamento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franco giovannone</cp:lastModifiedBy>
  <dcterms:created xsi:type="dcterms:W3CDTF">2021-03-14T20:21:32Z</dcterms:created>
  <dcterms:modified xsi:type="dcterms:W3CDTF">2023-09-01T17:24:16Z</dcterms:modified>
</cp:coreProperties>
</file>