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ml.chartshap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2.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10.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drawings/drawing12.xml" ContentType="application/vnd.openxmlformats-officedocument.drawing+xml"/>
  <Override PartName="/xl/activeX/activeX30.xml" ContentType="application/vnd.ms-office.activeX+xml"/>
  <Override PartName="/xl/activeX/activeX3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Franco Ing\VBA files FF\OGIP_v2\"/>
    </mc:Choice>
  </mc:AlternateContent>
  <bookViews>
    <workbookView xWindow="0" yWindow="0" windowWidth="14430" windowHeight="8730" tabRatio="885" activeTab="1"/>
  </bookViews>
  <sheets>
    <sheet name="Composition" sheetId="12" r:id="rId1"/>
    <sheet name="Gas Properties PR EOS" sheetId="13" r:id="rId2"/>
    <sheet name="Reservoir Properties" sheetId="14" r:id="rId3"/>
    <sheet name="Reservoir" sheetId="15" r:id="rId4"/>
    <sheet name="Input_Data" sheetId="1" r:id="rId5"/>
    <sheet name="Statistics" sheetId="4" r:id="rId6"/>
    <sheet name="CB_DATA_" sheetId="7" state="hidden" r:id="rId7"/>
    <sheet name="PHI_Sw Corr" sheetId="11" r:id="rId8"/>
    <sheet name="Forecast_Variables_CB" sheetId="6" r:id="rId9"/>
    <sheet name="Charts" sheetId="8" r:id="rId10"/>
  </sheets>
  <functionGroups builtInGroupCount="18"/>
  <externalReferences>
    <externalReference r:id="rId11"/>
    <externalReference r:id="rId12"/>
  </externalReferences>
  <definedNames>
    <definedName name="CB_06013314272a4ecd97496dbb5dfe4313" localSheetId="8" hidden="1">Forecast_Variables_CB!$E$28</definedName>
    <definedName name="CB_0a5124f9b34f40e4a5059aabbb72baf4" localSheetId="4" hidden="1">Input_Data!$C$27</definedName>
    <definedName name="CB_11cdc03c96414b14af91cac8f5fafa53" localSheetId="8" hidden="1">Forecast_Variables_CB!$E$19</definedName>
    <definedName name="CB_208b638a660c40e8b11a9dbe19c9e15f" localSheetId="4" hidden="1">Input_Data!$C$30</definedName>
    <definedName name="CB_2493cd49a9624f7eac6c5012019f32ed" localSheetId="4" hidden="1">Input_Data!$C$14</definedName>
    <definedName name="CB_262843e21e8144198232c143b5be0376" localSheetId="4" hidden="1">Input_Data!$C$28</definedName>
    <definedName name="CB_28b69b933c9e4fda8cfe97b1aebbe3b0" localSheetId="8" hidden="1">Forecast_Variables_CB!$E$27</definedName>
    <definedName name="CB_2bf730ab432f48ebb6ad3f97ec55efe9" localSheetId="8" hidden="1">Forecast_Variables_CB!$E$14</definedName>
    <definedName name="CB_3379cf9f8b7446c9abaf544e40a2e3e0" localSheetId="8" hidden="1">Forecast_Variables_CB!$E$18</definedName>
    <definedName name="CB_40d10c09955c4361aacbd174c14f4e59" localSheetId="8" hidden="1">Forecast_Variables_CB!$E$11</definedName>
    <definedName name="CB_605bb85b9ff041c0bb220c191ab1d13e" localSheetId="6" hidden="1">#N/A</definedName>
    <definedName name="CB_61575739de3f47f686f8229b97b162de" localSheetId="4" hidden="1">Input_Data!$C$4</definedName>
    <definedName name="CB_673943afd5704163829ab41528049b51" localSheetId="6" hidden="1">#N/A</definedName>
    <definedName name="CB_6b995cd8c2ea4853a7fab9359d72a1f2" localSheetId="6" hidden="1">#N/A</definedName>
    <definedName name="CB_723db26b478346b6b6987fb86116e307" localSheetId="4" hidden="1">Input_Data!$C$15</definedName>
    <definedName name="CB_77c0481a17504977821b6386985a1739" localSheetId="8" hidden="1">Forecast_Variables_CB!$E$12</definedName>
    <definedName name="CB_90bc98622fe143fea058e99e2e74b5e1" localSheetId="4" hidden="1">Input_Data!$C$23</definedName>
    <definedName name="CB_91e0ac315cf242ad88b28f0003d44ed5" localSheetId="8" hidden="1">Forecast_Variables_CB!$E$16</definedName>
    <definedName name="CB_9dfeaeb8d1cc4972bdd9d41edf22b86b" localSheetId="8" hidden="1">Forecast_Variables_CB!$E$26</definedName>
    <definedName name="CB_9e702b82d7e642168be6155150e776bd" localSheetId="8" hidden="1">Forecast_Variables_CB!$E$13</definedName>
    <definedName name="CB_a2291b72bec142daaa257fed5ad2566f" localSheetId="8" hidden="1">Forecast_Variables_CB!$E$23</definedName>
    <definedName name="CB_a702ad16e3e04cb29d3cabf9b650bd5d" localSheetId="8" hidden="1">Forecast_Variables_CB!$E$24</definedName>
    <definedName name="CB_a98a704704e546f58f882043020efc61" localSheetId="8" hidden="1">Forecast_Variables_CB!$E$20</definedName>
    <definedName name="CB_bf486282c8cc46489c2b105263d029ca" localSheetId="8" hidden="1">Forecast_Variables_CB!$E$15</definedName>
    <definedName name="CB_Block_00000000000000000000000000000000" localSheetId="6" hidden="1">"'7.0.0.0"</definedName>
    <definedName name="CB_Block_00000000000000000000000000000000" localSheetId="8" hidden="1">"'7.0.0.0"</definedName>
    <definedName name="CB_Block_00000000000000000000000000000000" localSheetId="4" hidden="1">"'7.0.0.0"</definedName>
    <definedName name="CB_Block_00000000000000000000000000000000" localSheetId="7" hidden="1">"'7.0.0.0"</definedName>
    <definedName name="CB_Block_00000000000000000000000000000001" localSheetId="6" hidden="1">"'638154172144090729"</definedName>
    <definedName name="CB_Block_00000000000000000000000000000001" localSheetId="8" hidden="1">"'638154172143764913"</definedName>
    <definedName name="CB_Block_00000000000000000000000000000001" localSheetId="4" hidden="1">"'638154172143166710"</definedName>
    <definedName name="CB_Block_00000000000000000000000000000001" localSheetId="7" hidden="1">"'636929978368924223"</definedName>
    <definedName name="CB_Block_00000000000000000000000000000003" localSheetId="6" hidden="1">"'11.1.2926.0"</definedName>
    <definedName name="CB_Block_00000000000000000000000000000003" localSheetId="8" hidden="1">"'11.1.2926.0"</definedName>
    <definedName name="CB_Block_00000000000000000000000000000003" localSheetId="4" hidden="1">"'11.1.2926.0"</definedName>
    <definedName name="CB_Block_00000000000000000000000000000003" localSheetId="7" hidden="1">"'11.1.2391.0"</definedName>
    <definedName name="CB_BlockExt_00000000000000000000000000000003" localSheetId="6" hidden="1">"'11.1.2.2.000"</definedName>
    <definedName name="CB_BlockExt_00000000000000000000000000000003" localSheetId="8" hidden="1">"'11.1.2.2.000"</definedName>
    <definedName name="CB_BlockExt_00000000000000000000000000000003" localSheetId="4" hidden="1">"'11.1.2.2.000"</definedName>
    <definedName name="CB_BlockExt_00000000000000000000000000000003" localSheetId="7" hidden="1">"'11.1.2.1.000"</definedName>
    <definedName name="CB_c065f055b8a64a93b5f08377d5b1cf27" localSheetId="4" hidden="1">Input_Data!$C$16</definedName>
    <definedName name="CB_c114cf6646f5437fa8bef9ce1d67aaa7" localSheetId="8" hidden="1">Forecast_Variables_CB!$E$25</definedName>
    <definedName name="CB_d3b4210b59654931a5d9f57cb39dcfb7" localSheetId="8" hidden="1">Forecast_Variables_CB!$E$17</definedName>
    <definedName name="CB_d8eafb6cd23649e9bda9eef3db5018ea" localSheetId="4" hidden="1">Input_Data!$C$22</definedName>
    <definedName name="CB_e080c51885ad4688934d1ea61a429132" localSheetId="6" hidden="1">#N/A</definedName>
    <definedName name="CB_eb2fedc52da54f20b7ee7e8eb1def838" localSheetId="6" hidden="1">#N/A</definedName>
    <definedName name="CBCR_025004cd53a64bb1baff07fff83a4e1f" localSheetId="8" hidden="1">Forecast_Variables_CB!$C$19</definedName>
    <definedName name="CBCR_0aa1a63ca69b4236a20a5d8fd9dd94c4" localSheetId="8" hidden="1">Forecast_Variables_CB!$C$24</definedName>
    <definedName name="CBCR_134fe4d8f2814c7e9e812aa401728a32" localSheetId="4" hidden="1">Input_Data!$F$27</definedName>
    <definedName name="CBCR_2c743e7ba60745a198f16f64d1a96e92" localSheetId="4" hidden="1">Input_Data!$D$23</definedName>
    <definedName name="CBCR_2cd02b7856934446928d5b31b2418076" localSheetId="4" hidden="1">Input_Data!$D$14</definedName>
    <definedName name="CBCR_2f99f46360f34cbdbc19b57ef9be3fa8" localSheetId="4" hidden="1">Input_Data!$F$15</definedName>
    <definedName name="CBCR_35b2f3b05ddb475b8b2aca5a03c255fb" localSheetId="8" hidden="1">Forecast_Variables_CB!$C$17</definedName>
    <definedName name="CBCR_35c8cbaa585541e19f2318f3734d04ed" localSheetId="4" hidden="1">Input_Data!$F$30</definedName>
    <definedName name="CBCR_37ec53aabe0c454d9e683d889224e8c8" localSheetId="4" hidden="1">Input_Data!$F$4</definedName>
    <definedName name="CBCR_42063034b11a4ab68a549dfa5c0039d1" localSheetId="4" hidden="1">Input_Data!$D$22</definedName>
    <definedName name="CBCR_4319e631b714428bacfdf72075c2b9d6" localSheetId="8" hidden="1">Forecast_Variables_CB!$C$23</definedName>
    <definedName name="CBCR_5093db7d73d4410f832e6bef79fa819e" localSheetId="4" hidden="1">Input_Data!$D$4</definedName>
    <definedName name="CBCR_56f9675d4ae649e0806efc942d23b010" localSheetId="4" hidden="1">Input_Data!$F$14</definedName>
    <definedName name="CBCR_5750fcd70f5d4853ae7118f6a53a18e7" localSheetId="8" hidden="1">Forecast_Variables_CB!$C$18</definedName>
    <definedName name="CBCR_5df4b2c537f14072941af8962407851c" localSheetId="4" hidden="1">Input_Data!$D$28</definedName>
    <definedName name="CBCR_651bde2d819144d9822afbf1f29d514e" localSheetId="4" hidden="1">Input_Data!$F$23</definedName>
    <definedName name="CBCR_69ab8fa6d6aa410681652888daf58bef" localSheetId="8" hidden="1">Forecast_Variables_CB!$D$27</definedName>
    <definedName name="CBCR_6a3c8f40d741491cac58d0a53e9521f2" localSheetId="8" hidden="1">Forecast_Variables_CB!$C$27</definedName>
    <definedName name="CBCR_76c001cb17af46b9ab63b0696abf7a43" localSheetId="4" hidden="1">Input_Data!$F$4</definedName>
    <definedName name="CBCR_8019b658d48b4fdab9a25a0b9e0997cd" localSheetId="4" hidden="1">Input_Data!$D$27</definedName>
    <definedName name="CBCR_80e33026b3ba467a89fef59276461d3a" localSheetId="4" hidden="1">Input_Data!$D$4</definedName>
    <definedName name="CBCR_86d88ca4b09149ddbd4532b59c8b7ebf" localSheetId="8" hidden="1">Forecast_Variables_CB!$C$26</definedName>
    <definedName name="CBCR_880eb5e0824440a180ab1a8cb0863615" localSheetId="8" hidden="1">Forecast_Variables_CB!$D$26</definedName>
    <definedName name="CBCR_9492f7f39ec8470487e987a41f267007" localSheetId="4" hidden="1">Input_Data!$F$28</definedName>
    <definedName name="CBCR_9c8f5a4a83cc42eebcfcc2bc86dd608b" localSheetId="8" hidden="1">Forecast_Variables_CB!$C$15</definedName>
    <definedName name="CBCR_9fa64698989b4d64abab9cf2192448c3" localSheetId="8" hidden="1">Forecast_Variables_CB!$D$25</definedName>
    <definedName name="CBCR_a198e12c3aac48eca625f4e75d3cdf8f" localSheetId="8" hidden="1">Forecast_Variables_CB!$D$28</definedName>
    <definedName name="CBCR_aac63d7f616549e38e890334dccb8290" localSheetId="4" hidden="1">Input_Data!$F$16</definedName>
    <definedName name="CBCR_c7d49e51fc97429aa1e913e5e3278f03" localSheetId="4" hidden="1">Input_Data!$F$22</definedName>
    <definedName name="CBCR_d1d7948d27564055bbd2fa908b2b9842" localSheetId="4" hidden="1">Input_Data!$D$30</definedName>
    <definedName name="CBCR_d40eff08e1a448389a6583218ea7a222" localSheetId="8" hidden="1">Forecast_Variables_CB!$D$16</definedName>
    <definedName name="CBCR_e27eb4f7bbfa49b6814347c8b68ca887" localSheetId="4" hidden="1">Input_Data!$D$15</definedName>
    <definedName name="CBCR_e8f94b222d5c4ea8b205c79d940bd41e" localSheetId="8" hidden="1">Forecast_Variables_CB!$D$23</definedName>
    <definedName name="CBCR_e9a0b3e13ae141758fc35d216fdd76d2" localSheetId="8" hidden="1">Forecast_Variables_CB!$C$25</definedName>
    <definedName name="CBCR_f2344847400e48578bb68259a319d380" localSheetId="8" hidden="1">Forecast_Variables_CB!$C$28</definedName>
    <definedName name="CBCR_f3a1fcd624624296b7047f78a5cdfd02" localSheetId="4" hidden="1">Input_Data!$E$4</definedName>
    <definedName name="CBCR_fa65e572e20a4cc1ad47c76366074985" localSheetId="4" hidden="1">Input_Data!$D$16</definedName>
    <definedName name="CBWorkbookPriority" localSheetId="6" hidden="1">-1119536523</definedName>
    <definedName name="CBx_9b6b6d25f49b4508a212a6ba9f793f11" localSheetId="6" hidden="1">"'Input_Data'!$A$1"</definedName>
    <definedName name="CBx_ab931052731f4ec38d9a21f5c863cacb" localSheetId="6" hidden="1">"'Forecast_Variables_CB'!$A$1"</definedName>
    <definedName name="CBx_adc4d60abc6040bf99961cff3119142d" localSheetId="6" hidden="1">"'CB_DATA_'!$A$1"</definedName>
    <definedName name="CBx_f52f9d40610d4c85bb205758f73db2bd" localSheetId="6" hidden="1">"'Poro vs Sw Corr'!$A$1"</definedName>
    <definedName name="CBx_Sheet_Guid" localSheetId="6" hidden="1">"'adc4d60a-bc60-40bf-9996-1cff3119142d"</definedName>
    <definedName name="CBx_Sheet_Guid" localSheetId="8" hidden="1">"'ab931052-731f-4ec3-8d9a-21f5c863cacb"</definedName>
    <definedName name="CBx_Sheet_Guid" localSheetId="4" hidden="1">"'9b6b6d25-f49b-4508-a212-a6ba9f793f11"</definedName>
    <definedName name="CBx_Sheet_Guid" localSheetId="7" hidden="1">"'f52f9d40-610d-4c85-bb20-5758f73db2bd"</definedName>
    <definedName name="CBx_SheetRef" localSheetId="6" hidden="1">CB_DATA_!$A$14</definedName>
    <definedName name="CBx_SheetRef" localSheetId="8" hidden="1">CB_DATA_!$E$14</definedName>
    <definedName name="CBx_SheetRef" localSheetId="4" hidden="1">CB_DATA_!$G$14</definedName>
    <definedName name="CBx_SheetRef" localSheetId="7" hidden="1">CB_DATA_!$F$14</definedName>
    <definedName name="CBx_StorageType" localSheetId="6" hidden="1">2</definedName>
    <definedName name="CBx_StorageType" localSheetId="8" hidden="1">2</definedName>
    <definedName name="CBx_StorageType" localSheetId="4" hidden="1">2</definedName>
    <definedName name="CBx_StorageType" localSheetId="7" hidden="1">2</definedName>
    <definedName name="factor_z">[2]Solution_Tables!$D$10:$D$59</definedName>
    <definedName name="func_pressure">[2]Solution_Tables!$C$10:$C$59</definedName>
    <definedName name="func_pseudo_pressure">[2]Solution_Tables!$J$10:$J$59</definedName>
    <definedName name="gas_viscosity">[2]Solution_Tables!$G$10:$G$59</definedName>
    <definedName name="Lista_Grupos">[2]GAP_model_Summary_OP!$E$7</definedName>
    <definedName name="Lista_Reservorios">[2]GAP_model_Summary_OP!$I$7:$I$8</definedName>
    <definedName name="Lista_separadores_plant_capacity">[2]GAP_model_Summary_OP!$G$7</definedName>
    <definedName name="Lista_Trans">[2]GAP_model_Summary_OP!$L$7</definedName>
    <definedName name="p_z">[2]Solution_Tables!$K$10:$K$59</definedName>
    <definedName name="pressure">[2]Solution_Tables!$C$10:$C$59</definedName>
  </definedNames>
  <calcPr calcId="152511"/>
</workbook>
</file>

<file path=xl/calcChain.xml><?xml version="1.0" encoding="utf-8"?>
<calcChain xmlns="http://schemas.openxmlformats.org/spreadsheetml/2006/main">
  <c r="D11" i="7" l="1"/>
  <c r="C11" i="7"/>
  <c r="B11" i="7"/>
  <c r="A11" i="7"/>
  <c r="Y42" i="6" l="1"/>
  <c r="Y43" i="6"/>
  <c r="N24" i="4"/>
  <c r="O21" i="4"/>
  <c r="N23" i="4"/>
  <c r="D17" i="4"/>
  <c r="Q8" i="4"/>
  <c r="N5" i="4"/>
  <c r="Q5" i="4" l="1"/>
  <c r="P5" i="4"/>
  <c r="G11" i="7"/>
  <c r="F11" i="7"/>
  <c r="D16" i="4" l="1"/>
  <c r="C17" i="1" l="1"/>
  <c r="E17" i="1"/>
  <c r="F17" i="1"/>
  <c r="Y44" i="6" s="1"/>
  <c r="D17" i="1"/>
  <c r="E12" i="6" l="1"/>
  <c r="E13" i="6"/>
  <c r="E21" i="15" l="1"/>
  <c r="D21" i="15"/>
  <c r="E16" i="15"/>
  <c r="E17" i="15" s="1"/>
  <c r="E18" i="15" s="1"/>
  <c r="E19" i="15" s="1"/>
  <c r="D16" i="15"/>
  <c r="D17" i="15" s="1"/>
  <c r="D18" i="15" s="1"/>
  <c r="D19" i="15" s="1"/>
  <c r="E12" i="15"/>
  <c r="D12" i="15"/>
  <c r="E10" i="15"/>
  <c r="D10" i="15"/>
  <c r="D21" i="12"/>
  <c r="P17" i="12"/>
  <c r="P14" i="12"/>
  <c r="P11" i="12"/>
  <c r="T13" i="12" s="1"/>
  <c r="T6" i="12"/>
  <c r="T9" i="12" s="1"/>
  <c r="T5" i="12"/>
  <c r="P5" i="12"/>
  <c r="P8" i="12" s="1"/>
  <c r="D20" i="15" l="1"/>
  <c r="D22" i="15" s="1"/>
  <c r="E20" i="15"/>
  <c r="E22" i="15" s="1"/>
  <c r="T7" i="12"/>
  <c r="T11" i="12" s="1"/>
  <c r="T14" i="12" s="1"/>
  <c r="D24" i="15" l="1"/>
  <c r="E24" i="15" s="1"/>
  <c r="E25" i="15" s="1"/>
  <c r="T17" i="12"/>
  <c r="D3" i="14"/>
  <c r="E23" i="15"/>
  <c r="D23" i="15"/>
  <c r="C3" i="14"/>
  <c r="E26" i="15"/>
  <c r="E27" i="15"/>
  <c r="D26" i="15"/>
  <c r="D25" i="15" l="1"/>
  <c r="E28" i="15"/>
  <c r="D22" i="1" s="1"/>
  <c r="D21" i="1" s="1"/>
  <c r="D27" i="15"/>
  <c r="D28" i="15" l="1"/>
  <c r="F22" i="1" s="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F21" i="1" l="1"/>
  <c r="D80" i="4"/>
  <c r="B85" i="4" s="1"/>
  <c r="C80" i="4"/>
  <c r="B80" i="4"/>
  <c r="F85" i="4" l="1"/>
  <c r="F80" i="4"/>
  <c r="E80" i="4"/>
  <c r="A83" i="4"/>
  <c r="B83" i="4" s="1"/>
  <c r="D75" i="4"/>
  <c r="B75" i="4"/>
  <c r="C81" i="4"/>
  <c r="B76" i="4" s="1"/>
  <c r="B74" i="4" s="1"/>
  <c r="E81" i="4" l="1"/>
  <c r="F81" i="4" s="1"/>
  <c r="B73" i="4"/>
  <c r="D85" i="4" s="1"/>
  <c r="D76" i="4"/>
  <c r="D74" i="4" s="1"/>
  <c r="E82" i="4" l="1"/>
  <c r="B86" i="4" s="1"/>
  <c r="D73" i="4"/>
  <c r="C85" i="4" s="1"/>
  <c r="E85" i="4" s="1"/>
  <c r="F82" i="4" l="1"/>
  <c r="F83" i="4" s="1"/>
  <c r="E83" i="4"/>
  <c r="D86" i="4"/>
  <c r="C86" i="4"/>
  <c r="E86" i="4" s="1"/>
  <c r="F86" i="4"/>
  <c r="B87" i="4"/>
  <c r="F87" i="4" l="1"/>
  <c r="B88" i="4"/>
  <c r="L46" i="6"/>
  <c r="L45" i="6"/>
  <c r="K46" i="6"/>
  <c r="K45" i="6"/>
  <c r="J46" i="6"/>
  <c r="J52" i="6" s="1"/>
  <c r="J45" i="6"/>
  <c r="L44" i="6"/>
  <c r="L43" i="6"/>
  <c r="L42" i="6"/>
  <c r="L41" i="6"/>
  <c r="K44" i="6"/>
  <c r="K43" i="6"/>
  <c r="K42" i="6"/>
  <c r="K41" i="6"/>
  <c r="J44" i="6"/>
  <c r="J51" i="6" s="1"/>
  <c r="J43" i="6"/>
  <c r="J42" i="6"/>
  <c r="J41" i="6"/>
  <c r="T44" i="6"/>
  <c r="S44" i="6"/>
  <c r="T43" i="6"/>
  <c r="T42" i="6"/>
  <c r="B89" i="4" l="1"/>
  <c r="F89" i="4" s="1"/>
  <c r="F88" i="4"/>
  <c r="U44" i="6"/>
  <c r="E20" i="6"/>
  <c r="L51" i="6"/>
  <c r="K51" i="6"/>
  <c r="K52" i="6"/>
  <c r="L52" i="6"/>
  <c r="B90" i="4" l="1"/>
  <c r="B91" i="4" l="1"/>
  <c r="B92" i="4" l="1"/>
  <c r="F91" i="4"/>
  <c r="Z49" i="6"/>
  <c r="Z48" i="6"/>
  <c r="B93" i="4" l="1"/>
  <c r="Z55" i="6"/>
  <c r="Z54" i="6"/>
  <c r="Z42" i="6"/>
  <c r="Z44" i="6"/>
  <c r="Z43" i="6"/>
  <c r="T56" i="6"/>
  <c r="T55" i="6"/>
  <c r="T54" i="6"/>
  <c r="S56" i="6"/>
  <c r="S55" i="6"/>
  <c r="S54" i="6"/>
  <c r="T50" i="6"/>
  <c r="T49" i="6"/>
  <c r="T48" i="6"/>
  <c r="S50" i="6"/>
  <c r="S49" i="6"/>
  <c r="S48" i="6"/>
  <c r="S43" i="6"/>
  <c r="U43" i="6" s="1"/>
  <c r="V43" i="6" s="1"/>
  <c r="S42" i="6"/>
  <c r="B94" i="4" l="1"/>
  <c r="F93" i="4"/>
  <c r="U42" i="6"/>
  <c r="V42" i="6" s="1"/>
  <c r="V44" i="6"/>
  <c r="E16" i="6"/>
  <c r="U56" i="6"/>
  <c r="V56" i="6" s="1"/>
  <c r="U55" i="6"/>
  <c r="V55" i="6" s="1"/>
  <c r="U54" i="6"/>
  <c r="V54" i="6" s="1"/>
  <c r="U50" i="6"/>
  <c r="V50" i="6" s="1"/>
  <c r="U49" i="6"/>
  <c r="V49" i="6" s="1"/>
  <c r="U48" i="6"/>
  <c r="V48" i="6" s="1"/>
  <c r="B95" i="4" l="1"/>
  <c r="F94" i="4"/>
  <c r="B96" i="4" l="1"/>
  <c r="F95" i="4"/>
  <c r="B97" i="4" l="1"/>
  <c r="F96" i="4"/>
  <c r="Y54" i="6"/>
  <c r="AA54" i="6" s="1"/>
  <c r="AB54" i="6" s="1"/>
  <c r="Y55" i="6"/>
  <c r="AA55" i="6" s="1"/>
  <c r="AB55" i="6" s="1"/>
  <c r="B98" i="4" l="1"/>
  <c r="F97" i="4"/>
  <c r="E14" i="6"/>
  <c r="B99" i="4" l="1"/>
  <c r="F98" i="4"/>
  <c r="B100" i="4" l="1"/>
  <c r="F99" i="4"/>
  <c r="B101" i="4" l="1"/>
  <c r="F100" i="4"/>
  <c r="AA44" i="6"/>
  <c r="AB44" i="6" s="1"/>
  <c r="AA43" i="6"/>
  <c r="AB43" i="6" s="1"/>
  <c r="B102" i="4" l="1"/>
  <c r="F101" i="4"/>
  <c r="D5" i="4"/>
  <c r="M5" i="4" s="1"/>
  <c r="B103" i="4" l="1"/>
  <c r="F102" i="4"/>
  <c r="B104" i="4" l="1"/>
  <c r="B105" i="4" s="1"/>
  <c r="F103" i="4"/>
  <c r="Y49" i="6"/>
  <c r="AA49" i="6" s="1"/>
  <c r="AB49" i="6" s="1"/>
  <c r="Y48" i="6"/>
  <c r="AA48" i="6" s="1"/>
  <c r="AB48" i="6" s="1"/>
  <c r="D6" i="4"/>
  <c r="D7" i="4"/>
  <c r="D8" i="4"/>
  <c r="D9" i="4"/>
  <c r="D10" i="4"/>
  <c r="L5" i="4" s="1"/>
  <c r="D11" i="4"/>
  <c r="D12" i="4"/>
  <c r="D13" i="4"/>
  <c r="D14" i="4"/>
  <c r="D15" i="4"/>
  <c r="F105" i="4" l="1"/>
  <c r="D105" i="4"/>
  <c r="E105" i="4" s="1"/>
  <c r="C105" i="4"/>
  <c r="K5" i="4"/>
  <c r="O5" i="4"/>
  <c r="F104" i="4"/>
  <c r="C21" i="1" l="1"/>
  <c r="E17" i="6"/>
  <c r="E18" i="6" l="1"/>
  <c r="E19" i="6" l="1"/>
  <c r="E15" i="6"/>
  <c r="E11" i="6"/>
  <c r="E24" i="6" l="1"/>
  <c r="E23" i="6" s="1"/>
  <c r="O10" i="4"/>
  <c r="Q10" i="4" s="1"/>
  <c r="O9" i="4"/>
  <c r="Q9" i="4" s="1"/>
  <c r="N9" i="4"/>
  <c r="P9" i="4" s="1"/>
  <c r="O8" i="4"/>
  <c r="N8" i="4"/>
  <c r="P8" i="4" s="1"/>
  <c r="O7" i="4"/>
  <c r="Q7" i="4" s="1"/>
  <c r="N7" i="4"/>
  <c r="R9" i="4" l="1"/>
  <c r="R8" i="4"/>
  <c r="S8" i="4" s="1"/>
  <c r="P7" i="4"/>
  <c r="R7" i="4" s="1"/>
  <c r="V7" i="4" s="1"/>
  <c r="J9" i="4"/>
  <c r="I9" i="4"/>
  <c r="E25" i="6"/>
  <c r="E26" i="6" s="1"/>
  <c r="E27" i="6"/>
  <c r="E28" i="6" s="1"/>
  <c r="N10" i="4"/>
  <c r="P10" i="4" s="1"/>
  <c r="AA42" i="6"/>
  <c r="AB42" i="6" s="1"/>
  <c r="S7" i="4" l="1"/>
  <c r="T7" i="4" s="1"/>
  <c r="U7" i="4" s="1"/>
  <c r="W7" i="4"/>
  <c r="T23" i="4"/>
  <c r="R10" i="4"/>
  <c r="S10" i="4" s="1"/>
  <c r="V9" i="4"/>
  <c r="S9" i="4"/>
  <c r="T9" i="4" s="1"/>
  <c r="U9" i="4" s="1"/>
  <c r="T8" i="4"/>
  <c r="U8" i="4" s="1"/>
  <c r="W8" i="4"/>
  <c r="V8" i="4"/>
  <c r="J10" i="4"/>
  <c r="I10" i="4"/>
  <c r="K9" i="4"/>
  <c r="M9" i="4"/>
  <c r="L9" i="4"/>
  <c r="U23" i="4" l="1"/>
  <c r="V23" i="4"/>
  <c r="W9" i="4"/>
  <c r="V10" i="4"/>
  <c r="W10" i="4"/>
  <c r="T10" i="4"/>
  <c r="U10" i="4" s="1"/>
  <c r="L10" i="4"/>
  <c r="K10" i="4"/>
  <c r="M10" i="4"/>
  <c r="U21" i="4" s="1"/>
  <c r="T24" i="4" s="1"/>
  <c r="V24" i="4" l="1"/>
  <c r="U24" i="4"/>
  <c r="T25" i="4"/>
  <c r="V25" i="4" s="1"/>
  <c r="C87" i="4"/>
  <c r="E87" i="4" s="1"/>
  <c r="D87" i="4"/>
  <c r="T26" i="4" l="1"/>
  <c r="V26" i="4" s="1"/>
  <c r="U25" i="4"/>
  <c r="C88" i="4"/>
  <c r="D88" i="4"/>
  <c r="T27" i="4" l="1"/>
  <c r="V27" i="4" s="1"/>
  <c r="U26" i="4"/>
  <c r="E88" i="4"/>
  <c r="D89" i="4"/>
  <c r="C89" i="4"/>
  <c r="E89" i="4" s="1"/>
  <c r="T28" i="4" l="1"/>
  <c r="V28" i="4" s="1"/>
  <c r="U27" i="4"/>
  <c r="D90" i="4"/>
  <c r="C90" i="4"/>
  <c r="E90" i="4" s="1"/>
  <c r="F90" i="4" s="1"/>
  <c r="T29" i="4" l="1"/>
  <c r="V29" i="4" s="1"/>
  <c r="U28" i="4"/>
  <c r="C91" i="4"/>
  <c r="D91" i="4"/>
  <c r="T30" i="4" l="1"/>
  <c r="V30" i="4" s="1"/>
  <c r="U29" i="4"/>
  <c r="E91" i="4"/>
  <c r="D92" i="4"/>
  <c r="E92" i="4" s="1"/>
  <c r="F92" i="4" s="1"/>
  <c r="C92" i="4"/>
  <c r="T31" i="4" l="1"/>
  <c r="V31" i="4" s="1"/>
  <c r="U30" i="4"/>
  <c r="C93" i="4"/>
  <c r="D93" i="4"/>
  <c r="E93" i="4"/>
  <c r="T32" i="4" l="1"/>
  <c r="V32" i="4" s="1"/>
  <c r="U31" i="4"/>
  <c r="C94" i="4"/>
  <c r="D94" i="4"/>
  <c r="E94" i="4" s="1"/>
  <c r="T33" i="4" l="1"/>
  <c r="V33" i="4" s="1"/>
  <c r="U32" i="4"/>
  <c r="D95" i="4"/>
  <c r="C95" i="4"/>
  <c r="E95" i="4"/>
  <c r="T34" i="4" l="1"/>
  <c r="V34" i="4" s="1"/>
  <c r="U33" i="4"/>
  <c r="D96" i="4"/>
  <c r="C96" i="4"/>
  <c r="E96" i="4"/>
  <c r="T35" i="4" l="1"/>
  <c r="V35" i="4" s="1"/>
  <c r="U34" i="4"/>
  <c r="C97" i="4"/>
  <c r="D97" i="4"/>
  <c r="E97" i="4" s="1"/>
  <c r="T36" i="4" l="1"/>
  <c r="V36" i="4" s="1"/>
  <c r="U35" i="4"/>
  <c r="C98" i="4"/>
  <c r="D98" i="4"/>
  <c r="E98" i="4" s="1"/>
  <c r="T37" i="4" l="1"/>
  <c r="V37" i="4" s="1"/>
  <c r="U36" i="4"/>
  <c r="D99" i="4"/>
  <c r="C99" i="4"/>
  <c r="E99" i="4"/>
  <c r="T38" i="4" l="1"/>
  <c r="V38" i="4" s="1"/>
  <c r="U37" i="4"/>
  <c r="C100" i="4"/>
  <c r="D100" i="4"/>
  <c r="E100" i="4" s="1"/>
  <c r="T39" i="4" l="1"/>
  <c r="V39" i="4" s="1"/>
  <c r="U38" i="4"/>
  <c r="D101" i="4"/>
  <c r="C101" i="4"/>
  <c r="E101" i="4"/>
  <c r="T40" i="4" l="1"/>
  <c r="V40" i="4" s="1"/>
  <c r="U39" i="4"/>
  <c r="D102" i="4"/>
  <c r="E102" i="4" s="1"/>
  <c r="C102" i="4"/>
  <c r="T41" i="4" l="1"/>
  <c r="V41" i="4" s="1"/>
  <c r="U40" i="4"/>
  <c r="D103" i="4"/>
  <c r="C103" i="4"/>
  <c r="E103" i="4"/>
  <c r="T42" i="4" l="1"/>
  <c r="V42" i="4" s="1"/>
  <c r="U41" i="4"/>
  <c r="D104" i="4"/>
  <c r="E104" i="4" s="1"/>
  <c r="C104" i="4"/>
  <c r="T43" i="4" l="1"/>
  <c r="V43" i="4" s="1"/>
  <c r="U42" i="4"/>
  <c r="I7" i="4"/>
  <c r="J7" i="4"/>
  <c r="L7" i="4" s="1"/>
  <c r="T44" i="4" l="1"/>
  <c r="V44" i="4" s="1"/>
  <c r="U43" i="4"/>
  <c r="K7" i="4"/>
  <c r="M7" i="4"/>
  <c r="H23" i="4" s="1"/>
  <c r="I23" i="4" s="1"/>
  <c r="I21" i="4" l="1"/>
  <c r="H24" i="4" s="1"/>
  <c r="I24" i="4" s="1"/>
  <c r="T45" i="4"/>
  <c r="V45" i="4" s="1"/>
  <c r="U44" i="4"/>
  <c r="J23" i="4"/>
  <c r="I8" i="4"/>
  <c r="J8" i="4"/>
  <c r="T46" i="4" l="1"/>
  <c r="V46" i="4" s="1"/>
  <c r="U45" i="4"/>
  <c r="L8" i="4"/>
  <c r="H25" i="4"/>
  <c r="I25" i="4" s="1"/>
  <c r="K8" i="4"/>
  <c r="M8" i="4"/>
  <c r="T47" i="4" l="1"/>
  <c r="V47" i="4" s="1"/>
  <c r="U46" i="4"/>
  <c r="P23" i="4"/>
  <c r="O23" i="4"/>
  <c r="H26" i="4"/>
  <c r="T48" i="4" l="1"/>
  <c r="V48" i="4" s="1"/>
  <c r="U47" i="4"/>
  <c r="P24" i="4"/>
  <c r="N25" i="4"/>
  <c r="O24" i="4"/>
  <c r="H27" i="4"/>
  <c r="I26" i="4"/>
  <c r="J24" i="4"/>
  <c r="T49" i="4" l="1"/>
  <c r="V49" i="4" s="1"/>
  <c r="U48" i="4"/>
  <c r="N26" i="4"/>
  <c r="P25" i="4"/>
  <c r="O25" i="4"/>
  <c r="H28" i="4"/>
  <c r="I27" i="4"/>
  <c r="J25" i="4"/>
  <c r="T50" i="4" l="1"/>
  <c r="V50" i="4" s="1"/>
  <c r="U49" i="4"/>
  <c r="O26" i="4"/>
  <c r="N27" i="4"/>
  <c r="P26" i="4"/>
  <c r="H29" i="4"/>
  <c r="I28" i="4"/>
  <c r="J26" i="4"/>
  <c r="T51" i="4" l="1"/>
  <c r="V51" i="4" s="1"/>
  <c r="U50" i="4"/>
  <c r="P27" i="4"/>
  <c r="N28" i="4"/>
  <c r="O27" i="4"/>
  <c r="H30" i="4"/>
  <c r="I29" i="4"/>
  <c r="J27" i="4"/>
  <c r="T52" i="4" l="1"/>
  <c r="V52" i="4" s="1"/>
  <c r="U51" i="4"/>
  <c r="P28" i="4"/>
  <c r="N29" i="4"/>
  <c r="O28" i="4"/>
  <c r="H31" i="4"/>
  <c r="I30" i="4"/>
  <c r="J28" i="4"/>
  <c r="T53" i="4" l="1"/>
  <c r="V53" i="4" s="1"/>
  <c r="U52" i="4"/>
  <c r="P29" i="4"/>
  <c r="N30" i="4"/>
  <c r="O29" i="4"/>
  <c r="H32" i="4"/>
  <c r="I31" i="4"/>
  <c r="J29" i="4"/>
  <c r="T54" i="4" l="1"/>
  <c r="V54" i="4" s="1"/>
  <c r="U53" i="4"/>
  <c r="P30" i="4"/>
  <c r="N31" i="4"/>
  <c r="O30" i="4"/>
  <c r="H33" i="4"/>
  <c r="I32" i="4"/>
  <c r="J30" i="4"/>
  <c r="T55" i="4" l="1"/>
  <c r="V55" i="4" s="1"/>
  <c r="U54" i="4"/>
  <c r="P31" i="4"/>
  <c r="N32" i="4"/>
  <c r="O31" i="4"/>
  <c r="H34" i="4"/>
  <c r="I33" i="4"/>
  <c r="J31" i="4"/>
  <c r="T56" i="4" l="1"/>
  <c r="V56" i="4" s="1"/>
  <c r="U55" i="4"/>
  <c r="P32" i="4"/>
  <c r="N33" i="4"/>
  <c r="O32" i="4"/>
  <c r="H35" i="4"/>
  <c r="I34" i="4"/>
  <c r="J32" i="4"/>
  <c r="T57" i="4" l="1"/>
  <c r="V57" i="4" s="1"/>
  <c r="U56" i="4"/>
  <c r="P33" i="4"/>
  <c r="N34" i="4"/>
  <c r="O33" i="4"/>
  <c r="H36" i="4"/>
  <c r="I35" i="4"/>
  <c r="J33" i="4"/>
  <c r="T58" i="4" l="1"/>
  <c r="V58" i="4" s="1"/>
  <c r="U57" i="4"/>
  <c r="P34" i="4"/>
  <c r="N35" i="4"/>
  <c r="O34" i="4"/>
  <c r="H37" i="4"/>
  <c r="I36" i="4"/>
  <c r="J34" i="4"/>
  <c r="T59" i="4" l="1"/>
  <c r="V59" i="4" s="1"/>
  <c r="U58" i="4"/>
  <c r="P35" i="4"/>
  <c r="N36" i="4"/>
  <c r="O35" i="4"/>
  <c r="H38" i="4"/>
  <c r="I37" i="4"/>
  <c r="J35" i="4"/>
  <c r="T60" i="4" l="1"/>
  <c r="V60" i="4" s="1"/>
  <c r="U59" i="4"/>
  <c r="P36" i="4"/>
  <c r="N37" i="4"/>
  <c r="O36" i="4"/>
  <c r="H39" i="4"/>
  <c r="I38" i="4"/>
  <c r="J36" i="4"/>
  <c r="T61" i="4" l="1"/>
  <c r="V61" i="4" s="1"/>
  <c r="U60" i="4"/>
  <c r="P37" i="4"/>
  <c r="N38" i="4"/>
  <c r="O37" i="4"/>
  <c r="H40" i="4"/>
  <c r="I39" i="4"/>
  <c r="J37" i="4"/>
  <c r="T62" i="4" l="1"/>
  <c r="V62" i="4" s="1"/>
  <c r="U61" i="4"/>
  <c r="P38" i="4"/>
  <c r="N39" i="4"/>
  <c r="O38" i="4"/>
  <c r="H41" i="4"/>
  <c r="I40" i="4"/>
  <c r="J38" i="4"/>
  <c r="T63" i="4" l="1"/>
  <c r="V63" i="4" s="1"/>
  <c r="U62" i="4"/>
  <c r="P39" i="4"/>
  <c r="N40" i="4"/>
  <c r="O39" i="4"/>
  <c r="H42" i="4"/>
  <c r="I41" i="4"/>
  <c r="J39" i="4"/>
  <c r="T64" i="4" l="1"/>
  <c r="V64" i="4" s="1"/>
  <c r="U63" i="4"/>
  <c r="P40" i="4"/>
  <c r="N41" i="4"/>
  <c r="O40" i="4"/>
  <c r="H43" i="4"/>
  <c r="I42" i="4"/>
  <c r="J40" i="4"/>
  <c r="T65" i="4" l="1"/>
  <c r="V65" i="4" s="1"/>
  <c r="U64" i="4"/>
  <c r="P41" i="4"/>
  <c r="N42" i="4"/>
  <c r="O41" i="4"/>
  <c r="H44" i="4"/>
  <c r="I43" i="4"/>
  <c r="J41" i="4"/>
  <c r="T66" i="4" l="1"/>
  <c r="V66" i="4" s="1"/>
  <c r="U65" i="4"/>
  <c r="P42" i="4"/>
  <c r="N43" i="4"/>
  <c r="O42" i="4"/>
  <c r="H45" i="4"/>
  <c r="I44" i="4"/>
  <c r="J42" i="4"/>
  <c r="T67" i="4" l="1"/>
  <c r="V67" i="4" s="1"/>
  <c r="U66" i="4"/>
  <c r="P43" i="4"/>
  <c r="N44" i="4"/>
  <c r="O43" i="4"/>
  <c r="H46" i="4"/>
  <c r="I45" i="4"/>
  <c r="J43" i="4"/>
  <c r="T68" i="4" l="1"/>
  <c r="V68" i="4" s="1"/>
  <c r="U67" i="4"/>
  <c r="P44" i="4"/>
  <c r="N45" i="4"/>
  <c r="O44" i="4"/>
  <c r="H47" i="4"/>
  <c r="I46" i="4"/>
  <c r="J44" i="4"/>
  <c r="T69" i="4" l="1"/>
  <c r="V69" i="4" s="1"/>
  <c r="U68" i="4"/>
  <c r="P45" i="4"/>
  <c r="N46" i="4"/>
  <c r="O45" i="4"/>
  <c r="H48" i="4"/>
  <c r="I47" i="4"/>
  <c r="J45" i="4"/>
  <c r="T70" i="4" l="1"/>
  <c r="V70" i="4" s="1"/>
  <c r="U69" i="4"/>
  <c r="P46" i="4"/>
  <c r="N47" i="4"/>
  <c r="O46" i="4"/>
  <c r="H49" i="4"/>
  <c r="I48" i="4"/>
  <c r="J46" i="4"/>
  <c r="T71" i="4" l="1"/>
  <c r="V71" i="4" s="1"/>
  <c r="U70" i="4"/>
  <c r="P47" i="4"/>
  <c r="N48" i="4"/>
  <c r="O47" i="4"/>
  <c r="H50" i="4"/>
  <c r="I49" i="4"/>
  <c r="J47" i="4"/>
  <c r="T72" i="4" l="1"/>
  <c r="V72" i="4" s="1"/>
  <c r="U71" i="4"/>
  <c r="P48" i="4"/>
  <c r="N49" i="4"/>
  <c r="O48" i="4"/>
  <c r="H51" i="4"/>
  <c r="I50" i="4"/>
  <c r="J48" i="4"/>
  <c r="T73" i="4" l="1"/>
  <c r="V73" i="4" s="1"/>
  <c r="U72" i="4"/>
  <c r="P49" i="4"/>
  <c r="N50" i="4"/>
  <c r="O49" i="4"/>
  <c r="H52" i="4"/>
  <c r="I51" i="4"/>
  <c r="J49" i="4"/>
  <c r="T74" i="4" l="1"/>
  <c r="V74" i="4" s="1"/>
  <c r="U73" i="4"/>
  <c r="P50" i="4"/>
  <c r="N51" i="4"/>
  <c r="O50" i="4"/>
  <c r="H53" i="4"/>
  <c r="I52" i="4"/>
  <c r="J50" i="4"/>
  <c r="T75" i="4" l="1"/>
  <c r="V75" i="4" s="1"/>
  <c r="U74" i="4"/>
  <c r="P51" i="4"/>
  <c r="N52" i="4"/>
  <c r="O51" i="4"/>
  <c r="H54" i="4"/>
  <c r="I53" i="4"/>
  <c r="J51" i="4"/>
  <c r="T76" i="4" l="1"/>
  <c r="V76" i="4" s="1"/>
  <c r="U75" i="4"/>
  <c r="P52" i="4"/>
  <c r="N53" i="4"/>
  <c r="O52" i="4"/>
  <c r="H55" i="4"/>
  <c r="I54" i="4"/>
  <c r="J52" i="4"/>
  <c r="T77" i="4" l="1"/>
  <c r="V77" i="4" s="1"/>
  <c r="U76" i="4"/>
  <c r="P53" i="4"/>
  <c r="N54" i="4"/>
  <c r="O53" i="4"/>
  <c r="H56" i="4"/>
  <c r="I55" i="4"/>
  <c r="J53" i="4"/>
  <c r="T78" i="4" l="1"/>
  <c r="V78" i="4" s="1"/>
  <c r="U77" i="4"/>
  <c r="P54" i="4"/>
  <c r="N55" i="4"/>
  <c r="O54" i="4"/>
  <c r="H57" i="4"/>
  <c r="I56" i="4"/>
  <c r="J54" i="4"/>
  <c r="T79" i="4" l="1"/>
  <c r="V79" i="4" s="1"/>
  <c r="U78" i="4"/>
  <c r="P55" i="4"/>
  <c r="N56" i="4"/>
  <c r="O55" i="4"/>
  <c r="H58" i="4"/>
  <c r="I57" i="4"/>
  <c r="J55" i="4"/>
  <c r="T80" i="4" l="1"/>
  <c r="V80" i="4" s="1"/>
  <c r="U79" i="4"/>
  <c r="P56" i="4"/>
  <c r="N57" i="4"/>
  <c r="O56" i="4"/>
  <c r="H59" i="4"/>
  <c r="I58" i="4"/>
  <c r="J56" i="4"/>
  <c r="T81" i="4" l="1"/>
  <c r="V81" i="4" s="1"/>
  <c r="U80" i="4"/>
  <c r="P57" i="4"/>
  <c r="N58" i="4"/>
  <c r="O57" i="4"/>
  <c r="H60" i="4"/>
  <c r="I59" i="4"/>
  <c r="J57" i="4"/>
  <c r="T82" i="4" l="1"/>
  <c r="V82" i="4" s="1"/>
  <c r="U81" i="4"/>
  <c r="P58" i="4"/>
  <c r="N59" i="4"/>
  <c r="O58" i="4"/>
  <c r="H61" i="4"/>
  <c r="I60" i="4"/>
  <c r="J58" i="4"/>
  <c r="T83" i="4" l="1"/>
  <c r="V83" i="4" s="1"/>
  <c r="U82" i="4"/>
  <c r="P59" i="4"/>
  <c r="N60" i="4"/>
  <c r="O59" i="4"/>
  <c r="H62" i="4"/>
  <c r="I61" i="4"/>
  <c r="J59" i="4"/>
  <c r="T84" i="4" l="1"/>
  <c r="V84" i="4" s="1"/>
  <c r="U83" i="4"/>
  <c r="P60" i="4"/>
  <c r="N61" i="4"/>
  <c r="O60" i="4"/>
  <c r="H63" i="4"/>
  <c r="I62" i="4"/>
  <c r="J60" i="4"/>
  <c r="T85" i="4" l="1"/>
  <c r="V85" i="4" s="1"/>
  <c r="U84" i="4"/>
  <c r="P61" i="4"/>
  <c r="N62" i="4"/>
  <c r="O61" i="4"/>
  <c r="H64" i="4"/>
  <c r="I63" i="4"/>
  <c r="J61" i="4"/>
  <c r="T86" i="4" l="1"/>
  <c r="V86" i="4" s="1"/>
  <c r="U85" i="4"/>
  <c r="P62" i="4"/>
  <c r="N63" i="4"/>
  <c r="O62" i="4"/>
  <c r="H65" i="4"/>
  <c r="I64" i="4"/>
  <c r="J62" i="4"/>
  <c r="T87" i="4" l="1"/>
  <c r="V87" i="4" s="1"/>
  <c r="U86" i="4"/>
  <c r="P63" i="4"/>
  <c r="N64" i="4"/>
  <c r="O63" i="4"/>
  <c r="H66" i="4"/>
  <c r="I65" i="4"/>
  <c r="J63" i="4"/>
  <c r="T88" i="4" l="1"/>
  <c r="V88" i="4" s="1"/>
  <c r="U87" i="4"/>
  <c r="P64" i="4"/>
  <c r="N65" i="4"/>
  <c r="O64" i="4"/>
  <c r="H67" i="4"/>
  <c r="I66" i="4"/>
  <c r="J64" i="4"/>
  <c r="T89" i="4" l="1"/>
  <c r="V89" i="4" s="1"/>
  <c r="U88" i="4"/>
  <c r="P65" i="4"/>
  <c r="N66" i="4"/>
  <c r="O65" i="4"/>
  <c r="H68" i="4"/>
  <c r="I67" i="4"/>
  <c r="J65" i="4"/>
  <c r="T90" i="4" l="1"/>
  <c r="V90" i="4" s="1"/>
  <c r="U89" i="4"/>
  <c r="P66" i="4"/>
  <c r="N67" i="4"/>
  <c r="O66" i="4"/>
  <c r="H69" i="4"/>
  <c r="I68" i="4"/>
  <c r="J66" i="4"/>
  <c r="T91" i="4" l="1"/>
  <c r="V91" i="4" s="1"/>
  <c r="U90" i="4"/>
  <c r="P67" i="4"/>
  <c r="N68" i="4"/>
  <c r="O67" i="4"/>
  <c r="H70" i="4"/>
  <c r="I69" i="4"/>
  <c r="J67" i="4"/>
  <c r="T92" i="4" l="1"/>
  <c r="V92" i="4" s="1"/>
  <c r="U91" i="4"/>
  <c r="P68" i="4"/>
  <c r="N69" i="4"/>
  <c r="O68" i="4"/>
  <c r="H71" i="4"/>
  <c r="I70" i="4"/>
  <c r="J68" i="4"/>
  <c r="T93" i="4" l="1"/>
  <c r="V93" i="4" s="1"/>
  <c r="U92" i="4"/>
  <c r="P69" i="4"/>
  <c r="N70" i="4"/>
  <c r="O69" i="4"/>
  <c r="H72" i="4"/>
  <c r="I71" i="4"/>
  <c r="J69" i="4"/>
  <c r="T94" i="4" l="1"/>
  <c r="V94" i="4" s="1"/>
  <c r="U93" i="4"/>
  <c r="P70" i="4"/>
  <c r="N71" i="4"/>
  <c r="O70" i="4"/>
  <c r="H73" i="4"/>
  <c r="I72" i="4"/>
  <c r="J70" i="4"/>
  <c r="T95" i="4" l="1"/>
  <c r="V95" i="4" s="1"/>
  <c r="U94" i="4"/>
  <c r="P71" i="4"/>
  <c r="N72" i="4"/>
  <c r="O71" i="4"/>
  <c r="H74" i="4"/>
  <c r="I73" i="4"/>
  <c r="J71" i="4"/>
  <c r="T96" i="4" l="1"/>
  <c r="V96" i="4" s="1"/>
  <c r="U95" i="4"/>
  <c r="P72" i="4"/>
  <c r="N73" i="4"/>
  <c r="O72" i="4"/>
  <c r="H75" i="4"/>
  <c r="I74" i="4"/>
  <c r="J72" i="4"/>
  <c r="T97" i="4" l="1"/>
  <c r="V97" i="4" s="1"/>
  <c r="U96" i="4"/>
  <c r="P73" i="4"/>
  <c r="N74" i="4"/>
  <c r="O73" i="4"/>
  <c r="H76" i="4"/>
  <c r="I75" i="4"/>
  <c r="J73" i="4"/>
  <c r="T98" i="4" l="1"/>
  <c r="V98" i="4" s="1"/>
  <c r="U97" i="4"/>
  <c r="P74" i="4"/>
  <c r="N75" i="4"/>
  <c r="O74" i="4"/>
  <c r="H77" i="4"/>
  <c r="I76" i="4"/>
  <c r="J74" i="4"/>
  <c r="T99" i="4" l="1"/>
  <c r="V99" i="4" s="1"/>
  <c r="U98" i="4"/>
  <c r="P75" i="4"/>
  <c r="N76" i="4"/>
  <c r="O75" i="4"/>
  <c r="H78" i="4"/>
  <c r="I77" i="4"/>
  <c r="J75" i="4"/>
  <c r="T100" i="4" l="1"/>
  <c r="V100" i="4" s="1"/>
  <c r="U99" i="4"/>
  <c r="P76" i="4"/>
  <c r="N77" i="4"/>
  <c r="O76" i="4"/>
  <c r="H79" i="4"/>
  <c r="I78" i="4"/>
  <c r="J76" i="4"/>
  <c r="T101" i="4" l="1"/>
  <c r="V101" i="4" s="1"/>
  <c r="U100" i="4"/>
  <c r="P77" i="4"/>
  <c r="N78" i="4"/>
  <c r="O77" i="4"/>
  <c r="H80" i="4"/>
  <c r="I79" i="4"/>
  <c r="J77" i="4"/>
  <c r="T102" i="4" l="1"/>
  <c r="V102" i="4" s="1"/>
  <c r="U101" i="4"/>
  <c r="P78" i="4"/>
  <c r="N79" i="4"/>
  <c r="O78" i="4"/>
  <c r="H81" i="4"/>
  <c r="I80" i="4"/>
  <c r="J78" i="4"/>
  <c r="T103" i="4" l="1"/>
  <c r="V103" i="4" s="1"/>
  <c r="U102" i="4"/>
  <c r="P79" i="4"/>
  <c r="N80" i="4"/>
  <c r="O79" i="4"/>
  <c r="H82" i="4"/>
  <c r="I81" i="4"/>
  <c r="J79" i="4"/>
  <c r="T104" i="4" l="1"/>
  <c r="V104" i="4" s="1"/>
  <c r="U103" i="4"/>
  <c r="P80" i="4"/>
  <c r="N81" i="4"/>
  <c r="O80" i="4"/>
  <c r="H83" i="4"/>
  <c r="I82" i="4"/>
  <c r="J80" i="4"/>
  <c r="T105" i="4" l="1"/>
  <c r="V105" i="4" s="1"/>
  <c r="U104" i="4"/>
  <c r="P81" i="4"/>
  <c r="N82" i="4"/>
  <c r="O81" i="4"/>
  <c r="H84" i="4"/>
  <c r="I83" i="4"/>
  <c r="J81" i="4"/>
  <c r="T106" i="4" l="1"/>
  <c r="V106" i="4" s="1"/>
  <c r="U105" i="4"/>
  <c r="P82" i="4"/>
  <c r="N83" i="4"/>
  <c r="O82" i="4"/>
  <c r="H85" i="4"/>
  <c r="I84" i="4"/>
  <c r="J82" i="4"/>
  <c r="T107" i="4" l="1"/>
  <c r="V107" i="4" s="1"/>
  <c r="U106" i="4"/>
  <c r="P83" i="4"/>
  <c r="N84" i="4"/>
  <c r="O83" i="4"/>
  <c r="H86" i="4"/>
  <c r="I85" i="4"/>
  <c r="J83" i="4"/>
  <c r="T108" i="4" l="1"/>
  <c r="V108" i="4" s="1"/>
  <c r="U107" i="4"/>
  <c r="P84" i="4"/>
  <c r="N85" i="4"/>
  <c r="O84" i="4"/>
  <c r="H87" i="4"/>
  <c r="I86" i="4"/>
  <c r="J84" i="4"/>
  <c r="T109" i="4" l="1"/>
  <c r="V109" i="4" s="1"/>
  <c r="U108" i="4"/>
  <c r="P85" i="4"/>
  <c r="N86" i="4"/>
  <c r="O85" i="4"/>
  <c r="H88" i="4"/>
  <c r="I87" i="4"/>
  <c r="J85" i="4"/>
  <c r="T110" i="4" l="1"/>
  <c r="V110" i="4" s="1"/>
  <c r="U109" i="4"/>
  <c r="P86" i="4"/>
  <c r="N87" i="4"/>
  <c r="O86" i="4"/>
  <c r="H89" i="4"/>
  <c r="I88" i="4"/>
  <c r="J86" i="4"/>
  <c r="T111" i="4" l="1"/>
  <c r="V111" i="4" s="1"/>
  <c r="U110" i="4"/>
  <c r="P87" i="4"/>
  <c r="N88" i="4"/>
  <c r="O87" i="4"/>
  <c r="H90" i="4"/>
  <c r="I89" i="4"/>
  <c r="J87" i="4"/>
  <c r="T112" i="4" l="1"/>
  <c r="V112" i="4" s="1"/>
  <c r="U111" i="4"/>
  <c r="P88" i="4"/>
  <c r="N89" i="4"/>
  <c r="O88" i="4"/>
  <c r="H91" i="4"/>
  <c r="I90" i="4"/>
  <c r="J88" i="4"/>
  <c r="T113" i="4" l="1"/>
  <c r="V113" i="4" s="1"/>
  <c r="U112" i="4"/>
  <c r="P89" i="4"/>
  <c r="N90" i="4"/>
  <c r="O89" i="4"/>
  <c r="H92" i="4"/>
  <c r="I91" i="4"/>
  <c r="J89" i="4"/>
  <c r="T114" i="4" l="1"/>
  <c r="V114" i="4" s="1"/>
  <c r="U113" i="4"/>
  <c r="P90" i="4"/>
  <c r="N91" i="4"/>
  <c r="O90" i="4"/>
  <c r="H93" i="4"/>
  <c r="I92" i="4"/>
  <c r="J90" i="4"/>
  <c r="T115" i="4" l="1"/>
  <c r="V115" i="4" s="1"/>
  <c r="U114" i="4"/>
  <c r="P91" i="4"/>
  <c r="N92" i="4"/>
  <c r="O91" i="4"/>
  <c r="H94" i="4"/>
  <c r="I93" i="4"/>
  <c r="J91" i="4"/>
  <c r="T116" i="4" l="1"/>
  <c r="V116" i="4" s="1"/>
  <c r="U115" i="4"/>
  <c r="P92" i="4"/>
  <c r="N93" i="4"/>
  <c r="O92" i="4"/>
  <c r="H95" i="4"/>
  <c r="I94" i="4"/>
  <c r="J92" i="4"/>
  <c r="T117" i="4" l="1"/>
  <c r="V117" i="4" s="1"/>
  <c r="U116" i="4"/>
  <c r="P93" i="4"/>
  <c r="N94" i="4"/>
  <c r="O93" i="4"/>
  <c r="H96" i="4"/>
  <c r="I95" i="4"/>
  <c r="J93" i="4"/>
  <c r="T118" i="4" l="1"/>
  <c r="V118" i="4" s="1"/>
  <c r="U117" i="4"/>
  <c r="P94" i="4"/>
  <c r="N95" i="4"/>
  <c r="O94" i="4"/>
  <c r="H97" i="4"/>
  <c r="I96" i="4"/>
  <c r="J94" i="4"/>
  <c r="T119" i="4" l="1"/>
  <c r="V119" i="4" s="1"/>
  <c r="U118" i="4"/>
  <c r="P95" i="4"/>
  <c r="N96" i="4"/>
  <c r="O95" i="4"/>
  <c r="H98" i="4"/>
  <c r="I97" i="4"/>
  <c r="J95" i="4"/>
  <c r="T120" i="4" l="1"/>
  <c r="V120" i="4" s="1"/>
  <c r="U119" i="4"/>
  <c r="P96" i="4"/>
  <c r="N97" i="4"/>
  <c r="O96" i="4"/>
  <c r="H99" i="4"/>
  <c r="I98" i="4"/>
  <c r="J96" i="4"/>
  <c r="T121" i="4" l="1"/>
  <c r="V121" i="4" s="1"/>
  <c r="U120" i="4"/>
  <c r="P97" i="4"/>
  <c r="N98" i="4"/>
  <c r="O97" i="4"/>
  <c r="H100" i="4"/>
  <c r="I99" i="4"/>
  <c r="J97" i="4"/>
  <c r="T122" i="4" l="1"/>
  <c r="V122" i="4" s="1"/>
  <c r="U121" i="4"/>
  <c r="P98" i="4"/>
  <c r="N99" i="4"/>
  <c r="O98" i="4"/>
  <c r="H101" i="4"/>
  <c r="I100" i="4"/>
  <c r="J98" i="4"/>
  <c r="T123" i="4" l="1"/>
  <c r="V123" i="4" s="1"/>
  <c r="U122" i="4"/>
  <c r="P99" i="4"/>
  <c r="N100" i="4"/>
  <c r="O99" i="4"/>
  <c r="H102" i="4"/>
  <c r="I101" i="4"/>
  <c r="J99" i="4"/>
  <c r="T124" i="4" l="1"/>
  <c r="V124" i="4" s="1"/>
  <c r="U123" i="4"/>
  <c r="P100" i="4"/>
  <c r="N101" i="4"/>
  <c r="O100" i="4"/>
  <c r="H103" i="4"/>
  <c r="I102" i="4"/>
  <c r="J100" i="4"/>
  <c r="T125" i="4" l="1"/>
  <c r="V125" i="4" s="1"/>
  <c r="U124" i="4"/>
  <c r="P101" i="4"/>
  <c r="N102" i="4"/>
  <c r="O101" i="4"/>
  <c r="H104" i="4"/>
  <c r="I103" i="4"/>
  <c r="J101" i="4"/>
  <c r="T126" i="4" l="1"/>
  <c r="V126" i="4" s="1"/>
  <c r="U125" i="4"/>
  <c r="P102" i="4"/>
  <c r="N103" i="4"/>
  <c r="O102" i="4"/>
  <c r="H105" i="4"/>
  <c r="I104" i="4"/>
  <c r="J102" i="4"/>
  <c r="T127" i="4" l="1"/>
  <c r="V127" i="4" s="1"/>
  <c r="U126" i="4"/>
  <c r="P103" i="4"/>
  <c r="N104" i="4"/>
  <c r="O103" i="4"/>
  <c r="H106" i="4"/>
  <c r="I105" i="4"/>
  <c r="J103" i="4"/>
  <c r="T128" i="4" l="1"/>
  <c r="V128" i="4" s="1"/>
  <c r="U127" i="4"/>
  <c r="P104" i="4"/>
  <c r="N105" i="4"/>
  <c r="O104" i="4"/>
  <c r="H107" i="4"/>
  <c r="I106" i="4"/>
  <c r="J104" i="4"/>
  <c r="T129" i="4" l="1"/>
  <c r="V129" i="4" s="1"/>
  <c r="U128" i="4"/>
  <c r="P105" i="4"/>
  <c r="N106" i="4"/>
  <c r="O105" i="4"/>
  <c r="H108" i="4"/>
  <c r="I107" i="4"/>
  <c r="J105" i="4"/>
  <c r="T130" i="4" l="1"/>
  <c r="V130" i="4" s="1"/>
  <c r="U129" i="4"/>
  <c r="P106" i="4"/>
  <c r="N107" i="4"/>
  <c r="O106" i="4"/>
  <c r="H109" i="4"/>
  <c r="I108" i="4"/>
  <c r="J106" i="4"/>
  <c r="T131" i="4" l="1"/>
  <c r="V131" i="4" s="1"/>
  <c r="U130" i="4"/>
  <c r="P107" i="4"/>
  <c r="N108" i="4"/>
  <c r="O107" i="4"/>
  <c r="H110" i="4"/>
  <c r="I109" i="4"/>
  <c r="J107" i="4"/>
  <c r="T132" i="4" l="1"/>
  <c r="V132" i="4" s="1"/>
  <c r="U131" i="4"/>
  <c r="P108" i="4"/>
  <c r="N109" i="4"/>
  <c r="O108" i="4"/>
  <c r="H111" i="4"/>
  <c r="I110" i="4"/>
  <c r="J108" i="4"/>
  <c r="T133" i="4" l="1"/>
  <c r="V133" i="4" s="1"/>
  <c r="U132" i="4"/>
  <c r="P109" i="4"/>
  <c r="N110" i="4"/>
  <c r="O109" i="4"/>
  <c r="H112" i="4"/>
  <c r="I111" i="4"/>
  <c r="J109" i="4"/>
  <c r="T134" i="4" l="1"/>
  <c r="V134" i="4" s="1"/>
  <c r="U133" i="4"/>
  <c r="P110" i="4"/>
  <c r="N111" i="4"/>
  <c r="O110" i="4"/>
  <c r="H113" i="4"/>
  <c r="I112" i="4"/>
  <c r="J110" i="4"/>
  <c r="T135" i="4" l="1"/>
  <c r="V135" i="4" s="1"/>
  <c r="U134" i="4"/>
  <c r="P111" i="4"/>
  <c r="N112" i="4"/>
  <c r="O111" i="4"/>
  <c r="H114" i="4"/>
  <c r="I113" i="4"/>
  <c r="J111" i="4"/>
  <c r="T136" i="4" l="1"/>
  <c r="V136" i="4" s="1"/>
  <c r="U135" i="4"/>
  <c r="P112" i="4"/>
  <c r="N113" i="4"/>
  <c r="O112" i="4"/>
  <c r="H115" i="4"/>
  <c r="I114" i="4"/>
  <c r="J112" i="4"/>
  <c r="T137" i="4" l="1"/>
  <c r="V137" i="4" s="1"/>
  <c r="U136" i="4"/>
  <c r="P113" i="4"/>
  <c r="N114" i="4"/>
  <c r="O113" i="4"/>
  <c r="H116" i="4"/>
  <c r="I115" i="4"/>
  <c r="J113" i="4"/>
  <c r="T138" i="4" l="1"/>
  <c r="V138" i="4" s="1"/>
  <c r="U137" i="4"/>
  <c r="P114" i="4"/>
  <c r="N115" i="4"/>
  <c r="O114" i="4"/>
  <c r="H117" i="4"/>
  <c r="I116" i="4"/>
  <c r="J114" i="4"/>
  <c r="T139" i="4" l="1"/>
  <c r="V139" i="4" s="1"/>
  <c r="U138" i="4"/>
  <c r="P115" i="4"/>
  <c r="N116" i="4"/>
  <c r="O115" i="4"/>
  <c r="H118" i="4"/>
  <c r="I117" i="4"/>
  <c r="J115" i="4"/>
  <c r="T140" i="4" l="1"/>
  <c r="V140" i="4" s="1"/>
  <c r="U139" i="4"/>
  <c r="P116" i="4"/>
  <c r="N117" i="4"/>
  <c r="O116" i="4"/>
  <c r="H119" i="4"/>
  <c r="I118" i="4"/>
  <c r="J116" i="4"/>
  <c r="T141" i="4" l="1"/>
  <c r="V141" i="4" s="1"/>
  <c r="U140" i="4"/>
  <c r="P117" i="4"/>
  <c r="N118" i="4"/>
  <c r="O117" i="4"/>
  <c r="H120" i="4"/>
  <c r="I119" i="4"/>
  <c r="J117" i="4"/>
  <c r="U141" i="4" l="1"/>
  <c r="T21" i="4"/>
  <c r="T20" i="4"/>
  <c r="P118" i="4"/>
  <c r="N119" i="4"/>
  <c r="O118" i="4"/>
  <c r="H121" i="4"/>
  <c r="I120" i="4"/>
  <c r="J118" i="4"/>
  <c r="P119" i="4" l="1"/>
  <c r="N120" i="4"/>
  <c r="O119" i="4"/>
  <c r="H122" i="4"/>
  <c r="I121" i="4"/>
  <c r="J119" i="4"/>
  <c r="P120" i="4" l="1"/>
  <c r="N121" i="4"/>
  <c r="O120" i="4"/>
  <c r="H123" i="4"/>
  <c r="I122" i="4"/>
  <c r="J120" i="4"/>
  <c r="P121" i="4" l="1"/>
  <c r="N122" i="4"/>
  <c r="O121" i="4"/>
  <c r="H124" i="4"/>
  <c r="I123" i="4"/>
  <c r="J121" i="4"/>
  <c r="P122" i="4" l="1"/>
  <c r="N123" i="4"/>
  <c r="O122" i="4"/>
  <c r="H125" i="4"/>
  <c r="I124" i="4"/>
  <c r="J122" i="4"/>
  <c r="P123" i="4" l="1"/>
  <c r="N124" i="4"/>
  <c r="O123" i="4"/>
  <c r="H126" i="4"/>
  <c r="I125" i="4"/>
  <c r="J123" i="4"/>
  <c r="P124" i="4" l="1"/>
  <c r="N125" i="4"/>
  <c r="O124" i="4"/>
  <c r="H127" i="4"/>
  <c r="I126" i="4"/>
  <c r="J124" i="4"/>
  <c r="P125" i="4" l="1"/>
  <c r="N126" i="4"/>
  <c r="O125" i="4"/>
  <c r="H128" i="4"/>
  <c r="I127" i="4"/>
  <c r="J125" i="4"/>
  <c r="P126" i="4" l="1"/>
  <c r="N127" i="4"/>
  <c r="O126" i="4"/>
  <c r="H129" i="4"/>
  <c r="I128" i="4"/>
  <c r="J126" i="4"/>
  <c r="P127" i="4" l="1"/>
  <c r="N128" i="4"/>
  <c r="O127" i="4"/>
  <c r="H130" i="4"/>
  <c r="I129" i="4"/>
  <c r="J127" i="4"/>
  <c r="P128" i="4" l="1"/>
  <c r="N129" i="4"/>
  <c r="O128" i="4"/>
  <c r="H131" i="4"/>
  <c r="I130" i="4"/>
  <c r="J128" i="4"/>
  <c r="P129" i="4" l="1"/>
  <c r="N130" i="4"/>
  <c r="O129" i="4"/>
  <c r="H132" i="4"/>
  <c r="I131" i="4"/>
  <c r="J129" i="4"/>
  <c r="P130" i="4" l="1"/>
  <c r="N131" i="4"/>
  <c r="O130" i="4"/>
  <c r="H133" i="4"/>
  <c r="I132" i="4"/>
  <c r="J130" i="4"/>
  <c r="P131" i="4" l="1"/>
  <c r="N132" i="4"/>
  <c r="O131" i="4"/>
  <c r="H134" i="4"/>
  <c r="I133" i="4"/>
  <c r="J131" i="4"/>
  <c r="P132" i="4" l="1"/>
  <c r="N133" i="4"/>
  <c r="O132" i="4"/>
  <c r="H135" i="4"/>
  <c r="I134" i="4"/>
  <c r="J132" i="4"/>
  <c r="P133" i="4" l="1"/>
  <c r="N134" i="4"/>
  <c r="O133" i="4"/>
  <c r="H136" i="4"/>
  <c r="I135" i="4"/>
  <c r="J133" i="4"/>
  <c r="P134" i="4" l="1"/>
  <c r="N135" i="4"/>
  <c r="O134" i="4"/>
  <c r="H137" i="4"/>
  <c r="I136" i="4"/>
  <c r="J134" i="4"/>
  <c r="P135" i="4" l="1"/>
  <c r="N136" i="4"/>
  <c r="O135" i="4"/>
  <c r="H138" i="4"/>
  <c r="I137" i="4"/>
  <c r="J135" i="4"/>
  <c r="P136" i="4" l="1"/>
  <c r="N137" i="4"/>
  <c r="O136" i="4"/>
  <c r="H139" i="4"/>
  <c r="I138" i="4"/>
  <c r="J136" i="4"/>
  <c r="P137" i="4" l="1"/>
  <c r="N138" i="4"/>
  <c r="O137" i="4"/>
  <c r="H140" i="4"/>
  <c r="I139" i="4"/>
  <c r="J137" i="4"/>
  <c r="P138" i="4" l="1"/>
  <c r="N139" i="4"/>
  <c r="O138" i="4"/>
  <c r="H141" i="4"/>
  <c r="I141" i="4" s="1"/>
  <c r="I140" i="4"/>
  <c r="J138" i="4"/>
  <c r="P139" i="4" l="1"/>
  <c r="N140" i="4"/>
  <c r="O139" i="4"/>
  <c r="J139" i="4"/>
  <c r="P140" i="4" l="1"/>
  <c r="N141" i="4"/>
  <c r="O140" i="4"/>
  <c r="J140" i="4"/>
  <c r="P141" i="4" l="1"/>
  <c r="O141" i="4"/>
  <c r="N21" i="4"/>
  <c r="N20" i="4"/>
  <c r="H20" i="4"/>
  <c r="H21" i="4"/>
  <c r="J141" i="4"/>
</calcChain>
</file>

<file path=xl/comments1.xml><?xml version="1.0" encoding="utf-8"?>
<comments xmlns="http://schemas.openxmlformats.org/spreadsheetml/2006/main">
  <authors>
    <author>Franco</author>
  </authors>
  <commentList>
    <comment ref="H2" authorId="0" shapeId="0">
      <text>
        <r>
          <rPr>
            <b/>
            <sz val="9"/>
            <color indexed="81"/>
            <rFont val="Tahoma"/>
            <family val="2"/>
          </rPr>
          <t>Franco:</t>
        </r>
        <r>
          <rPr>
            <sz val="9"/>
            <color indexed="81"/>
            <rFont val="Tahoma"/>
            <family val="2"/>
          </rPr>
          <t xml:space="preserve">
Pitzer  Accentric  Factor:    This  factor  (symbol ω),  is  a  parameter  used  in non-ideal equations of state that takes into account the geometry and polarity of a molecule</t>
        </r>
      </text>
    </comment>
  </commentList>
</comments>
</file>

<file path=xl/comments2.xml><?xml version="1.0" encoding="utf-8"?>
<comments xmlns="http://schemas.openxmlformats.org/spreadsheetml/2006/main">
  <authors>
    <author>Franco Sivila</author>
  </authors>
  <commentList>
    <comment ref="B65" authorId="0" shapeId="0">
      <text>
        <r>
          <rPr>
            <b/>
            <sz val="9"/>
            <color indexed="81"/>
            <rFont val="Tahoma"/>
            <family val="2"/>
          </rPr>
          <t>This section helps to check the P99 and P1 for the assumption variables. Example: Rock volume, water saturation, etc.
P99 should be just large enough to be consistent with a very small possible value.
P1 should be just large enough that it is physcally possible. 
P99 must not be negative!</t>
        </r>
      </text>
    </comment>
  </commentList>
</comments>
</file>

<file path=xl/comments3.xml><?xml version="1.0" encoding="utf-8"?>
<comments xmlns="http://schemas.openxmlformats.org/spreadsheetml/2006/main">
  <authors>
    <author>Sivila, Franco F.</author>
    <author>Franco Sivila</author>
  </authors>
  <commentList>
    <comment ref="C20" authorId="0" shapeId="0">
      <text>
        <r>
          <rPr>
            <b/>
            <sz val="9"/>
            <color indexed="81"/>
            <rFont val="Tahoma"/>
            <family val="2"/>
          </rPr>
          <t>Sivila, Franco F.:</t>
        </r>
        <r>
          <rPr>
            <sz val="9"/>
            <color indexed="81"/>
            <rFont val="Tahoma"/>
            <family val="2"/>
          </rPr>
          <t xml:space="preserve">
Merma</t>
        </r>
      </text>
    </comment>
    <comment ref="G31" authorId="0" shapeId="0">
      <text>
        <r>
          <rPr>
            <sz val="9"/>
            <color indexed="81"/>
            <rFont val="Tahoma"/>
            <family val="2"/>
          </rPr>
          <t>*Coefficient of Variability</t>
        </r>
      </text>
    </comment>
    <comment ref="B39" authorId="1" shapeId="0">
      <text>
        <r>
          <rPr>
            <b/>
            <sz val="9"/>
            <color indexed="81"/>
            <rFont val="Tahoma"/>
            <family val="2"/>
          </rPr>
          <t xml:space="preserve">Franco Sivila: </t>
        </r>
        <r>
          <rPr>
            <sz val="9"/>
            <color indexed="81"/>
            <rFont val="Tahoma"/>
            <family val="2"/>
          </rPr>
          <t>Filtering removes values outside the range from charts and statistical calculations.</t>
        </r>
      </text>
    </comment>
    <comment ref="B43" authorId="1" shapeId="0">
      <text>
        <r>
          <rPr>
            <b/>
            <sz val="8"/>
            <color indexed="81"/>
            <rFont val="Tahoma"/>
            <family val="2"/>
          </rPr>
          <t>Franco Sivila:</t>
        </r>
        <r>
          <rPr>
            <sz val="9"/>
            <color indexed="81"/>
            <rFont val="Tahoma"/>
            <family val="2"/>
          </rPr>
          <t xml:space="preserve">
</t>
        </r>
        <r>
          <rPr>
            <sz val="8"/>
            <color indexed="81"/>
            <rFont val="Tahoma"/>
            <family val="2"/>
          </rPr>
          <t xml:space="preserve">Select which forecast variables will be extracted [data and charts] at the end of each CB simulation. The data extraction is executed when CB simulation is Run using the botton on sheet "OGIP_Volumetric_Estimation_CB" [VBA code].
</t>
        </r>
      </text>
    </comment>
  </commentList>
</comments>
</file>

<file path=xl/sharedStrings.xml><?xml version="1.0" encoding="utf-8"?>
<sst xmlns="http://schemas.openxmlformats.org/spreadsheetml/2006/main" count="746" uniqueCount="305">
  <si>
    <t>Assumption</t>
  </si>
  <si>
    <t>P10</t>
  </si>
  <si>
    <t>P50</t>
  </si>
  <si>
    <t>P90</t>
  </si>
  <si>
    <t>Unit</t>
  </si>
  <si>
    <t>Distribution</t>
  </si>
  <si>
    <t>Variable</t>
  </si>
  <si>
    <t>Area</t>
  </si>
  <si>
    <t>Thickness</t>
  </si>
  <si>
    <t>Rock Volume</t>
  </si>
  <si>
    <t>Porosity</t>
  </si>
  <si>
    <t>Water Saturation</t>
  </si>
  <si>
    <t>[m]</t>
  </si>
  <si>
    <t>[decimal]</t>
  </si>
  <si>
    <t>Fluid Properties</t>
  </si>
  <si>
    <t>[scf/STB]</t>
  </si>
  <si>
    <t>Uniform</t>
  </si>
  <si>
    <t>Recovery</t>
  </si>
  <si>
    <t>Gas Shrinkage</t>
  </si>
  <si>
    <t>Log Normal</t>
  </si>
  <si>
    <t>Triangular</t>
  </si>
  <si>
    <t>Gas</t>
  </si>
  <si>
    <t>Labels</t>
  </si>
  <si>
    <t>X</t>
  </si>
  <si>
    <t>Y</t>
  </si>
  <si>
    <t>Sw</t>
  </si>
  <si>
    <t>Gas Expansion Factor, Egi</t>
  </si>
  <si>
    <t>P1</t>
  </si>
  <si>
    <t>P99</t>
  </si>
  <si>
    <t>c</t>
  </si>
  <si>
    <t>b</t>
  </si>
  <si>
    <t>Percentile</t>
  </si>
  <si>
    <t>y</t>
  </si>
  <si>
    <t>P100</t>
  </si>
  <si>
    <t>P80</t>
  </si>
  <si>
    <t>P70</t>
  </si>
  <si>
    <t>P60</t>
  </si>
  <si>
    <t>P40</t>
  </si>
  <si>
    <t>P30</t>
  </si>
  <si>
    <t>P20</t>
  </si>
  <si>
    <t>P0</t>
  </si>
  <si>
    <t>Original</t>
  </si>
  <si>
    <t>Gas In-Place</t>
  </si>
  <si>
    <t>Reserves</t>
  </si>
  <si>
    <t>[BCF]</t>
  </si>
  <si>
    <t>Mean</t>
  </si>
  <si>
    <t>*Vertical Axis is nonlinear probability scale.</t>
  </si>
  <si>
    <t>Oil</t>
  </si>
  <si>
    <t>Forecast Status</t>
  </si>
  <si>
    <t>Input [Crystal Ball]</t>
  </si>
  <si>
    <t>Forecast Variables</t>
  </si>
  <si>
    <t>***</t>
  </si>
  <si>
    <r>
      <t>[Km</t>
    </r>
    <r>
      <rPr>
        <vertAlign val="superscript"/>
        <sz val="8"/>
        <color theme="1"/>
        <rFont val="Calibri"/>
        <family val="2"/>
        <scheme val="minor"/>
      </rPr>
      <t>2</t>
    </r>
    <r>
      <rPr>
        <sz val="8"/>
        <color theme="1"/>
        <rFont val="Calibri"/>
        <family val="2"/>
        <scheme val="minor"/>
      </rPr>
      <t>]</t>
    </r>
  </si>
  <si>
    <t>Active</t>
  </si>
  <si>
    <r>
      <t>[MM m</t>
    </r>
    <r>
      <rPr>
        <vertAlign val="superscript"/>
        <sz val="8"/>
        <rFont val="Calibri"/>
        <family val="2"/>
        <scheme val="minor"/>
      </rPr>
      <t>3</t>
    </r>
    <r>
      <rPr>
        <sz val="8"/>
        <rFont val="Calibri"/>
        <family val="2"/>
        <scheme val="minor"/>
      </rPr>
      <t>]</t>
    </r>
  </si>
  <si>
    <t>Net/Gross</t>
  </si>
  <si>
    <t>Trials Output [Crystal Ball Forecast]</t>
  </si>
  <si>
    <t>From</t>
  </si>
  <si>
    <t>To</t>
  </si>
  <si>
    <t>Filter Status</t>
  </si>
  <si>
    <t>Original Gas In-Place</t>
  </si>
  <si>
    <t>Gas Reserves</t>
  </si>
  <si>
    <t>Original Oil In-Place</t>
  </si>
  <si>
    <t>[MMSTB]</t>
  </si>
  <si>
    <t>Oil Reserves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</si>
  <si>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</si>
  <si>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</si>
  <si>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</si>
  <si>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</si>
  <si>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</si>
  <si>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</si>
  <si>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</si>
  <si>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</si>
  <si>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</si>
  <si>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</si>
  <si>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</si>
  <si>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</si>
  <si>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ab931052-731f-4ec3-8d9a-21f5c863cacb</t>
  </si>
  <si>
    <t>CB_Block_7.0.0.0:1</t>
  </si>
  <si>
    <t>Decisioneering:7.0.0.0</t>
  </si>
  <si>
    <t>CB_Block_0</t>
  </si>
  <si>
    <t>adc4d60a-bc60-40bf-9996-1cff3119142d</t>
  </si>
  <si>
    <t>Oil Recovery Factor, RF</t>
  </si>
  <si>
    <t>9b6b6d25-f49b-4508-a212-a6ba9f793f11</t>
  </si>
  <si>
    <t>Max.</t>
  </si>
  <si>
    <t>Min.</t>
  </si>
  <si>
    <t>Likeliest</t>
  </si>
  <si>
    <t>Constant</t>
  </si>
  <si>
    <t>Gas Recovery Factor, RF</t>
  </si>
  <si>
    <t>Original Oil</t>
  </si>
  <si>
    <t>In-Place</t>
  </si>
  <si>
    <t>STATISTICS</t>
  </si>
  <si>
    <t>Trials</t>
  </si>
  <si>
    <t>Median</t>
  </si>
  <si>
    <t>Mode</t>
  </si>
  <si>
    <t>Variance</t>
  </si>
  <si>
    <t>Skewness</t>
  </si>
  <si>
    <t>Kurtosis</t>
  </si>
  <si>
    <t>Minimum</t>
  </si>
  <si>
    <t>Maximum</t>
  </si>
  <si>
    <t>Range width</t>
  </si>
  <si>
    <t>Base Case</t>
  </si>
  <si>
    <t>PERCENTILES RESULTS</t>
  </si>
  <si>
    <t>Crystal Ball No. Trials for simulation:</t>
  </si>
  <si>
    <t>Filter [Exclude values in the specified range]</t>
  </si>
  <si>
    <t>Volume</t>
  </si>
  <si>
    <t>Water</t>
  </si>
  <si>
    <t>Saturation</t>
  </si>
  <si>
    <t>RF</t>
  </si>
  <si>
    <t>Shrinkage</t>
  </si>
  <si>
    <r>
      <t>[Km</t>
    </r>
    <r>
      <rPr>
        <b/>
        <vertAlign val="superscript"/>
        <sz val="8"/>
        <rFont val="Calibri"/>
        <family val="2"/>
        <scheme val="minor"/>
      </rPr>
      <t>2</t>
    </r>
    <r>
      <rPr>
        <b/>
        <sz val="8"/>
        <rFont val="Calibri"/>
        <family val="2"/>
        <scheme val="minor"/>
      </rPr>
      <t>]</t>
    </r>
  </si>
  <si>
    <r>
      <t>[MM m</t>
    </r>
    <r>
      <rPr>
        <b/>
        <vertAlign val="superscript"/>
        <sz val="8"/>
        <rFont val="Calibri"/>
        <family val="2"/>
        <scheme val="minor"/>
      </rPr>
      <t>3</t>
    </r>
    <r>
      <rPr>
        <b/>
        <sz val="8"/>
        <rFont val="Calibri"/>
        <family val="2"/>
        <scheme val="minor"/>
      </rPr>
      <t>]</t>
    </r>
  </si>
  <si>
    <t>Petrophysics</t>
  </si>
  <si>
    <t>Gas Volume Factor, Bgi</t>
  </si>
  <si>
    <t>CGR</t>
  </si>
  <si>
    <t>[bbl/MMscf]</t>
  </si>
  <si>
    <t>[cf/scf]</t>
  </si>
  <si>
    <t>Gas Saturation</t>
  </si>
  <si>
    <t>m</t>
  </si>
  <si>
    <t>x</t>
  </si>
  <si>
    <t>Ln(P90)</t>
  </si>
  <si>
    <t>Ln(P10)</t>
  </si>
  <si>
    <t>f(x)</t>
  </si>
  <si>
    <t>SD</t>
  </si>
  <si>
    <t>Zp</t>
  </si>
  <si>
    <t>P2</t>
  </si>
  <si>
    <t>P3</t>
  </si>
  <si>
    <t>Factor, Egi</t>
  </si>
  <si>
    <t>Sg</t>
  </si>
  <si>
    <t>Rock</t>
  </si>
  <si>
    <t>CV</t>
  </si>
  <si>
    <t>SD Error</t>
  </si>
  <si>
    <t>[scf/cf]</t>
  </si>
  <si>
    <t>Component</t>
  </si>
  <si>
    <t>Formula</t>
  </si>
  <si>
    <t>A</t>
  </si>
  <si>
    <t>decimal</t>
  </si>
  <si>
    <t>%</t>
  </si>
  <si>
    <t>MW</t>
  </si>
  <si>
    <t>B</t>
  </si>
  <si>
    <t>CARBON DIOXIDE</t>
  </si>
  <si>
    <t>HYDROGEN SULFIDE</t>
  </si>
  <si>
    <t>NITROGEN</t>
  </si>
  <si>
    <t>METHANE</t>
  </si>
  <si>
    <t>ETHANE</t>
  </si>
  <si>
    <t>PROPANE</t>
  </si>
  <si>
    <t>N-BUTANE</t>
  </si>
  <si>
    <t>ISOBUTANE</t>
  </si>
  <si>
    <t>N-PENTANE</t>
  </si>
  <si>
    <t>ISOPENTANE</t>
  </si>
  <si>
    <t>N-HEXANE</t>
  </si>
  <si>
    <t>N-HEPTANE</t>
  </si>
  <si>
    <t>N-OCTANE</t>
  </si>
  <si>
    <t>N-NONANE</t>
  </si>
  <si>
    <t>N-DECANE</t>
  </si>
  <si>
    <t>Tc</t>
  </si>
  <si>
    <t>Pc</t>
  </si>
  <si>
    <t>w</t>
  </si>
  <si>
    <t>Composition</t>
  </si>
  <si>
    <t>ºR</t>
  </si>
  <si>
    <t>Tpc</t>
  </si>
  <si>
    <t>psi</t>
  </si>
  <si>
    <t>Pressure</t>
  </si>
  <si>
    <t>Temperature</t>
  </si>
  <si>
    <t>k</t>
  </si>
  <si>
    <t>a</t>
  </si>
  <si>
    <t>Real Roots</t>
  </si>
  <si>
    <t>Factor-z</t>
  </si>
  <si>
    <t>Bg</t>
  </si>
  <si>
    <t>bbl/scf</t>
  </si>
  <si>
    <t>cf/scf</t>
  </si>
  <si>
    <t>Density</t>
  </si>
  <si>
    <t>Viscosity</t>
  </si>
  <si>
    <t>:</t>
  </si>
  <si>
    <t>Max</t>
  </si>
  <si>
    <t>Min</t>
  </si>
  <si>
    <t>psi/ft</t>
  </si>
  <si>
    <t>Pressure @ GWC</t>
  </si>
  <si>
    <t>Pressure @ Top</t>
  </si>
  <si>
    <t>Average Pressure</t>
  </si>
  <si>
    <t>unit</t>
  </si>
  <si>
    <t>Pore pressure gradient</t>
  </si>
  <si>
    <t>scf/cf</t>
  </si>
  <si>
    <t>ºF</t>
  </si>
  <si>
    <t>Temp. @ GWC</t>
  </si>
  <si>
    <t>Temp. @ Top</t>
  </si>
  <si>
    <t>ºF/100ft</t>
  </si>
  <si>
    <t>Average Temperature</t>
  </si>
  <si>
    <t>Gas Volume</t>
  </si>
  <si>
    <t>Factor, Bgi</t>
  </si>
  <si>
    <t>QC Input vs Output</t>
  </si>
  <si>
    <t>NTG</t>
  </si>
  <si>
    <t>Bgi</t>
  </si>
  <si>
    <t>Input</t>
  </si>
  <si>
    <t>Output</t>
  </si>
  <si>
    <t>Difference</t>
  </si>
  <si>
    <t>[%]</t>
  </si>
  <si>
    <t>Egi</t>
  </si>
  <si>
    <t>Error</t>
  </si>
  <si>
    <t>Gas Expansion</t>
  </si>
  <si>
    <t>Decimal</t>
  </si>
  <si>
    <t>Gas Shrinkage (Merma)</t>
  </si>
  <si>
    <t>Gas Produced (Separator)</t>
  </si>
  <si>
    <t>Gas Fraction, fg</t>
  </si>
  <si>
    <t>Hydrocarbon</t>
  </si>
  <si>
    <t>Hydrocarbon Volume</t>
  </si>
  <si>
    <t>Gas Produced</t>
  </si>
  <si>
    <t>Separator</t>
  </si>
  <si>
    <t>Decisioneering:7.3.0.0</t>
  </si>
  <si>
    <t>Units</t>
  </si>
  <si>
    <t>Percentiles</t>
  </si>
  <si>
    <t>Resume Percentiles</t>
  </si>
  <si>
    <t>Resume Reserves</t>
  </si>
  <si>
    <t>CB_Block_7.0.0.0:2</t>
  </si>
  <si>
    <t>CB_Block_7.3.0.0:1</t>
  </si>
  <si>
    <t>dY</t>
  </si>
  <si>
    <t>dX</t>
  </si>
  <si>
    <t>f52f9d40-610d-4c85-bb20-5758f73db2bd</t>
  </si>
  <si>
    <t>Correlation Coefficient</t>
  </si>
  <si>
    <t>Gas press. gradient (reservoir)</t>
  </si>
  <si>
    <t>PowerPoint Template Location</t>
  </si>
  <si>
    <t>Folder:</t>
  </si>
  <si>
    <t>File:</t>
  </si>
  <si>
    <t>X:\01 RD TOOLS\_VISION\_PPT_Templates</t>
  </si>
  <si>
    <t>06. Template Resultados - OGIP - CB.pptx</t>
  </si>
  <si>
    <t>cp</t>
  </si>
  <si>
    <t>Eg</t>
  </si>
  <si>
    <t>ºC</t>
  </si>
  <si>
    <t>Reservoir, Top Depth</t>
  </si>
  <si>
    <t>GWC Depth</t>
  </si>
  <si>
    <t>Hydrocarbon Column</t>
  </si>
  <si>
    <t>Input Variable</t>
  </si>
  <si>
    <t>Surface Temperature</t>
  </si>
  <si>
    <t>Temperature Gradient</t>
  </si>
  <si>
    <t>ºC/100m</t>
  </si>
  <si>
    <t>Calculated Variable</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</si>
  <si>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敥戸㜳昲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搶㘱戲㠲</t>
  </si>
  <si>
    <t>㜸〱敤㕣㕢㙣ㅣ㔷ㄹ摥ㄹ敦慣㜷搶㜶散挶改㈵愵ㄴ昷摥攲㘸ㅢ愷㐹㉦㤴㤰晡㔲㈷㘹㜳㜱㘳㈷愵㉡㘵㍢摥㍤㘳㑦㌲㌳敢捥捣㍡㌱ㄴ㐸戹户㠰㔰换〳戴摣㉡㠴㉡㜸愹㔴㈴㉡㉥㐵〲〹〹㠴ち攲愱㐲㐲攲㔲ち㠲〷㄰㡡挴㑢㤱㉡㤵敦㍢㌳戳㍢扢敢ㅤ扢摢ㄶ㕣攴㐹昶捦㤹㜳㍦攷扦㥥晦㍦㤳㡣㤲挹㘴㕥挵挳㝦昹㘴㤹戸㘴㜶挵て㠴㔳㥣慣摡戶㈸〷㔶搵昵㡢攳㥥㘷慣ㅣ戲晣愰〷ㄵ㜲㈵ぢ攵扥㔶昲慤て㠸㝣㘹㔹㜸㍥㉡㘹㤹㑣㍥慦慢㈸㘷㈷晣つ挵㉦㍡㕢昵㘷〱收㈶㈷㡥捥㥦㐴慦戳㐱搵ㄳ㍢㐶㑥㠴㙤昷㡥㡤ㄵ挷㡡扢㙦ㅡ扢戱戸㜳挷挸㘴捤づ㙡㥥搸敢㡡㕡攰ㄹ昶㡥㤱㤹摡扣㙤㤵敦ㄴ㉢㜳搵㔳挲摤㉢收㜷摥㌰㙦散扥㜹㙣昷㥥㍤收㉤户摣摣㡦愱㌳㐷㈶㈷㘶㍣㘱晡㙦㔰㥦ㅡ愷扣㝢㑡㤴㉤慥㑤〸捦㜲ㄷ㡡㤳ㄳ昸㥢㤸㍦摥㙥㉡捥㉥ちㄱ㜰㘸攱〹户㉣㝣ㅤつ晢㥣㜱摦慦㌹㑢摣㍣摤㤹挶㔲换㠶ㅦ㘸捥愴戰㙤摤㠹㝢捤㍢㐷戱㜷戶戱搲敦捣ち搷户〲㙢搹ち㔶㜲捥ㅣ㍡慡っ㌸挷㝤㜱捣㜰ㄷ挴ㄱ挳ㄱ㥡戳扦㘶㔵戲攱㤳改戹㈶敥㈲㌹㌱戹晣攲戸敦㑣㉥ㅡ㥥㥣㤱捦㡤㐹愹㍢敤㤵㥢敢㕥搱戹㕦㑥㕤㡥挰㍥慦敡㕣て㈵㈷っ慦㕥㜳戴㜳捤㘸昱捤㌳戸扥㜳晤挴ㅥ㌵户戹慥㜳ㅢ戹㤵捤戵㤵扥㠸扥攵㡥㘲㌱㝡㡥愰㤷㈰㑦㐰〴敡〵㠲㍥㠲㝥〰㈵晢㉦㜰㐹戲㈱㡢搴㤲愱㤶收搵㔲㔹㉤㔵搴㤲㔰㑢愶㕡㕡㔰㑢㡢㙡挹㔲㑢㈷搵搲㈹搴㠹㥦㝣㙦慦ㅡ㍤㝦㥥㉥搸㍦扥攲摦搳㑦晦攱扣㐷扥扢攳㡦扦敢摦㠲㑡㜷㐵㤳㥡昲㡣搳㈰戵〶ㄵ敦㉡敥攴㥦戵戹〲㑣㘱敥㌱㙦㌲挷挶㉡㝢㜶ㅡ㌷ㄸㅡ㤷㤵㠲晣㈶㐲ㄹ㐲摤㝥昳㙥换慤㔴㑦㑢摣㕤㌲㘱昸愲戱㜱愳㔱搹㐴戵收㔶晣户慤㕥㌸ㅢㄸ㠱戸戸戵慣搱㐹㕢戳㔹戰㤵昰攵㜸㤷戶㌶㍢㘱搸㌵㌱㝥挶ち㡢摦摥㔲散捣㜸搵昹捥愵搳㥥㜸愰㕥摡㌶愳㜱〸戵㘵搹㜷摢㉡挳愲㜰㕥㈳㤳㡢㔵㕦戸㜲㝡愳捥㡣㔵㍥㈵扣㔹㐱㤱㈸㉡㜲愹攷戳㈸攲晡搱愳㉥ㄶち㙥慤㕣㥥捣㌵㙦㍦ㄳ㠰㤹㐵〵昳㕤ㄲ㕥戰㌲㘷捣摢攲㠲愶㉡攱㤸㈸搸摥㤴㍤㕤㉤搷晣挹慡ㅢ㜸㔵扢戹㘴扣戲㙣㐰搲㔴づ㔷㉢㈲㥢捤㐸愱〰㠱摢搳愳㈸㤹㜷㜶收〵㠹㠸〴㡡挹挸ㄷ㌵㤳㕤昱ㄸ㔶㠷㔵搸㠲㌴愹㕥戹㐶㘷㥣慦㤴㌱㈹ㅣ㤸㔸ㄳ昵〷〷扤㜶㡤㙥敢㤸㝢㜳㉢慢敡㜰戴晡摢㤷㠵ㅢㅣ㌰摣㡡㉤扣㔴敤愷㜰㐶晡㈰㠰㜶づ〲愱攳敥㔱搵㈹㘷㤴ㄵ敤戴㔵〹ㄶ㜳㡢挲㕡㔸っ㤰〷つ㤹捦㜳㙢摢ㅥ晤㍣㘴改㕢〹㠶〱ち㠵㑣㙥ㅢ㉢攵ち㜸㌲ㅡ愵㔳ち㉦㌷〹㜲戶㙢攲攵㝥㜳摡戲〳ㄱち攵㐱ㄳㄸ〹戵㥡㐴摦〰㐹搴㌳捡愱挲搸㘶㑥㠲㑡つ换つ㔶ㅡ㝣摢挶㈵㈱ㄱ㙤捡㠲つ㈷ぢ㈸ち㥡攵㐱ち慦㠱㘸㕡愴㐱㝡攵〴ㄱ㤱つ㔲㌴㍢㝡㙥㈶㌲搶㑦㤱ㄱ愸㥦㈴㐲搶摥搹㔹㐶㤰搸摢㠹㤴㡤㍡昲攳愶㌴㕢捤㤶て愵搹昹搸㌸晤〲㠲ぢ〹㉥㈲搸づ愰晣ㄵㄲ㡥㔲づ改收㐷㝦ㅢ摥昵㑢〸摥づ〰昹愴㔳收㐴愲㡡㌶搴㝡散㐸搶ㅢ㠰㥤㉣㡤攲㔰ㄴ搱㌲慥摢㤹〳㡥㐴㜴㘴㜵㙥っ㕤㥢㤵㍡昶敡捥戴㤹㕣づ㈹㌲愵㙡㜲慤㙢㔴㑤㙥〴慢㜶愹户摥㠱愶晡〸挱㘵〰愱㘲愱戱扢㍥㙢㥥收攴㕢挲㈴ちつ愱㉥㤵㝢㐴挴㌴晦㔳〴㕣摢搱㘵搳㝥愶㈹㌸㙡扥攵敤攷ㅤ㥤㜹㍢㐲㝡㡢捥摣搴㌹昴ㄵ扤㐶ぢ晡㜲戰㤷昲晢㡥晡攵㑡ㄴ敢㔷ㄱ㕣つ搰愲㕦㜸昲㝥慤㕥〲㘹ㄲ㍢〹捣㙤愵挷㐵㕡戸㜳㉢㑢㐲㙡㥦㝥㜳捥昰ㄶ㐴〰敦挵挱㈹搸挱㔵捦ㄳ㌶づ戴ㄵ㤹挱戳换㠵捤㤹晥戴㔷㜵㤸扦㘹ㅦ晢㙦〹挵㤰捤慡㍤㤹ㄶ晢㌸挵捥㑣昸㥢ㄲ㤴㐳晤㝢㐳㘷㈱㤱㘸搴㑣㕥㙣㤷㝥戶摣㤴㈴㕤㐸㤲㙢戱慤晡㜵〰㤰ㄲ捡㙦㍡㑡㤴㔱㔶摢㈱慢㌵㕢慢昴敥愵㥣㑣㕡晣㠷㙤㜲愴㉦㜴搶㑥挰㜷攰て㌸戳㤶㔳ㄷㄶ㝤捥㡣昰捡昰㉢㔸戶㈸㠴㉥㔹㡡㥡㑤㔹昱ㄶ㤱ㄵ㍤㍤㙤㘷改ㄴ摦㥡愴㤳ㄶ㈹㤱捡敤愹㠵㈹攷昰〶㔱搱〵㐹愱㤲攲ㄶ慡㑢㈰㔲ㅥ敢㙥㡡㤸㉥㐴㑣ㄱㅢ愷㕦㑦戰㤳㘰っ㐰晢ㄵ㈴捤㝡㌷㥥愱戰摥㘵扡戳㑢愵㑣㥥㘸㤰敥挱㕦㜶ㄴ㔶扢㌹捣ㅥ㠲ㅢ〱㕡捣ㅦ㍡ㅦ㔳〸㔱愲㍣㐱㠸戴㤶㜴昳㠴㈵㑥㤳〶戶㤸〸㉡㑤搶晣愰敡㌰慡㌴㘰㑥㔵㡦㔴㠳㈹换㕦㐲ㄴ㙡搸㡣ㄲ㜷㉦ちㄷ搴攵挱昶㘹挹慢㉥㉤㠹㡡㙥捥㔶㙢㄰㙤〷愷㌶挲愱ㅣ敢㠳㉤㈹捦攵慡㠲愷扢戳㌱扡㔰攴㠹ㄸ扥㔶㝡㘲搷攵昹收愱㙦戰戱愳㜳㔶㘰㡢㍥㌳㘴㍡愶昳㈶㜶ㄱ㔱㠳㑡慦㌹户攸〹㌱㌵㘰敥昷慣㡡㙤戹㠲挸㠰㡤挹㐰摤㈱戱㠰〸挱㑣㤵昱扦慡㍢㘰捥㜹㠶敢㉦ㄹっ㈶慥㙣㙤㝡㤳㈱ㄱ捤㥣戰㕣ㅦ挳㐸㉣㌲㍤㘸捥㉥㔶㑦㈳㕡㕢㜳摣晤挶㤲扦㈱戰㐲愲てㅦ㠹ㅡ㐵㔵㔴㔵挹慢昹㙥昱挳〳㜹㈶戳ぢ扦㉣㠱挴㔵㐶愳扦㍣㐵㝢搳慥㡦攲㌳戴搳㌹愷㝥㐴㡥敡㤹㍤愹㔲㤸㥣慡摦捣㌶户〰摣戱晦昸挱㐶㔴敥㜵挵慢㌵㝡昸㔳㘴扣㈴㡢㝡㄰㠴晥戹㉤㈱愹㌰㡦㤴〳づ〴挶昹搶㑡㝥〵㔳搶㈱昵㙤㘹㈴愷ㄱ㐵敡㌷てㄹ昳挲㐶㉣摡㌱㠲㉤攱ぢ捤㔸挷戰晤愸㙣戲敡㌸〶㐹㡢㘴㌹㕢㌶㐸挱攳戵愰㝡搸㜲㜵ㄳ㐰搲㕦㤴㘵㥣㐱㤶㜱㐶㘶昵㥢挷ㄸㄶ㤴㘹昶㔵㕤㌰㍣㉢㔸㜴慣㜲㥥㉦っ摤㙤〸㥡〴㤳㔳昲挶㑦㉣㌳㐶㕡慣昹攳㌰搹晣㈲搰㕤㠴ㅣ攵搶ㄱ晤愰㕣㔵挹攱㡦搲愵㘳〹〲㐶㝡㐹昵㕢搱㥢㈶㙦㐶㐰攴挸攷㕣㝣晦攲摣㐷㤰ㄳ晡攵㠸昵ㄴㄲ㠱㐷㌰㈱攴改摥捥㤹挷㕤㉢〰昶㠸戱㘹㉢㤸昲㠱㜲〰㈴攵昱昶㘲㠹搵㐴愳搱扡㔶㜸㐷㝢㔱㤳㥡戸戴扤㍣愹㌷慥㕣愵㌸搴㈸〹㐵戲㔶㈵愹㔹㔶㤹攳㐶㔲㌵㡡㔴摣戱戶㔱搲摣愶㡤㝤愷ㄴ㜹ㅤ㡡㐹搲㑣㐶摦㉢〹〵㐱㕥㔲〷㜴ㄴ晤昵改攴㤱㠸搶搰〶㈸㔰㑦㠵㜹〳㔱㌸昰㈰慥㥣㔴㐴㈱㝡〳㝦㙦㠹㤲㐷㙢㐱㔳㠹㜱㘶㌸㉡ㄹ户敤愳㉥慣㠴戲攱㔵㌶〸㑢㘳㙤愱㠶㤱摣搹慤昶て户㌷挱㠸ㄱㅢ㌲㈴㤲攲〷〶ㅢ㠲戹ㄲ搱㔴㕡㘷〳摣敡㝡㜶㥥㙦㠷㠵攱㑡っ捣〶㤵㈹戱㉣捤戰㠶㈵㍦㉣ㅢ搴㑦㡢㔲㡥敡收昸扣て㤵ㅥ㔰㡥㐷㈹挹攰扡㜹㡣㙥㈹㕣㘰㠰搸㡤㔲㌳攵〰㘱摤㝡〷㍣ㄹ㙣ㅣ散㘰㐷挲戰〹慤㌳㑡搰㕣ち攱㌶㉦㠲扣搳㈵㐶㈱㐸㑤昹晣㜳㥦昲挴攳㝣扥扤㉦ㄳ㈷㈲㈶㘲愸㉢挵㝡〰㜲㤳㔱㐹㜲搱㜰ㅣ㉣て㈵㥢ㄴ㕡晤㜱ㅥ㑤㡣〱㥡㝣㕥㠰ㅢ㍣㡣㘳つ㤲㙤㙣摣㜱ぢ㉣㘸㔳㝢㘵㡢㜹搰㉤摢戵㡡㤰慡㌸㤶搵㔲㈳㙦〸㝣挹敢㝦㈱㌷愵散㑢戴㈹〷㜱㤴攲㤲㠹愴敥敤㙥晤㍤㘸㉥㠵ㅣ晡〸㘵ㅢ㠳㡦㈹㙥㌹ㄹっ㙢扢愳㐰晢㜰㙢攳昲㠲扣㌸〷㤱搶㤶㐵㔹㜶〸㜷昱敡ㄱ㘴挹㙤㠹㙡㠷慡㠷慡戴搹ㄳ㔹〷慣㌰㙢㐳攰〸敢っ〵㕥㉥〷㘳愴㑢敥㘰㈷㤹㜳㔱㘴昷摣㐷攴㙢收摣扥挸昸㔰ㄸ摦攵㈹㈸㠳㕤〵㈳搱攰㔶ㅢ㔶户挲挸㉦㉤㙦晤㌶〰㠵㈱㘰ㅡ戴愸ㄹㅡ㌸ㄳ㐸慦㙤攰㌰ㄸ㤹ㄲㅤ㑤〶㔲ㄹ愳ㅣ㠶挳ㅥ㐸〳㌷昱㈰㍤㔷㠵ㄲち戶挹㑢㘱昱扤挴㔱〷㐷愰慡㜷㐱㑢收㡣ㄱ攰敡㡢扢扤㈵㝢扣㔲愱戹ぢ晦摣㠶挰㉡慥㙤㠴收攸戶㤶ぢ㔹㜲㑤戴敦慥㘸㈹㠸㉥ち敥㥡㉡ㅥ㌰㠲昲攲㙣戰ㄲ㕥摡敡㤶㈴戴ㅦ挱ㅦ戱敡攸戴㤹戳㉥㉦愱㉥㜳敦ぢ愷摣敡㘹㔷捥㑢昳㜹攳㡦㔶慣摥摢换㐹ㄶ㌲慦攲㡦㝣搴㡣昶ㅣ㝡㕣捦戴搹㐱挳㐱挲㝥攴ㄳ㑡㠳ㄱ愴㔳攸〴戶㝢晤挶〰改㘴㕢ぢ㥤㐸㐱戰㐹㈸敥挲ㅢ㐶㈸捡て㠱㔶ㄲ㑢㜸㈴挷㥥㍦〵搶㔷㝥㠰ㅣ㈲ㅣ敦㤱ㄸ搱㉥㐳㉡〵㜵㔲㤰㐷搷㍢㜸ㄹ攴晦〷㑢㌱㌷慦捡㑥晦〵㘶㔶扥摦㡡愲㑢㠹愲敦戵愳㠸㠱搸搷ㄴ昲收散㌷㡦㥡㙦晡戵摥晦攱㔱昳づ㘰㤸㡦戴挶㄰㔴㘳㌰扥㙥っ昴戴ㄹ〳㔷愱㔸ㅡ〳㜷戲つ攳昵愱㌱㄰㜹㍢づ㈳㘳㙤㘳㠰㔱扣ㄴ㤳㉦ㄱ㔴㑤㌸㌰㜸搶扡挰愱㈷散〰慥搷ちㅦ㤱㝢愸㈷㝦ㄲ扥愷ぢ摢戳㘷っ捦㜰戶换晣晤㥥㠰摡昲收㜰㕦㕢㌶㘱㡢㡢㔷㉤㤱㡤㔶昱㑡挴晥昴㑤捦挹晡㙥愹〳㔳攱ㄳ㍡敡㤵扣㤲㝢ㅤ㍥ㄱ㠵㈷㠴捣〷户㍤扤晦㑦ㅦ昸昸㍥摥㑢㡢㘸㔵㘳㈰戸㥢攰㍣㉤〷㠴㙦ㄳ㔷㐲捥攷攷㌷㠷昱㈱㤲戵㘴㡢〹挳㤳昶㡥慦㍢㜱㌲㈴扣〴㘱㠶挴户ㄱ㡣㐹摣㜰〸㡤挹㘲㡢㘳㔳㝥扥㈴㥤㠱挵挴挴愵昷㉥づ㄰㉡ㅤ㔵㔶㤷㜶愵昶ㅤ㈸㥤搷㌸㤱㘶㝢㤰攷㑢㍥㡡昲㑣慢㔶摢㐳慤㈶捤㐴㘵ㄴ㌵㘲㈹㠵㐸〳㈹㈴㜹㘴㘱攸㕦㑡愹ㄹ㈴戴㈲㐰㑡っ慤㌵㤸换㤳晦愶㄰㄰昵敢㝤㕤㝥慡㠲㕤〴ㄶ㘳慦㝢户㘷㔷㕡㥤戱㙡㘲㔰㔶㥥㍥敥㐲㐲ㅥ㔳㤸挱㈸慤捣㍤㠶㐴晣㘸㘳㐸慤摢昱挴㐱〶㥣㌰挴ㄶ㌲戶收搰慢㔶㜰㙥㜷㙢戸攳〱㍤㤳㤳ち挳摤捡㙣ㅣ㍤㘵㌴㉥慣㕡〸戳〸〷挳㘴扤㔱㕦㔴〴㥤攵㙥挷昹ㄳ㘱㍥㝥て挴昲搱㐶搷攷户㤶㔰挷戹扤㔸㈰㝦戰扦㉥㑤㘱㙣㡣㑡㡥㠱㠴㕤㔷慤㝣㜸〹㝣ㄶ㑤愴㍤慦攸㡤㈴挷㔲ㄴ㐶愳㘳捥敡㔱摢昴㍦攳搴㤲戳收㔸㥢〱敢㈶晤㝦〲ㄹ㙢敡㝦㠵㔱㌶㠹戲扢愳〴㕦㌴㐶㑡搶っ捥㜰㐷攰挳㐶㤸㐶ㅥ㠱㜵㤹㘴㜰㍢㑣捤攲ㄳ搵戰㔸㑡㜰㜸戸戲慤㤷㈰敡㙤㘹摢昶㜵ㄴ㠰㡣〲㘹摦㠲〸敡搸㥥㤳㙥㍦挷收敥㐱昶戶挳㔶搹慢晡㔵㌳ㄸ㤹㐵㜸㜷㠴㕦㤸㤹戰㜹挶㤵愷㕡㠵摡ㄵ搸㠹晥㝢搱收挸㔱〸散㈳㈲㜸愳愲㡥㡣㈱慣㉦㘶挱慦㡤㠶ㄲ㠱㈴㙡〷晦㍣昳慥㥡㘱攳〳搵愳昰㙡〶捣摡㄰捡㉥昴㉤户摥挵攰搶攱㌶搶㥤昰晣〸扢㠸㌰㤸㕣挲扤昷㜱㕦㕢昷愰戹㙥戴㌶㥦㌵扢昳慥ㄵ戴㙦〲愷敢ㅢ愵㤹㘴㌸㈶扦㍢㉥攸昷ㄱ㈲捥㐳敦攸晡㕤戱散㙤ㄸ㜴ㅥ㝤戶㑤㤷搷愸つ㐷搹㍡攲摣敦㐷㔳攵㌶〲晣昴㔲㤴攰㡢㐲㝦摥慤㑣㍣㠹㘵㤱〱㤰捥攴っ㠰捥㔴晤戵搵愸㕡攱搱㠲㔴㔸㔰扥㡡㜲敥㔲戸摡ち昳㜰搴㤰㐷〸愴㜵〱㄰㍦ち㡦㄰㜲晣㈷搰愰㍥晥〲㜲㍢㡦晦愵㔵挷愷昲㤷敢㑢昶㍦ㄴ㉢て晤㈴㡡昵㔳〴㌶㠱〳㌰ㄴ敢㤰㐱㡡㐵捡㥡㕣ㄸ㐴昸晥㍥愴昱晣㍡晡昷挵㝤扦㝣㥥捦㍦昶㈹㔲㄰愲愸㜹ㄵㄴ㠴㜲ㄵ㡦㈶㔷戱㠴摣捥慢昸晣㙡慢ㄸ愲㡣攴㑣㜴て㘰愰㐷㈱慤挸㔵昹㐸㜰㐳昹㔳㈴㐲㤱㘸㥡挵㄰ㄱ㉢摢搶㤰㐰㕢敥扣㙣扢㡣㐴摣㜶㈸摥ㅥ㡤㍢㤲昲㉤㡦㌴㤴㜸昷㤱敥㥢㕣攸㝦捤㠵敡㌱敦㐴㡥搷つ㈱㈴戰㌶㝥ㅣ摢㔱戶攷扡っ敡㉢て挷ㄸ㍡㜰㈰晥㔰㑡㡤挲㑣愰㤰搰㌴㈵㐵㜱㈳㤵㑦挷㤵㥦㜹戶攱㈵㐵〱ㅥ㤰㔱㔸㤹㤴㈷㉢㝦㉡慥扣ぢㅦ㘱挹㍡ㄹ㕥ㅡ攰昳㘲㕣㤹ㄴ㉡㉢㝦㌲慥晣昷㕤摢敢㤵㘳㠲っ㝢搶㐸㉤㈹㐶慦㍣〶㈴㍥挸收改㕡㌳愹㐸晢捣㌰㥢㈲㔴㐶㡢㙤愹㑡晢㜱晦挳挳㈷搱㠷㜰㥤〹户㍥㈰㙤挳晦ㄹ攱㈰慥㌹㑤ㄹ㠱㠱㉦㥥㤷ㄱ㕦昶㜴昹挶挶㌹昳愸㠷㡣㕥昳愰㡦挳㔵㘵㐳㤱〸散㠲㙣戸扦㙢昸攱㔳㙣挸挶㝥挴㜱㌱㤵搷㐶扡搳㈲㌲㤶㤲㔵㍥ㅥ㘳㌶㜳戶㐱㌳晡㠷㠰ㅣ挸㑢㐰㈶昴て〳㠶戱㤷㙤捣ㄸ愲㈰㤰㕣㝥ㄶ〹晤㈱㠲㡦〲ㄴㄴ㜲㍤改㈰昷㌱㠰挱昸晦愵ㄸ㔹㤶㡥ㄳ㔵㜹㌰ㅥ㉣㐹㐶晡㈷搸攰㤳〰㍤昰搸㉡ㄱㄱㄶ昴㑦㈱㈷㌹㈸㈵㠸ㅣ昴㘱ㄶ㍣㐲昰ㄹ㠰㠲挶挹慥㝢搷戸愶㉥㔵搸㘷搱㔴攱㔶㐸㠱昶戹㈸挱ㄷ敤㉣挰慤㥤㡤㘶㥥㠹攳敦昸ㄱ摤㙣晡㘰晦㜶㝣㠰扦挲㐵昷攰晦ㅦ搱愴㠵㥦㔵摦搵㕤㕦㘴〲㡤昳攱捦挳㘶扦㡥㝥戸慥㠶戱挹ㅥ摦㡤㕦㕥捤㈹て攱摦戳昸㈹て㘰〴㡥㐲㤵㥢㠷扦㠵㌴㈰ぢ㤶愲〲敡㉥晤㔱〰㠵㌸㈶㥥昴挷昸㐶搴戲㝦晤ぢ㔱㠲㉦ち昱㝡㤶〹㍢㙡ㅥて㐸㕣换㠲㔳㉤〳ㄲ晦戲攰㘴㜲挰㉦㈲㔷㤱挸㐲愲㔹㍤ㄱ㘹㔹收㍥づ㌰搰㌳挸戹㔱摤愹㘷㤴昲晤㤵晢敦㝦㜹㌰㍢㜲㜱昶扤户昵㍦晥攲㉦㕥㝡散㠵昷敤晤摢㉢㕦昹捡ぢ㝦㜹散昹㔷㥥㥢摦晢戳㙦㝣攳愷㜷㝣晤昹㤷戶㥡㑦慡捦扥㝣攸挹〷挷㑥㍤昸㠰㜹晣㥤晢ㅦ扣攷攴㕤㘳㌳攷㡤昶昴昴昶㕥㌳晣昳㡢慥ㅤ㍡晢挰昷㤴㥦晣昶㐲㔷㤱换攵㠰〲㈰㝥㠶戸㙣㌹㡤㉦㈳㠱㘹㜰挶㙦敡㌴戸摣戳昸㈹㤵㘸愳㈶昰㤲㠷㜳㠳ㄳ㤰〵攵收㠲扥晦〰㍦㕡戳挶</t>
  </si>
  <si>
    <t>Pseudo-Crital Properties from Gas Composition</t>
  </si>
  <si>
    <t>Pseudo Properties</t>
  </si>
  <si>
    <t>Adjustment for Nonhydrocarbon</t>
  </si>
  <si>
    <t>Wichert &amp; Aziz Correlation</t>
  </si>
  <si>
    <r>
      <t>CO</t>
    </r>
    <r>
      <rPr>
        <vertAlign val="subscript"/>
        <sz val="9"/>
        <color rgb="FF0000FF"/>
        <rFont val="Calibri"/>
        <family val="2"/>
      </rPr>
      <t>2</t>
    </r>
  </si>
  <si>
    <t>Carbon Dioxide</t>
  </si>
  <si>
    <r>
      <t>H</t>
    </r>
    <r>
      <rPr>
        <vertAlign val="subscript"/>
        <sz val="9"/>
        <color rgb="FF0000FF"/>
        <rFont val="Calibri"/>
        <family val="2"/>
      </rPr>
      <t>2</t>
    </r>
    <r>
      <rPr>
        <sz val="9"/>
        <color rgb="FF0000FF"/>
        <rFont val="Calibri"/>
        <family val="2"/>
      </rPr>
      <t>S</t>
    </r>
  </si>
  <si>
    <t>Hydrogen Sulfide</t>
  </si>
  <si>
    <r>
      <t>N</t>
    </r>
    <r>
      <rPr>
        <vertAlign val="subscript"/>
        <sz val="9"/>
        <color rgb="FF0000FF"/>
        <rFont val="Calibri"/>
        <family val="2"/>
      </rPr>
      <t>2</t>
    </r>
  </si>
  <si>
    <r>
      <t>CH</t>
    </r>
    <r>
      <rPr>
        <vertAlign val="subscript"/>
        <sz val="9"/>
        <color theme="1"/>
        <rFont val="Calibri"/>
        <family val="2"/>
      </rPr>
      <t>4</t>
    </r>
  </si>
  <si>
    <r>
      <t>C</t>
    </r>
    <r>
      <rPr>
        <vertAlign val="subscript"/>
        <sz val="9"/>
        <color theme="1"/>
        <rFont val="Calibri"/>
        <family val="2"/>
      </rPr>
      <t>2</t>
    </r>
    <r>
      <rPr>
        <sz val="9"/>
        <color theme="1"/>
        <rFont val="Calibri"/>
        <family val="2"/>
      </rPr>
      <t>H</t>
    </r>
    <r>
      <rPr>
        <vertAlign val="subscript"/>
        <sz val="9"/>
        <color theme="1"/>
        <rFont val="Calibri"/>
        <family val="2"/>
      </rPr>
      <t>6</t>
    </r>
  </si>
  <si>
    <r>
      <t>C</t>
    </r>
    <r>
      <rPr>
        <vertAlign val="subscript"/>
        <sz val="9"/>
        <color theme="1"/>
        <rFont val="Calibri"/>
        <family val="2"/>
      </rPr>
      <t>3</t>
    </r>
    <r>
      <rPr>
        <sz val="9"/>
        <color theme="1"/>
        <rFont val="Calibri"/>
        <family val="2"/>
      </rPr>
      <t>H</t>
    </r>
    <r>
      <rPr>
        <vertAlign val="subscript"/>
        <sz val="9"/>
        <color theme="1"/>
        <rFont val="Calibri"/>
        <family val="2"/>
      </rPr>
      <t>8</t>
    </r>
  </si>
  <si>
    <r>
      <t>C</t>
    </r>
    <r>
      <rPr>
        <vertAlign val="subscript"/>
        <sz val="9"/>
        <color theme="1"/>
        <rFont val="Calibri"/>
        <family val="2"/>
      </rPr>
      <t>4</t>
    </r>
    <r>
      <rPr>
        <sz val="9"/>
        <color theme="1"/>
        <rFont val="Calibri"/>
        <family val="2"/>
      </rPr>
      <t>H</t>
    </r>
    <r>
      <rPr>
        <vertAlign val="subscript"/>
        <sz val="9"/>
        <color theme="1"/>
        <rFont val="Calibri"/>
        <family val="2"/>
      </rPr>
      <t>10</t>
    </r>
  </si>
  <si>
    <r>
      <t>C</t>
    </r>
    <r>
      <rPr>
        <vertAlign val="subscript"/>
        <sz val="9"/>
        <color theme="1"/>
        <rFont val="Calibri"/>
        <family val="2"/>
      </rPr>
      <t>5</t>
    </r>
    <r>
      <rPr>
        <sz val="9"/>
        <color theme="1"/>
        <rFont val="Calibri"/>
        <family val="2"/>
      </rPr>
      <t>H</t>
    </r>
    <r>
      <rPr>
        <vertAlign val="subscript"/>
        <sz val="9"/>
        <color theme="1"/>
        <rFont val="Calibri"/>
        <family val="2"/>
      </rPr>
      <t>12</t>
    </r>
  </si>
  <si>
    <r>
      <t>C</t>
    </r>
    <r>
      <rPr>
        <vertAlign val="subscript"/>
        <sz val="9"/>
        <color theme="1"/>
        <rFont val="Calibri"/>
        <family val="2"/>
      </rPr>
      <t>6</t>
    </r>
    <r>
      <rPr>
        <sz val="9"/>
        <color theme="1"/>
        <rFont val="Calibri"/>
        <family val="2"/>
      </rPr>
      <t>H</t>
    </r>
    <r>
      <rPr>
        <vertAlign val="subscript"/>
        <sz val="9"/>
        <color theme="1"/>
        <rFont val="Calibri"/>
        <family val="2"/>
      </rPr>
      <t>14</t>
    </r>
  </si>
  <si>
    <r>
      <t>C</t>
    </r>
    <r>
      <rPr>
        <vertAlign val="subscript"/>
        <sz val="9"/>
        <color theme="1"/>
        <rFont val="Calibri"/>
        <family val="2"/>
      </rPr>
      <t>7</t>
    </r>
    <r>
      <rPr>
        <sz val="9"/>
        <color theme="1"/>
        <rFont val="Calibri"/>
        <family val="2"/>
      </rPr>
      <t>H</t>
    </r>
    <r>
      <rPr>
        <vertAlign val="subscript"/>
        <sz val="9"/>
        <color theme="1"/>
        <rFont val="Calibri"/>
        <family val="2"/>
      </rPr>
      <t>16</t>
    </r>
  </si>
  <si>
    <r>
      <t>C</t>
    </r>
    <r>
      <rPr>
        <vertAlign val="subscript"/>
        <sz val="9"/>
        <color theme="1"/>
        <rFont val="Calibri"/>
        <family val="2"/>
      </rPr>
      <t>8</t>
    </r>
    <r>
      <rPr>
        <sz val="9"/>
        <color theme="1"/>
        <rFont val="Calibri"/>
        <family val="2"/>
      </rPr>
      <t>H</t>
    </r>
    <r>
      <rPr>
        <vertAlign val="subscript"/>
        <sz val="9"/>
        <color theme="1"/>
        <rFont val="Calibri"/>
        <family val="2"/>
      </rPr>
      <t>18</t>
    </r>
  </si>
  <si>
    <r>
      <t>C</t>
    </r>
    <r>
      <rPr>
        <vertAlign val="subscript"/>
        <sz val="9"/>
        <color theme="1"/>
        <rFont val="Calibri"/>
        <family val="2"/>
      </rPr>
      <t>9</t>
    </r>
    <r>
      <rPr>
        <sz val="9"/>
        <color theme="1"/>
        <rFont val="Calibri"/>
        <family val="2"/>
      </rPr>
      <t>H</t>
    </r>
    <r>
      <rPr>
        <vertAlign val="subscript"/>
        <sz val="9"/>
        <color theme="1"/>
        <rFont val="Calibri"/>
        <family val="2"/>
      </rPr>
      <t>20</t>
    </r>
  </si>
  <si>
    <r>
      <t>C</t>
    </r>
    <r>
      <rPr>
        <vertAlign val="subscript"/>
        <sz val="9"/>
        <color theme="1"/>
        <rFont val="Calibri"/>
        <family val="2"/>
      </rPr>
      <t>10</t>
    </r>
    <r>
      <rPr>
        <sz val="9"/>
        <color theme="1"/>
        <rFont val="Calibri"/>
        <family val="2"/>
      </rPr>
      <t>H</t>
    </r>
    <r>
      <rPr>
        <vertAlign val="subscript"/>
        <sz val="9"/>
        <color theme="1"/>
        <rFont val="Calibri"/>
        <family val="2"/>
      </rPr>
      <t>22</t>
    </r>
  </si>
  <si>
    <t>Pressure Min</t>
  </si>
  <si>
    <t>Pressure Max</t>
  </si>
  <si>
    <t>Press Increment</t>
  </si>
  <si>
    <t>EOS - Peng-Robinson (1976)</t>
  </si>
  <si>
    <t>Cubic Equation Coefficients</t>
  </si>
  <si>
    <t>s</t>
  </si>
  <si>
    <t>Z</t>
  </si>
  <si>
    <t>lbm/ft3</t>
  </si>
  <si>
    <t>to</t>
  </si>
  <si>
    <t>No. of Steps</t>
  </si>
  <si>
    <t>Z Factor</t>
  </si>
  <si>
    <t>lbm/cf</t>
  </si>
  <si>
    <t xml:space="preserve">Temp.: </t>
  </si>
  <si>
    <t xml:space="preserve">Tpr: </t>
  </si>
  <si>
    <t>Ppr</t>
  </si>
  <si>
    <t>Tpr</t>
  </si>
  <si>
    <t>percent</t>
  </si>
  <si>
    <t>bbl/MMscf</t>
  </si>
  <si>
    <t>Rock Vol</t>
  </si>
  <si>
    <t>Nonlinear probability scale charts and Distributions (QC Check)</t>
  </si>
  <si>
    <t>Z Table</t>
  </si>
  <si>
    <r>
      <t>MM m</t>
    </r>
    <r>
      <rPr>
        <vertAlign val="superscript"/>
        <sz val="8"/>
        <color theme="0" tint="-0.499984740745262"/>
        <rFont val="Calibri"/>
        <family val="2"/>
        <scheme val="minor"/>
      </rPr>
      <t>3</t>
    </r>
  </si>
  <si>
    <t>PHI</t>
  </si>
  <si>
    <t>Normal Distribution</t>
  </si>
  <si>
    <t>Log Normal Distribution</t>
  </si>
  <si>
    <t>Mean, m</t>
  </si>
  <si>
    <t>|Current Results|Sensitivity Charts|08. OGIP_FieldDev_EcoVal (20_Marzo_2023).xlsm|Sensitivity Chart 1</t>
  </si>
  <si>
    <t>|Current Results|Sensitivity Charts|08. OGIP_FieldDev_EcoVal (20_Marzo_2023).xlsm|Sensitivity Chart 2</t>
  </si>
  <si>
    <t>|Current Results|Sensitivity Charts|08. OGIP_FieldDev_EcoVal (20_Marzo_2023).xlsm|Sensitivity Chart 3</t>
  </si>
  <si>
    <t>|Current Results|Sensitivity Charts|08. OGIP_FieldDev_EcoVal (20_Marzo_2023).xlsm|Sensitivity Chart 4</t>
  </si>
  <si>
    <t>CDF</t>
  </si>
  <si>
    <t>RF (Gas)</t>
  </si>
  <si>
    <t>RF (Oil)</t>
  </si>
  <si>
    <t>SD, s</t>
  </si>
  <si>
    <t>㜸〱捤㝣ぢ㤸ㅣ㔵㤹㜶㥦㤹改㥡㌹㍤㌳改㈶〹㐸㐴㜱挰㄰〲〹㤳扥㕦㜰㘳收㤶っㄳ㜲㈳ㄳㄲ攴攲愴扡扢㉡搳㐹㕦㘲㜷㑦㉥慣㜲ㄱ〵〱㔹昰戲慢〸㙣〰ㅦ㔱㔶晤昷〱ㄶ㔴扣㉣㉡晣晥慥攲㍥㡢晡慢ぢ扡㐴搰㕦㔸㕤戳㡢愸㈰敡晦扥愷慡㝡慡扢㙢㈶〹敢㍥㡦㤵昴㔷攷㝣攷晤捥㌹昵㥥㔳愷捥㜷敡搴昸㠴捦攷晢㈳づ㥥㜹㜴㌱昰扡挹㠳戵扡㔱ㅡㅣ慤ㄴ㡢㐶慥㕥愸㤴㙢㠳挳搵慡㝥㜰㐳愱㔶敦〴㐰㥢㉡㈰扤收㥦慡ㄵ㉥㌷㝡愶昶ㄹ搵ㅡ㐰㝥㥦慦愷㐷㜶㈰㍤㘰晦㐲㑥㐴搲㑡㜶㔱〰攵㤳ㅡ㐵㌷㐵て㠵愴愰㤱散愵攸㠳攸敢㠷搸㌶㍡戲㌹扢ㅢ㔵㤸慣㔷慡挶捡㠱敤㔶㐱慢㈳㤱挱挸㘰㍣ㄵ㐹づ㠶㔷づ㡣捥ㄴ敢㌳㔵㘳㜵搹㤸愹㔷昵攲捡㠱㉤㌳搹㘲㈱㜷扥㜱㜰㕢㘵㡦㔱㕥㙤㘴挳戱慣ㅥ㑦㐷攲㠹㠴㤹挹愴晢ㄶ㈰攷㑤愳㈳㕢慡㠶㔹晢㔳攵ㄹ㘴㥥㥢㐷㐷〶㌷ㄹ昵㍦㔵㥥㈱攴㠹㉣挷㉡㈵扤㔰晥ㄳ㘵敡㘷㐳㈴挶㡣㕣㠱㉤㘶ㄸ搵㐲㜹搷㈰慡摤㐴㌴㘲愹挱攱㕡㙤愶戴㤷㡤㍦㙡ㄴ㡢㕢つ㔳戵㔴㘹慣㔶摦愲㔷㑢戵扥ㄲ昹㌳慡㐶㌹㘷搴ㄶ㤴搶ㅥ挸ㄹ㐵ㅢ㔸敢㈹㙤搷慢㥢昴㤲搱挵㐰戰㘴戵攱㐴摥㈸搷ぢ昵㠳晤愵ぢ㙢挶㔶扤扣换㈰挴㕦ㅡ㥦㈹攴㐵㔷ㄷ晥晢㍡捦昴慡㤹㙡㈸搴愷㌴㍡慤㔷敢㉡挶㈶㡣㜸㘱㕤摤㐵㕤㐵㔳扤搸愵〶㕡慣搸㘶㤳㠵搲昹㐶戵㙣ㄴ㔹〸㕢㜲㐵ぢ㐸ㄱ㘴戵㐳㠳㈹攷㜲搸㑡愲搷扥㘳㜸㉤㉣㐵㍢〱攲慣ぢ换〵戳㔲㉤慤摣㔰ㄹ㥤愹慦づ慦㍣慦挰㜳㘴攵挶㐲㜹㜵㜸㌰㤳㕡戹㔱㍦挰㐰㕡㉥〴㕣㉥愲攱㘲㠸晥㜱扤㌶㌰㌹㡤戶搹愳敦㌲攴㠹㑣㍣〹㐲㜴㍤㠷㕢搵㕤ㄶ㙦㤷㡥㈹扤㘳㉡摢㌱㤵敢㤸捡㜷㑣ㄹㅤ㔳㘶挷搴慥㡥愹改㡥愹㐲挷搴敥㡥愹㍤挰㌸㐷㑦㜷㜷㠷㝤晣㜸㜴昹戲慢㑦㕤㌲昶捥攸㤷㐷ㅦ晣㔲攷㍥挱扢㔳摤摣㈷㈳㜰㤴扡挷ㄳ㜶摤ㄳ〹戹〴㜰昹㕡〸敤ㄴ㠸㐵㥢ぢ挵㠱慤㐶慥㠲㐱攱攰挰㍡㍤㠷㍢㔷扥㡥㤰搷㐳〸昱㘳㕣〱慦攲愵愵ㄷ〴㌶㍦昰散搰挷晣ㅦ昹攴攷慢て晦㑡㜰㕣㔰挵扦〱㠱戳㌷㔴㜶㙤〲㜵戸㥤挱摢敡㐸㌸扣㌲ㄲ㍥〳昷晤捡っ㑥改㌰㈸捤改散㥢慢挳㜲〰㜸㜹ㅡ㠴㜶㍡挴挹戸〱〷敡㤵㠱昱㙡愵㔶ㅢ搸㑡搰挰㈵㥢㔶㡤㕦㈶摦㐸摣㔲〸㈱㥥戴㉢㌱昱昸〷㤶㘶敦扤㘲昳愷㡡㕢ㄶ㡡㐳搱㕦〸㡥㑢慡ㄲ换㄰㌸戳戹ㄲ〹慢づ㜱慢ち敥ㅡ㥣挹㥣㤷㐳㘸㘷㐱昴㙣愹愰㙣㜴㜴㜹㌶昵㉢㈰㠴昸㡥㕤攲㥥晢㔷㔷慦ㄹ㝦㘸摤㐳ㅦ扥昲戳晡㐹捦㜴ぢづ㠲慡挴㜳㄰ㄸ摥㔶㉤攰挶㤸㈹敡㔵扢搳㐴㔱慡摤㙤挲愹㘸㑣㜵ㅤ敡㌶ㄴ昶ㄸ挵㠲㔱慢慦㡥愵ㄳ㔱搵ㄸㄱ〲攴㈰换㕣〵愱㠵㈱㝡户㔶㜲㝢〶戶㔷㡡㌳㈵㐳㐶㤸ㄴ㠵㄰攲㜱扢㍡㤹ㅤ㍢昴㌵㍦晡昵昸戵扦㍤晤戶て摤㤷晤㤱攰㑤慥慡ㄳ㐷㘰㘲㡥づㅣ挶愱㙡ㄲ㡢㠴㌱っ挷㤳㤱㘴㈶㤲挰㜸㥣㐰〵搱愵攳昱昰㘰㉣ㄳ㑤挴㤲㠹㔴㈶㤹捥愴㔳㌲挱戲㤳㄰㕡ち㘲〹㍢昸摡〳㝢昵㌲㐷㈱扢㤷慣ㅣ㔸扢慢㈰搳〴㘶㈰㠴昸摦㜶㈵㡢扦㝢晥晢挹㈷㥥㥢昸攲扤晦昱挲㤳㕢㑥㝥摥捦挷㐵搴敢ㄶ㙤扤晢㐷㉢搵慡㔱㔴ㅤ〵〳ㄸ捤㤶㤴㘶挷戵挸㡥㑡㜵㑦㙤摡㌰敡扣㙤㐳敥ㄴ㉡摣搰攸㥣搰㈸愱㝤愵搱㡡㘱㥡㠵㕣〱㐳摣㠹㜶〴㘳㉣㘲㈸ㄷて慤㙤㤵㤶㈱搲㙢㄰散挴攱敢挰㈸搸㜴㠷扢㐶㤶戹昴摡慢ㅢち摢㐶㉤昱㤸捤昸ㄹ愵㍤户摤昶慢㥥戵㜷㉦扣攷攱㐳〷搷㥣㈰ㅥ㥤慢晢㝥㜵㉥㡢慦搸〹ㄷㅥ㌱ㅥ戹攷戳ㅦ㔸晦攰㤱㙢昶㝦昷扥㝦收慤㠲攳㘷㙢〲㜲つ〳攲ㄱㅢ昷搰戲摡搳㑦つ晦㜶搳愷扥㜵捦愶攱换ㅦ㍥㈲㌸ㅤ㔰㍤㜱ㄸ㠱攵摥㍤㌱敡㜴挴昰愰㌵㈰㐵攵〸搰㜲ㄴ㐲ㅢ㘳〶愳攳㕢攵㕡慡搶㐱〸昱㌹扢戴散㠷扦㜰换攱㔵㝦ㄸ扤昳愲攷晥㜶戰晥攰㘱挱㠱㔴㤵㜶ㅥ〲挷㌱昸㑤㌰敦昵㄰摡昹㄰㡢搸慦㕢〷扦つ㠴㙣㠴㄰攲㝥扢昸ㅢ㜲㌷づ昴㤹㍦ㅢ扡敦戵㜷㝣㘹挹搷て㑦〹捥㜸㔴昱㥢ㄱ㤸㘳昰㡢㠷搵挸㤳㙡ㅡ晣戶㌰昳ぢ㈰戴慤㄰ぢ搴㠳㐳挷㜴㐸昵㜹㌹挹搴㙤㄰㐲㝣㜲㡥昶攸摢㡥攴ぢ散㑥㌶㔶搵昷㘳㐲㌰㍢搷㠸づ㠶昹敦攸㤳㉣捣戱捣㠴㤹㌲㈳㤱㝣㈲慣挷㜴㍦㥦㘸挷晡㌴攷㈳戴捦摣㔱㈸攷㉢晢搵攳晤㜵㈳㝡捤㤸㝤摡慦戰搳㐶㉡㌳攵㝣敤ㄴ敦挴挹扡㕥㌷㕥摢㥡㌶㥢㐹㥢搹㈴㈶㍦㐶㑤㤵㜷㙡慢搹㜶扤㌸㘳っㅦ㈸㔸挹慦㙦㐹挶搴愷㤲㥤㍢㜵㕤搵㜸㕢㈳戵慤㐶挳㤸㔰敦㔳㜹户㕤愵㤵㘴搵㙢㘰㜴扡㔲㌳捡慡㝡㉢㑡㕢ち戹㍤㐶㜵搲攰㜴摣挸慢㑢㍤㤱㐹昶晣㙢挵收㌲㉥ㄴ㌳慡晣改㙥慤戹昶㐰摤㈸攷㡤㍣敡扢搷愸搶て㙥搳戳㐵攳愴㈶㠸㔵㈶ㄲ㤶㌴愹搷㔵㜲㌳戵搱㑡戹㕥慤ㄴ㥢㔳㠶昳晢㜴捣昹昲ㅢ㉢㜹〳㔳戶㉥ㅥ㍥攱敢散ㄴ挲㜷戶搷愰捣㝣㙢㠳慡㈱㕣㑤捣ㄹ摣挹捤摤㙥㄰㜷㑥ㅤ㔷㔱㌴搸㈷㍢㤶ㅥ㈵㌳㤵㉦戳㌹㙢㙥愰敢㥡攸扢㄰扤㝣㙥戴慡㘳愳攵晥㘷挱ㅤㅤ㡢散慢㕦扢て㡦㠹昳昴㜲扥㘸㔴攷昵扣〴㙢㈴㜷㐰昸㍦㠱扢㜹㑥昶㌸㤱ㄳ〷挴㐱晦晥㐲扥㍥慤㑤ㅢ㠵㕤搳㜵攸攰㥤昵昴㤰摡戶㐳扥〵㉡㜹㌱挵㈵㄰㠱㠰㑦扢㤴㈰㉤㈰㉦戳攲㝥㑥㑥㡦晦㌱㐳晦㑦慡ㄹ㍥摣戱㥡扦戴慥㔲慤㜵㜶㝡㕤攵㜹㝡㙤扡捥敥㌹㙦㈲攷搶昲慤ㄴ㔳㄰㝥捥㡣㡦㘹㐲摦㐵扦愵扦㌴㘶㤸㍡扣㐵㜵㜷ぢ摤㕦戲ㅣ㤰㌱愳㤶㤳昴㔴㈶㜰慦ㅣ搰㄰挲捤捦㐷㝡戹㙥ㅣ愸㡦改㜵扤扢〴㥦〷慤㈴〱㕡愱慣慣㄰㉤晢㤵捥戱づ搸㌱攴㄰㔲㐱㔷㉥扤㑡㘱攵㠴ㅢ〷昷㡢慦搳㤶昳㕦〴敡㑥慦㐴㙢敤攸捤扥ぢ㕣慡晣戸㔱摥㜶㜰慦㔱㈳扣㐷㥢㤷捡搶摢㡢㤹㙤捥㘵㉦慣ㄷ㡡戵㐱搴ㄴㄳ攸㤹扤㝦捡㝣㤸㤷摣〹攱ㅣ晥㐳攸挵挷㝥㑤㕣㤹攸摥挷戶㤹㥡昲昵㌰㌷㙡㈴ㅤ㈶挹摥㡡捣晥㠸㤳㍡㘴ㅥ愷挰㝣㘹晥㤳㠰㌸ㅥ㍦㡦晥㐹㕦〹っ㙤慢ㅡ捡㜳敤㔱ㄱ戰摤㕦攲散㌰㕢愹散㘱㝦㕡愰㘲㡤㘹㘵慦敤晤㜲㥡㈸㠴攸㥣㜳㜲挷㠷愰㌶つ搱㍦㕣㉣づ㌸㌹搶戴〲㔴㥤昰㑢戵摤〸㥣ㄳ㑥てづ㙣ㅥ㥦搸㌲戵慥㘰ㄴ昳㘳挶扥愹戵戹ち㍡散挰昲㘸㜸㙡愳㕥扤扣㌲ㄵつ㐷㘳㘷つㅥ㈸搶㑡攲慦㐱〹㥤慤戶昹摣〷敤㠴㌶㈷㤰捥㥣㜲㐶㑢〸㠸昷〳挶愱〶攱收㐳㔶㄰㤷㝢㈹摥〶㠱〱㐳㌵〱挶㡢㥡ㄵㄵ㜴〸㌹㘶㐸㡥㍣㜲〶㐲搰ぢ㔴扥散㍥〴㥣㐳㕣㡦晣て攱愷ㅡ㤳ㅥ㘴㝢㘳㕥づ㙤㐰捥㤳㈶攸㕢戲㐱㈵〹㤴愴㑣㤲㉥㜱㈵㌲昶㈴攰ち㍢愱捤つㅤ㠰㤹㈲攰ㅡ摡扦ㅤ㌰㙦〲摥㡤㘴㜹㉤挵㜵㄰㉥〲慥户愲攲㌴㥣ㄵ〱㌷㄰㜴㈳㠴㜸㈳㠴㈲攰扤〸㌸㠷愸愱㡣㐳昸㈹〲攸挲戶ㄳ㜰ぢ戴〱㌹㑦㥡愰㕦敢㐵㐰〱ㄹ㝢ㄲ㌰㙤㈷戴戹挰㥣愱㉢〲㙥㐵㐰㤸㠰㜹ㄳ㜰ㅢ㤲攵敤ㄴ㜷㐰戸〸㌸㘴㐵挵㜲㥣ㄵ〱㜷㈲㈰敦㠲㄰㘷㐳㈸〲敥㐶挰㌹挴㘵㈸攳㄰㝥㡡㠰戳愰㙥㈷攰ㅥ㘸〳㜲㥥㌴㐱㌷摢㡢㠰㐹㘴散㐹挰㔶㍢愱捤㈳ㅦ㐴㑥㡡㠰扦㐷㐰㙣〱捣㥢㠰晢㤰㉣敦愷㜸〰挲㐵挰㠳㔶㔴慣挲㔹ㄱ昰㄰㐱㥦㠱㄰㜴挱ㄵ〱㥦㐵挰㌹挴㌸捡㌸㠴㥦㈲㈰っ㜵㍢〱㕦㠰㌶㈰攷㐹ㄳ㔱㈰扣〸㔸㡤㡣㍤〹昸ぢ㍢愱㙤つ㈰㠱㥣ㄴ〱㡦㈱㈰捥〵捣㥢㠰慦㈱㔹晥ㅦ㡡慦㐳戸〸昸㠶ㄵㄵ㐹㥣ㄵ〱摦㈴攸㜱〸㐱昷㕥ㄱ昰㉤〴㥣㐳㐴㔰挶㈱晣ㄴ〱㕣㈰㘸㈷攰〹㘸〳㜲㥥㌴挱㐵〳㉦〲捥㐴挶㥥〴㉣戳ㄳ㕡搷ㄷ挴ㅡ攴愴敡晤㈴慢昲ㄴ㠴ㄸ㠱㔰㥣晣㤰戱搳㘱改捤挹扦搱攲㘹㡡挳㄰㉥㑥㥥戱愲㘲ㄴ㘷㤵昷戳〴晤〴㐲慣㠵㔰㥣晣ㄴ〱攷㄰㑢㔰挶㈱晣ㄴ㈷㘳㔰户㜳昲㍣戴〱㌹㑦㥡愰搷敢挵㐹㄰ㄹ㝢㜲戲挰㑥㘸㜳㤰㈷㤰㤳㈲攰〵〴㐴ㅦ㘰摥〴扣㠸㘴昹㙢㡡摦㐰戸〸㜸挹㡡㡡昵㌸㉢〲㕥㈶攸㜷㄰㠲ㅥ戲㈲攰ㄵ〴㥣㐳㜴愲㡣㐳昸㈹〲攸㕤户ㄳ挰ㄹ㐰㐰捥㤳㈶攸㜷㝢ㄱ昰搲ㅦ收㈰攰户㜶㐲㥢㡢扥〵㌹㈹〲㈴ちㄵ扦〶捣㥢㠰㕥㈴换㍥㡡㝥搶㙥昶挹ㄸ㐴㔴ぢ㔱㔸㙥㔰挰㈷攸戸㉢㉥㑥㈰㝥㈱㠴㤸㠴㑡㜱戱〸㌱攷㄰㍦㐷㜱つ㉥戶㐲摤捥挵㙢㠰て挸㜹搲〴ㄷ〲扣戸昸昱㕣㕣ㅣ戶ㄳ㕡搷㜰晣㍢㤰搳㜱昸㝡扤慣戰戹扤㘰散攷攴㜴㠱㠹昵晦搱㤹㕡扤愲㘶搲晤收㔸㘵㔳愵㍥㔶愸敤㉤敡〷ㄷ㤹㜶㘰挷戴㔱㠶㥦㕢㠵扢摢愲慢散摤㙢攴愵㌹㔹㤹愹收㡣㠹戱㍦〷㍦ㄸ搷㠷愶㔳㉥㜰〷㈶㜹攲搵戹㜶㔸愵ㄱ攸㌰㌸㝣晥户㈰挳搶ㄹ扡㝡ぢ攱昲愶㔵㌰〴㘰㜰㤶搱㙤㠵㝡搱攸㌵㤵㈷慢挲㍤㈶㔸挴攲㐱扥摢摣㌶㡤㤹敢㔸扦㌹㕥㉤攴㡢㠵戲挱挶㔸㙣㐱㌷ㄸ扢戰㔰戰㠵换搶㔸㤰敤㌷户㔵戱㌴扢㤷㍥㑦敥攰挲愶㤸㜲㡥晣收㐸愱㕣㐳㌱慡ㄵㄹづ㥡㤳搳㤵晤㜸㘱㌸㔳㉡㡦敢㝢㙢㝦ㄶ慤㌲㝢〷愹愶ㄱㅤ愲愳㐳昴㜴昴扣摡昶搱〶㤰攳㘲㝢㈹㜲〰ㅤ戵㕥㉤㘴㘷挸ㄸ摢摦ㄷ挵慦㡢㐲㌵愲捦㑦㝦扡搵扤㜱戵㘱换摡〴㉢摢昴㔲捤搳㑤㙥扣㠶㕤〰戸㍣つ㐶㝤愷㐳慣ㅦ扦㜰㘲㜶搵敥扦昵㝡搴㝦〹㜲㍥收㐵ㄲづ㔵ぢ慣㍥挴㠵ㄳ㜶㈹摣㥡攸ち㡣戵昶换㠰愹㌰散愲ぢ㘶㠳敢攰㘷昷㤹ㅢ昴慣㔱挴昲㐰㐹慦㉦戰㈲㕣愷挱ぢ愰㥡㥤㌶㕡㈹㤵㜴昶㌹扥〴㥣捣改㐵愳挷ㅣ㥥愹㔷昰㌲㑤㥡㄰慡㘳摡㉡晤〰㔴晡〱愵敡㌳户㜲搹㔰㠵㤹㔷㘵㤷㕥㉤搴愷㑢㠵㕣て㈳㕣摡晢戳攸慣ㄸ㐰扡㐰愶㜳㌸㠳㐹敢捡㠰攵㥦愳戹〷昱ㄴ㈱㜵㙣㝥㜴改づ愱攱㥦㜸㤵慢㑡ㄸ㝡搴ㄳ㐵㉥㐵㙥晥づ㔴㠲㘳㤱㍡㡥愸〷㌰㠲㐷慥㠴㐶㡤㑥㠲㡢㐲㑣㤶㘷㐰㌲挰㕦ㄷ搷㘵收㕤㜲攸〶㈰戰愱愲攷慤搷㠲摤昶敢晣ㅥ㌴㉤挷㥡㙡㠸㡢㐰愳㔸㔷挴㝡攵扥㐲摥愸昶㔰㌱㠹㍤〶㕤㕣㍥搲慣㌶㠴㍢摣改昳晢㝢㝢扣捡㥡㜰昲㕡㙡慦慥戹昷㌰㑣戴攵晦昳ぢ搲㙢㜸戵㠱㠰㝡㐶㉤挳㜵挸㌳㜹㑤㔳㔰昲㝡㕡〰换〹㌸ぢ挲扦ㄳ㠹慤㙤搳扣ㅥ㠳㔵ㅢ〹㔰㤷㝡ㄱ捥㤵愲ㅥ慣慡愸㈵㈶扦扡㤰㕥搷搲㤰㘶慤ち昵㌸㙦搷戵㐹昴㜲㈳ㅦ戰〶㔸㉥㐱戱㌹㍡昰㜲愸愳㐷㙢㕤㔶㙦㉢ㄶ㤹㤵㈶つ戵㘶㈴戸㑥愲㥤つ攳ㄳ㜹戳㈰晦愹收㤷换㤷㈲ㅤ㤳慣㍦攲愴㡥㐰㐰慥〴摡ㄷ㄰㜹㐸㠷〲㑥ㅤ㙣㡥捥㐱慡ㅣ㠴㄰㕣㈲攰㑣挰昵摣ㄲ㕣ㄷ攰戳换愷慤〲攴㤸挷㑡戱ㄷ㈶ㅣ㉦㘵㤸㌹㜳㑤㠱挳㔰愳㕢㐶愱㍤㝡户慣搱〲㍦ㄹ㘳㈶㜶㐴㜰〱挲戹づ㔷㕢挷〱㤰〹〲㘷扣〱㐹〲㔲〴散〳㘰㈷㝥㕡ㅡ戱㔳ㅣㅥ扤㕥㜴㝢戰㜹㉥㙣挰㈶搷㌰㥣㕡昰㐲㙤㌶摦挴㐲晥㠲㠵㕣〳㘵㉢㥢㕣㘴戰搸㕣つ挸㐹ㄸ慥捡敡愵昸㔱㥦㍤攲㕡㔸㉡㍥摦捣扣戹㐴搱挴攷㄰戴㐷攷昳㝡㤸〱攸㤳挳捣挴㡥〸慥㘷㌸㔷戲ㄸ㘱晢㑡㐶〰㤰愳〴摥攸つㄸ㈳㘰㉤〱㕣晥搸㠹㥦戶づ戱〱㠷捦㌹㕦摣㝢㤰㝡ㅥっ㐱敡㉤㤰㑥㔵搸㡡㜶㔵㈶㔸搲㝡㤶㜴㉢㤴慤愴摥〶㥤㐵敡昹㠰ㅣて愹户挳㔲㤱扡㠱㜹㜳搹愳㠹搴㑤搰ㅥ㥤搴㐳㌰〳搰㈷㌷㌳ㄳ㍢㈲敥㐴挰戹ㄲ㍥摡敤㉢搹〲㠰扣㠰挰扢扣〱㕢〹㤸㈴攰㙥〰㜶攲愷㙤㐳㉣攴㤰摡搸㡢攰㐱攲㜶〰㐱攲㍤㤰㑥搱㥣挸搸㐵敦㘰捥ㄷ㌱㘷慥㠳戴㤲挸挵て㡢挴户〰昲㥡搹㝤ぢ㐷敦㥡昷挳㔴戱㜸㌱㌳㝦〰戱㈶ㄶ㉦㠵昶攸㉣㍥〸㌳〰㝤昲㌲㘶㘲㐷挴㐳〸㌸㤷攲㐷搸扥㤴户〲㈰愷〸晣㡣㌷㘰㈷〱㍡〱㕣㤷搹㠹㥦㤶㐵㙣㤱挳愲㝢ㄷ㠵〷㤱㜹㘰㐱攴ㄷ㈰㥤搲昷㔰㘳㍤㔴っ㘶㙥㌲昳挷愰㙣㈵㤲㡢㈸ㄶ㤱扢〰㌹昶〱㤳敢㉥㡡挵㘹收捣〵㤸㈶ㄶ㜷㐳㝢㜴ㄶ扦〱㌳〰㝤㜲て㌳戱㈳㠲慢㌵捥㜵戸〶捣㈲〰戲㐴㈰㔷㜲㍣〰㘵〲㉡〴㝣ぢ㠰㥤昸㘹㝢ㄱ㍢捤㘱㜱敥㑤ㅦㅥ㥣㔶㘱〹㑥㥦㠰㜴㡡扡㠸ㅡ㡢搳ㅡ㡢慡戳愸㈷㕤〰〴ㅤ挰っ〱晢〸㜸捡ㅢ戰㥦㠰〳〴㜰㐵愷戵㔵戸㡣㘳戵捡㐱㐰㡥扤㔵㥥㠶㥤㙡㤵换㤹昳㘱挴㥡㕡攵敤搰ㅥ扤㔵㥥㠱ㄹ㠰㍥昹づ㘶㘲㐷挴戳〸㌸㑣戸㕡攵ち〰㈴㘷㘶攲㈷摥㠰慢〸戸㥡㠰㥦〲戰ㄳ㍦敤㥤㠸昵㍡慤挲ㅤㄲㅥ晣扦ぢㄸ昰捦㈵㈶愷㔴ㄲ㘲昳晦㙥㘶㝡㉤㌳㝤〱捡㔶昶㕥㠴捥㘲敦㍡㐰㡥㥤扤㕦挳㑥戱昷ㅥ收晣ㅢ挴㥡搸扢〱摡愳戳昷ㄲ捣〰挴㤲㍢㌳戱㈳攲㘵〴㥣敢㜰戱昷㕥〰攴㑤〴晥捥ㅢ昰㔷〴摣㑣挰㉢〰散挴㑦扢〵戱挶㈴挰㙢挳㠷〷㥢敦㠷つ搸㘴㝤㥣㕡㤰㌴㥢捤て㐰㉤㍦〸㈱戸戶搴捡㈶ㄷ㤴㉣㌶晦ㅡ愱攳㜹㕥昵〱慦昸晣ㅢ〴〴㤷愳㥡昸晣㌰ㄴ㐷攷㌳㐸㕢搴㔵摥㙡〷ㄸㄱ㕣戰㜲慥挴挵攷㐷愰㤶户ㄱ戸搰ㅢ㜰㍢〱㜷㄰戰〸㘲㈷戲搲晥ㄶ㠱㤳㥣摥搸戲㠱挵㠳捡㍢〱〷㤵㕣敥㜲㉡㌰㑥㡤㌵㌰摣〵戵扣ㅢ㐲㥣㐶㠱〴昹㔱㍢搰㠹㠸㝦㈹㈲慤搳昶㌶㤷㡡㝥㔸挰愴㜳㌵㔹㍦㔸㠴㐳换㈰愷昱㔶㠸づ㠹㤵っ攷愲㔲敤ㄲ扥慥搶㜷昱つ摢敤挸慡㜷㜱换㍥〷㘵挶㤴搳㔱ㅢ晦愵㔸㘵㥢搳㥥㔷㌰晢搲㤳㌶㍣戴㡦㐱扦㜸㘳㈱㠷㡤㠶ㄵ戳㍥㌰㠹搵㥡〱敥ㅢ㌱㝤扥昰戰晦㘲攴攸㔹㈶㉦慣慢捣㕤户晢昸ㅥ㌵戰愷㕣搹㕦㔶戵昱搷戸㝤㠶愵挹敥㙥ㄶㄳ挰㑦ㅤ㙦〴㡢愱㌳㤰㐲㘳昹㜱〴晡㍢㐳换㜰㘲戳㙢㥦㐰攰㡣搱㤱搱慤㔳㤹㜸㈶㡡つ㐰戱㡣㤱㑢挷㔳攱㜸㍡㘵㘰攳㥦ㅥ㡦㤸搱㘴㉡ㅣ㑥㘹昷㌶愰㠹扣ㄹ捦㐶㜳㠹ㄸ昶ぢ挵戱㙢㌱ㄳ㡦攸㘶㍡㤳㡣㈲㤲㑥㐴㜲㈱扡㘰捣㕥晥ㅤ〲昲㤳㄰愱攵㡥敡㔳㔴㝤㥡㉡晡㘱ち㐵㠰㠲晡㔷㈲㜴慣敥ㄱ慦㐷㘴㐵㑥攴㠵搱搵摤㉤捥㘸搹ㄸ搲收㔶㌵摥慣㙢ㅡ扤㉡晦ㄶ搰㝣㙣㐶愸㤵慢ㄵ㘹㑣㡤扣㡦昵扥ㅦ㈲㄰㍡〷㤲ㄵ搲ㅥ㐰㘰挱攸挸㤴㙢㜵㐸晢〷攸ㄶ㐲㠷户挰捥㝢㘱昶㐶敤㐱攸晢愰㔷敥㈴㌶ㅡ搶戴㠷愰㌹〱㥡收ㅤ搷㈱扡㙢慡昹ㄶ戲搸摤ㄴ㡢㈸ㅥ㠶㕥㈸㡦㡢戱捦㌳㠶㠰晡㐵㈱㜹戳㠸㌱㕣㈵扢㈸ㄲ㝣㤲晤㡥㕤㑣㡣㐰挳㙥搶摣㑤㘲㐸㔶攵晣㈳〲攸㈶㜱㥣㔴㌷㜹〴〱慢㥢愴挳㤱㑣㌶㤹㐸攷攳改㙣摣捣敢搹㡣ㅥ㑤攸攱㙣挶〸㘷㌲愹㕣㕥晢㜲〳ㅡ㠹挵㑤㈳㥥㑦㥢㔱散摤捦愱㍢ㄹ改㐸㔴搷攳攱㐸㉡㥡搶㘳搱㄰扤㌷搵〱扥㠲㠰晣㉡㐴㈸改愸ㅥ愵敡㌱慡攸挲㌵愳挴戹㔰戱慢㠸㌴㉥㠱捤㠸㌰摥㘲㐱捡㝦㠲〸㠴攸㤶愹ぢ㘱㜳㐸昲㉦㐹戶㈴扦㈱扡㙢㉡㜱〹慤ㄴ㥢慦㘵攸〹攸㠵昲户ㄸ晢㌶㘳〸愸摦㄰愴㘲㜳㈵ち㜳搸搴扥ぢ敤㥣㜷戱㌸ㅢ搰㜶㡡㠷㘱愳ち晦ㅥ〲愰㜸〴㈷㐵昱昷ㄱ戰㈸㡥收昲攱㘸ㄶ㜷㔲㌲ㄳ㡢挷攳挹㑣㌴㥤㑦㘴㘳㤱㙣㌴ㅥ㐹㠷㔳㐹敤〷つ㘸㈲㘹㘶㤲愹㐴㍥慥ㅢ挹㌸㥡㈰ㅤ㑥ㅡ㘶㉥ㄳ㡦收愳戱㙣㌸ㄲづ搱愱㔳攴晤㉢〲昲㐹㠸搰㤸愳㝡㡡慡ㅦ㔲戵搶㔱㌵㔰攲㍣愸ㄴ挵〳㌶挵慡搲㠷㘹昲㘳㠸㐰㘸〲㤲㍡敤ㄹ〴㕡㝡扣㘲㕣晢〹ㄲ㥡扢昷㑦愱昱攸摥敢敤慣攴〰㠹㔷つ㜲ㅡ㐳捦㐳㉦㌶㔰㌰昶敦㜶㠰ㄱ㐱㕦㑤㌵挸㘲㔷㠳㐸㌶㠸敡摥ぢ㍤戹愷挷愶㉥攳㤷〸㠰㝢㝡㘷㡡晢㈳〸搸摣攳ぢㄳ㌳㥥㡣㈵挳㘶㉣㥥换收戳㌹㜴昷㐴捡㌰㌳㔹㈳㘶敡㘹敤㍦ㅢ㔰㈳㥡㌲㜰ぢ愴戲㔹㔳㡦攳㥥㐰㈷㡦挵㔳戹㌴㐲㌹㍤㥤㑥㠵攸昷㈹敥晦ぢ〱昹〲㐴㘸慢愳晡ㄵ㔵㉦㔲㌵改愸〸㤰㠴㡡敤㄰㡡晢ㅥ㌷昷㉦㌱晤㘵㠸㐰㘸〷愴扡㄰㜲㙦㜵㙦㤲㉤挹㙦㠸㍥㥦㑡㍣㤳慣㈹㌶昹㉡㕦㜶愰㉥攲㘲㈴攲扦㑦㜶㌲㠶㠰晡㕤ち愹搸㝣攵昷戳摤㝢㤶捤㤷愱㙤敦挹昴摣㔴㌹摤挸ち㙣搲㑢愳搳愶昵㈰敥っㄶ㐶㉣ㄶ㡥㈶戳晣㠰㈷㤹搲搳ㄹ搳㌰ㄳ㤹㘸㉡㠹㍤攷昹㤸慥昱㙢㈳ぢ㙡挶昴㠸㤹换攳ㄹ㠲晦搱㑣㌲㡢㐷㔰捡㑣愵昵㐴㉥㙦攲㝥搰〲つ㘸㈲㥣㠹攵戳愹㝣㉡㤶㡦挷㈳㘱㌳ㅤ㡢ㅡ挹慣㘱愶㌲㘸愰㐸挶搰㝡ㅢ搰㔸捡挰㘳㑡挷摡㜴㌸ㄷ㑦挴昳ㄹ㈳㤹㡥攵搳改㑣㌴ㅡ㌷搲戹戴搶搷㠰愶㤲戹㜰㌸㤲换㐶㔲㍡㍡〰㠶戵㙣ㄲ户㔰㌲㤳搴戳㈶ㅥ㠳戱㄰ㅤ㔰㕥㥦散㠷㡤㕣㐰ㄱ愴攰㐷㔲昲〴㠸搰㑥〷戱㤰慡㐵ㄴ㡢㈹㑥愴㌸〹㈲愴㍢〸㘵愹昲㔰收㉡㑢收㠱㠷㤹摤昶捦㠲㜴づ㙤㔰攲摢ぢ收㜰㉡㐴㈰㘴〰㌰㘷摢㥢㑥攲㈰慤㔴摢慦㘲㘸ㄹ戳㥥㐶㈲晥㘳㠵㤴㌱〴搴㙦㌷愴㙡晢敦扢摢晥㘳㑣攳㠳攲晦㝡戶晤ㅥ㈴慢㑡慣㐰㔶㘸晢㈲攲〸昹戴㤵㤰㔶㠳挶愳攱㘴㉣ㅣ㡢㘷㈳ㄱ㍤づ㌲搱㤲昱㑣摥㐴㝢㠶挳戱㑣㍥愲㥤搳㠰收㔲㜹っ㕥〹戴㝦㈶㠵戶搷昵㠸㤱㠹挴㡣㠴ㄱ㡢愶搲㘶㌸ㄶ㉡搹搹换㐱搸挸㔵㄰㈱㍡慢㌸㘳挱㤱慡〸㔵ㄵ㐷搵㐰㠹㉡㔴敡㑥晡愶捤㈶攲㔸㌵愴㐹ㄲ㈲㄰慡㐱愱㉥攴〱〴㕡ㅦㄴ㜵㈷㌱㐱㉢挵㘶㤲愱㌷戳戴ㄹ㘶㠵㈳戴捦〹散㜷〲㜴㑢㜹㠸换ㄱ㘰㔸㜲㤱㥡〱捥㘱挵摢ㄱ㔲㡣㍦攲挹昸㤷㍣ㄹ愷㉦愹㉡㍡㡡慣挰㌸晤㐶㠴戰㑤ㅥ搲ㅥ扢㜲愹㜸捣㐸㘵昵㘴㌸ㄵ㑦攸㤱㑣摡㡣㈴捤㘴㍣ㅦ搱㌳㐹㈳ㄳ搵搶㌶愰挹㐴㈴㥢㌷愲㜹摣㉥㤱㌸㙥㡢㜴㌴慡㥢㔹ㄳ㜳扤㑣㍥ㄱ㠹ㅢ㈱㝡愴捣㕥慥㠳㤴攳㄰愱慢ㅣ搵㜹㔴㑤㔰㜵戵愳㙡愰挴扢愰㔲㡣晦㠳㥢昱㡤㌴搹〴ㄱ〸扤ㅢ㠰㌹ㄹ扦搶㐹ㅣ㘱搹㡡昱㔱㠶戶挳㔴扣〷㠹昸㡦㉤戴㡣㈱愰㝥㌷㐰㉡㌶㍦攱挹收㍤㥥㙣摥〸㈳㔵㠹㑢㤰ㄵ搸㝣㉦攲〸㘱摢㉣愴挵㘶㍥㤲㑦㘵攲改㝣㌴㤵㐸挶挳㠹㐴㌶㥢㡦㥡㝡㈶㥣捥㐶戳㤹㜴㍣慡㕤搶㠰挶ㄲ戹㜴㉥慢敢㠹㜴㈲ㄱ㡦ㄸ㤱㡣ㄹ㡤㐵搲㘶㉣ㄵ㡢攷挳㜱㈳ㅦ扡挹捥㕥扥ㄵ㌶㜲ち㈲㐴挷ㄴ㘷散愸愴㑡愷敡㘶㐷搵㐰㠹昷㐳愵搸扣摤捤愶㐱ㄳㄳ㈲㄰晡〰〰㜳戲昹㐱㈷㤱㥢㍦㉣㌶搷㌳㔴㠶愹昸ㅢ㈴攲㍦㔶㝣ㄸ㐳㐰晤攸㔳㉡㌶㙦㜱戱愹扤つ㤰戹㈷㍡㝦攵㐹㌱摤㑤㔵戳ㅡ㡣㐱昱㐷㄰㐷挸愷搵㈱㉤㡡㜵㍤㤷㡣攵㔳㈶扥㍦挲搸㘰挴搲㐶㍡ㄳ㡥㠱戴㕣㉥㥢㡥㘶挲摡㑣〳㙡敡挹㠴㤱㐸㐵㡤㘸㔸㡦攷㜲ㄱ㍤㡦㐷㙤ち捦㘹昶昵㑣㍡ㄱ愲搳捡散攵㍥㐸戹ㅦ㈲㜴扢愳㍡㐰搵㐱慡攸戹攲㙣〱ㄴ㔴摣〹㤵愲昸㕤㌶挵慡搲敦愰挹ㄵ㄰㠱搰㕤〰㔰愷㕤㠹愸攷㐴攷㙡㈴㌴㑦㜴摥〹㡤挷㐴攷㙥㍢㉢挹捤㈸㔶㠳㜰ぢ㠹扣ㄶ昰搰㐷㥤挴敢㄰敢敦昴搳㔵㝢㔳㡢㑦攳晤晡㜹㐵敢㜷〲㙢戱敦㥦搷敢敢挴㝢㌷敢㙤㔵㔷挷戹慦㉥㉦戵攵〳㔹㜱㔵摢㝦〰ㅣ晤㌷昲挱ㄵ戹晣㈸收昸〶晣攴昵愸慡晦敦㤰ㄸ昶慡㘲敢㐷㘱敥㑦㐲㌵㤸㥦㔸㥡愸㌹㕦㘹つ㌷扥㑢㍤挱㜱慡㔶㌸摢搷捦㤸搵っ㘷㙢搸改㔰㌷ㅣ戳捤搵㠶ㅤ戶㠳挳戳㐶挲ち㙥㜶㍦㜱㌶收㝡摢㜷捡慣㜶愲㕣挳㠷ㄹ㐶摥挹戱收ㄳ愲慢愳㔳㜸扥㠰户扦㐰攵敢㍤收㠶㑦㌳㈶昲摣晦㜱㡡挷扢捥㤱㐲㕤敤ㄵ攸㐷扡㤰㥦〰㌹摡㡤愰㐹㕢扤㜴摤搲㘸摡㕦㐷㐳ㅣ㜳ㄹ捤戴戳㐴昶㡤㠰扣〹㈷㐱攷㥢摣ぢ㐹〷㕦扢搹㉡㘴っ㠵㠸扤㈸㠴〵戱昷〷攴晢㠸晥ㄴ㌰㡥㑡搰㡢㘷㠴戹〵改っ慢改ㅦ㈲慥攳挸ㅡ㍢㌲㘴㥤㝢散㜳㘸㈸㜸扦㘳㜱㤹㌸敤晤挳晥愷慦戴㤱昶改挸㥡挰昷㍥扡㜷㜵攰㤷㙢㉥扤昹㉢㉦㉥扦昴㤷㙢挴挳戰㌸〹挹慤摢㠴昷愰ㄲ㥥摢攱㜶摢〹慤晢愴㐳昴㤵搵㡤晥㈱㔴扥扦㔳搰攱攵つ㈷愶㘱挱㕥慥㍡收慤扣㘴㍡愷ㄶ㐱㡦㈰愴摤〶ㅤ㕡〱〴愵㐴ㅥ㐰㠷㡤㠰扣㠳攸慦㌶搰㕦㈶晡㤰㠵㐶㥢愵挴㑥ㅢつㄵ攸扣㡢攸㐷㠱㜱㌲㄰㡦搹ㄱ愶〷改捣ㅥㅦ㥤晦攴㔸捣㐵攷攳摦攴昱搴㥡㡦摣捡攳昰ㅡ昱〴㉣扣攸扣〴ㄵ昵愴昳㘲㍢愱㜵搷㜵攸摢挸㐹搱昹㜱㔴ㅥ㜴搲戹㔵㜴㕥〴㡢〶㥤昷昲㤲晦ㄵ㐹ㄶ㥤昴㜸戵㑦㐲愷攸㡣挴挵㌶㥢㈰捥㤲〲昲搳㐴搳㘳戵搰㜴㝡戵扦户搰敢㤶〲扤挵㐶㐳〵昴㝤㐴搳愳㈵㥤㙡㥡㐵捦㤶ㄱ愶〷て㈳㌲㉦㥤ㄶ㈹㥦㕢㘳㤱昴昳㌵㐱㝡戹ㅥㄶ挸㑣ㅤ㙦ㄹ戲捥换散昳戶㈱昱㍣㉣扣攸㍣ㅦ㤵昰愴㜳扤㥤搰扡㠷㍢㐴㔷㔷搱昹ㄹ㔴ㅥ㜴搲㕦㔵㜴㥥〷㡢〶㥤㥦攳㈵晦ㄷ㤲㉣㠲攸挴㙡㥦㠷㑥㡤ㄱ㤱㠴ㄸ〳搸㈱㈰㈰扦㐸昴ぢつ㌴晤㔸敤ㅦ㉤昴搸㔲愰㠷㙣戴㐵晥㤷㠹愶㤳摡愰㤳捥慡㤳㕢㤰扥愸〷㌹戳㌷㝢ㅢ㥤㉦㝢㕢㔸㈴攲㔳㘵㥢挶㤰㝤ㅥㄸ挲㕥㉦㙦㍡摦㘴戳搶昶㔱挴戹㜶㐲敢㡥昰㄰㝤㕤㐵攷搷㄰〰㥤摤㌸㈹㍡搳戰㘸搰昹㜵㘸㐵㍦㠴㐵㈷扤㔸敤ㅢ㄰㝥摥散㜱ㄱ户昹挱㜵愰扢㍤㑥昰㠲〶㔸ㄲ晣捦ㄶ㜸㉤挰㘱ㅢ㙣㤱昹㉦〴〷ㅢ㘰㝡戲摡户㉤㌰㜳㕥㘹㠳㔹挵㠰晣㉥挱㜴ち慤㙡昴ㄲ晣㍤ぢ扣づ攰攵㌶ㄸㅡ㠰㝦㠰㤳㌸〱挲〲搳㥢搵㥥㠴㐰㥤〹㕥㙡㠳㠱〵昸㠷〴搳㌵㘵㌳戲㌰㐱ㄷ戵搱挰㜴㔵㥤〶ㄶ㜴㔹ㄹ攱搵ち扡慥㡣㌰㥢攰敢ㄱ攱㘳㤷㍦搷㌱摢昴㤶㜲㜶㥣户攲㡢㠷㠲愷㍡㤶㑤〳搴㔰㘵㠸㠸慢晥昳㔱㜵昶搹㜱摦挹晦慢愱ㄷ换㘰改㜵㘷扤〱㤵昲扣戳㑥戵ㄳ㕡昷挶㠷捥㐴㑥慡㉢㍣㠳〰扡挲ち㥣㔴㔷㜸ㅤ㉣ㅡ㕤攱㈷搰ち㝡㤱ㄶ慤㜴㙡戵晦㐷愱挶晤愸㌸ㄹ㘰ㄲ㘲戵搸㜳㐴慦㙡愰捦㈱昰摦㉤㌴挶晤愸㔸㙣愳愱㐲㉢晣〲㈷㐱愷搵挹㐰㐴散〸搳㠳昴㑤攷扤戳〰挲㌱㑢㙦㤰㡥慣戲㘸愲搵㠲昹㝣敦昹敡搰挸㘹㍦敢晥昰慥摡㔰昷愳㤵敦㡣㕦晢㤷㐳攲捤戰昰愲㌳㠸㡡㝡搲戹挰㑥㘸摤㘹ㅦ㕡㠳㥣ㄴ㥤㉦㈰〰㍡改㥣㉡㍡晢㘰搱愰昳㐵㘸〵㕤㐴㡢㑥㝡慣摡㙦㈸ㄴ㥤㌱搱㘳ㄳ㘴搱昹ㄲ搱攳つ㌴㥤㔶敤㜷ㄶㅡ㜴挶㐴㤷㡤㠶ち㜴晥ㅥ㈷㐱㡦戴㐱攷㠴ㅤ㘱㝡㜰㈳攴昱搱㐹㉦㜵㙥㍡㠷づつ㔹捣㍥摤㤸搷〸㍡愷㕥㜴晥昱㤵㌹攸晣㠳㥤搰扡㐹㍦戴〳㌹㈹㍡戱㐳㡥㜴㕥㠲戸愲昳ㄵ㔸㌴攸攴摦㠰ㄱ昴ㄱ㉤㍡改戲㙡摤搰㈹㍡㘳㘱昱㕢㠰ㅤ㌶〲㤲㝦扡㐷㑣㌵搰㤷ㄱ摤㙢愱搷㉤〵晡㔷㌶ㅡ㝡搰搹㑦昴㑥㠴㥤っ㠴㙥㐷㤸ㅥ愴攷㜹㝣㜴搲㑤㥤㥢㑥摦ㄱ晢㠱敢㥡㤵搰㍢昵愲昳㤷㌶㙢㙤攳晥㝦搸〹慤㕢晥㐳ㄵ攴愴攸㕣㠴慢〲㥤昴㐴ㄵ㥤㍦㠷㐵㠳捥ㄳ㜹挹昴ㅡ㉤㍡改㥥㙡慦㜱〸㡡㈴挵捦㥡〸㕡㐲昴晥〶㝡㠶攸㔳㉣㌴ㅥ愳㐹昱慣㡤㠶ち㜴扥㥥㘸扡㥦愴㤳㉡㜱搰㡥攰攴ぢ扥〳㜲㕥㍡摢ㅥ愳㜴㐹㍤㉣㤰㤹㍡㥣㔹挹搸㤰㡡㕥㜵挱㤰愰㙦改㐵攷扦搹慣戵搱昹㈳㍢愱敤慢㠱敢㤰搳搱扥ㅡ㜰㝤㤴慦摥戱㤹㝣搱搵㙢㕡㙡扡㤲㜸昱㕡㈸ㄶ搵㍢换㍥散昱慤攲戳昸つ搸换㡥㥤扤昸㉢㍥昶㙢㉦散㜱攷㤶㐹㘷ㄷ愹㔴㌱ㅡ㙢收收㉡戶㤵㜶㥢ㄳ㌵㝣㠳㤰敦挱㘷扤昵㍡晥昲捦㥦挳〶㘰扣㐵敥〲㐱㌸慣慤扦㥥㉦㜰户㈳搹搳㙤戳㍥ぢ㤸攵挳昹摡扤㠳㕢㠳㕦摤攷〸摡ㅢ搱攱ㅡ㥢㌷昲慥摤敥㕤攲㈹戴戱戵愲㝦㤵㑦㍤搶改ㄲ捡㌳㘰愰㉤㠳攰昷慡㙡㍤〸㈲㈰捦㠴挶摡㕤捣搷昹㍥晦昵戸捣搶慢攳㍢㜵㡥昰扥㤶㡦搶㝢㝢㜹挹捥搱㜵ㄳ㈰昳㜹扢㈸挹搷㕤㥡搲昹挷捡㝡㑡㔳㐵愳扣慢㍥摤昸〳㘵摤敡ㄳ㜸㜹ㄶ㔰㉣㡡㍦昱㍥㐸收㉡捦㜶㙢㍦〴つ扢慢戶〲摡㌹㌸昸㡥㈷〷攷挰㐰㤲㠳搹敢㕦㐵ㄵ㉦㕤〹㙣㑡㐴挶攴挰㌹挴ㅤ㠸愸㍡㐴㠰㘴〲㝦㠲づ㥥搲㐶摤摡㡦㐳慢㙡ㄶ㠳搶戵ㄹ愴戹㝤扥改㔹户〴㑣戴㈴㐴㜳晢愴愰㜱搷敦㕥ㄴ搱㔴扦㑦㍢㌵挹〰㠹戰㔵扦晢ㅣ敤戹㙥敤㘷愰㔵昵㝢ㄳ戴㜳搶敦㔱捦晡慤㘶㐵㔸扦㔹敥搶㔰攵攲敥㜳挸扥愹㙥㕦㜴㙡㌱っ㈴挲㔶摤攸㝥㈸敥㐶摣摡慦㐱慢敡㌶ち慤㝢捦㘲㌳㜹㕦昰慣摣㕡搶愴戹㜲攳㔴戹㉡昷㜵攴摦㔴戹挷㥤㙡㑣戸慢昱㉦㡥㜶扤慤㐵慤㝤攲扢㡥昶㝣户昶〷㡥㜶㠳㕢晢㐳㐷扢搱㥤㉦愷愴敡昲㌶㐱㍢㐷愷扤捦昳摡戶挰㐰扢〰愲戹㘳㙣㠵挶㝤㝤㥣搶㌶㕤摦㜳㑥㍤戶〱㠹戰㐵晥㉦ㅣ敤㠵㙥㉤㘷㜸慡㜶摢愱㥤愳㜶昷㝡搶敥㈲㔶愳昹㤶扡㤸㉡ㄷ昳㥣㈱㌶搵散㈵愷づ㤷扡敢昰㝢㐷㝢㤹㕢换挹㤲慡搹㕢ㄱ㤸愳㘶㜷㜹搶㙣㈷っ㕡㙡㤶愵捡㔵㌳㑥戶㥡㙡挶昹㤴敡㥡㜹〴㔰ㅦ㡢㌳捥㥢㤴搶㜰㙢㌹敦㔰㌵㌳ㄱ㤸昳㘶扡搵戳㙥搳㌰㘹改慦扢愹㜲搵㡤㌳㤷愶扡㜱㜲愲㙡㔱㐴愰㔱㌷㑥㐲㤴戶攴搲晡㌹搸ㅦ昳愳㠸㙥攰㈲㍣戴敤㍦㈷㌹㠲㡦㙥㔶ㄴ昹挷㈴扤扥攱㘸晥挶愹㡣㜲〴ㅦ㈱捣㐳㔶散〰㈳㐱づ攴っ昴攰散ぢ㜲〰㙦挴〴挷㘱㔶㔱敥愵㥡㐳戰戲㝦㥢ㅤ㔰昶ㅣ㙥ㅢㄶ㐱づ戳㡤㤸攰㔸愹散慢㔴㜳㠸㔴昶㌵㍢愰散㌹ㅣ㌶㉣㠲ㅣ〶ㅢ㌱挱戱㑣搹昳て㘶ちづ㘳捡㝥挶づ㈸㝢づ㔹つ㡢㈰㠷慡㐶㑣慣㐵㑣搹敦愳㥡㈳㡤戲摦㙦〷㤴㍤㐷㤵㠶㐵㤰愳㠹㡡㠱っ㕦㤰愳挸㙣㡣愳挷㙣㡣愳㐶挳㑥昰收㔷㈵ㅤ愰㥡昷㍣搳攴㐱㍢挰㐸㤰昷㜷挳㈲挸晢扡ㄱㄳ扣㍤㤵晤攵㔴昳捥㔴昶㝦㘹〷㤴㍤敦挲㠶㐵㤰㜷㕦㈳㈶㜸ㄳ㈹晢户㔳捤晢㐷搹扦挳づ㈸㝢摥㉢つ㡢愰攱㡥〹㜶㜴㘵㝦〵搵散攳捡晥㑡㍢愰散搹㥦㘷敤搹㡦ㅢ㌱愱㍡ㄸ慦昸㉡愸㥤㈳挴㡥愶收晥㔷㈳㠰戹扦敡㐶㐴扤搳㡤㘲㜷㔲愸㙢㉣㤴敡㉣㐴扤换㡤㘲愷㔱愸㜷㕢㈸搵㈵㠸扡搶㡤㘲搷㔰愸敢㉣㤴㙡㜸愲摥攳㐶戱〳㈸搴昵ㄶ㑡㌵ㅡ㔱㌷戸㔱㙣㍣㠵扡搱㐲愹愶㈱慡改ㅡ搹㐴ち㜵㤳㠵㔲つ搰㔶㈲ㅢ㐲愱㙥戶㔰㡡㘶愲㙥㐱摣㌹㐲愴㕢愱摥愷㔰㈱愷㈰㐱晥㤴搳㔴挶㌰㐵愷㘹〴㌶㍤搸㔳攸㄰㈹挸㥤㐲㤴㕡㄰づ㠹㠲扣㈹㐴戱〵攱㄰㈸挸㤹㐲散㘹㐱㌸攴〹昲愵㄰扢㕢㄰づ㜱㠲㕣㈹㐴愱ㄹ㈱㐸㡦㑡㤸㙥㐹㈰㈳㉡㘱㔷㜳㐲挸愱㐶㤰つ㠵㌰㥢ㄱ扤晦ㅦ昳㝣㤵ち</t>
  </si>
  <si>
    <t>㜸〱捤㕤〷㝣ㅣ挵搵扦㔱㌹㙢捥戲㜵ㄸㄷ挰挱ㄶ扤搸搸敡㍡〱挶搸㌲㉥攰㠶攵ㄲ㌰㐴㕣搹戳㠵㔵捣摤挹㠵〰㤶愹愱㈴㤴搰㝢〹愱㘳㝡敦㈴㠴㙥ㅣ攰愳㈵㠴㡦㑥㠰〰㈱愶㠴昶晤晦㙦㜷昶昶㥡慣昰㐵扦ㅦ愷扢愷㜹㙦晥昳收捤㝢㌳戳戳扢㜳㝢㍥攵昳昹㝥挰㡢晦昹㉡㘱攲㘷㉤慢㤳㈹慢㘳㕣㜳㔷㝢扢ㄵ㑤戵㜵㜵㈶挷㑤㑡㈴挲慢㘷戶㈵㔳挵〰昸㕢摢㤰㥦㉣㙤㑤戶ㅤ㙥㤵戵慥戰ㄲ㐹㠰㑡㝤扥戲㌲㕤㠴晣愰昹ㄸ㐶戳㤴㉥㈱〱捡愷晤㈴〳㐸捡㐸㌴㐹㠰㘴㈰㐹㌹挹㈰㤲挱㈴ㄵ㈴㔴愹㌷㈳ㄹ〲㔲扥㌹挸晣收挹㜳㈲㠷挲挰㤶㔴㔷挲ㅡ㕢戹搰㌶㘳㐲㜵昵戸敡㜱㜵㡤搵つ攳慡挶㔶㌶㜷户愷扡ㄳ搶㠴㑥慢㍢㤵〸户㡦慤㥣摢ㅤ㘹㙦㡢敥㘷慤㥥摦戵捣敡㥣㘰㐵慡㙡㈳攱扡㔰㜵㕤㝤㝤扣愹㈹㔴㍥ㄴ㥡㘷㌷㑦㥥㥢戰攲挹晦㤶捥㘱搴㌹愷㜹昲戸搹㔶敡扦愵㜳㌸㜴㐲攵㤴慥㡥㜰㕢攷㝦㐹㘹㈹挳㔴㍢挵㡡戶㌱㥥㤶㤵㘸敢㕣㌲づ㘶㘷㌸ㅡ㕣攳戸愹昰㜸㌴㥣㑣㌵㕢敤敤昳慣㌸㐳㔹摥㐱㥦㔹〹慢㌳㙡㈵〷㜷散戳㉡㙡戵㍢搹挹戲㡥㠵攱挴散㜰㠷㔵挲㐴㐵㠷ㅤ户ㄹ㌱慢㌳搵㤶㕡㍤愸㘳㐱搲㥡ㄷ敥㕣㘲ㄱ㔲摡㌱慤扢㉤㔶㔲愲㑡㑡㝣挵㍢攵㌳㐶㘲㌳㙥㙡㈲摡扣㌴㥣㐸〹挷愸㔵攷挳㝡㝡㠸ㄸ㥥㘱ㄶ㝢㔱㘵㔶㈹㠶愹愵慤㘳㍦㉢搱㘹戵戳ㄲ〶㙦㑣ㄶ㐸㝣㘲扢摥㜵㡥㘹つ〳愳〶㍡㐳㠸㑤㘱㉤㝡〴挹ㄶ㈰晥㉤㐱㑡㈶㌴㔷㌷改慤㈸ㅢ〹愲㑡摥挶ㄸ昴㤶攱㌸㈸㙡つㄷ戵㐶㡡㕡愳㐵慤戱愲㔶慢愸㌵㕥搴扡愴愸㜵㘹㔱㙢㕢㔱敢愱㐵慤换㠰㌱慦戲〱〳㡡㥣搷㥥て㍤戳搹愴戳㠷敥户敥昴㈷ㅦ摦昸敦㝦户㈸づ㍢ㄹ㝦㕢㈳愱㐷㠱昸㐷㠳搰㠶㤰慥愴㙣ㅢ㄰愵㕥㠷つ戴攳㤲昵慢㙢㔳㈷㍦㌱昵扡㜵昳㘷敦㝤昹㕢㙦㈸づ㔹㔱戰ㅤ挱摢㠳昸㜷〰ㄹ㌴㉤㥣慣㙣㔹㡡㑥戲㉣扣挴搲㍢㌲㜳㈷㄰愵㕥㜶㌴㑤㕢㝥搲㌵敦㤴㙣㥣㝡敡慦㉡㥢㡢〶㝦ㅢ㔶ㅣ昷愲㘹ㄷ㠲㜷〵昱㡦〱㈹㥢摢㤵攸㑡愲㈷攸戱㤴敦〶愲搴㥦ㅤ㈵㐷㡦㔹㝥昱扢㉦つ㥦㝣昲扢挳昶㥦晢摥㡡晢ㄵ㍢㥢㈸ㄹ㑦㜰ㄵ㠸扦ㅡ㠴敤愹搷㌵㤴搵㠲㈸昵戴㔱㄰㤹晥攰搳㡦㑦㥦㝡攱㤸攰扣攸㜳扢㍣愹㌸攷㠸㠲㝡㠲ㅢ㐰晣㡤㈴ㄳ戶㙦摥扥愶㕥㠷㈸㙤〲㔱敡㌱㐷㐵㝣晤搰㠷㌷㑥㕤搳㝣昵〳㕦㍦扢昵㤲㙢慦㔲㥣戱㐴挵ㅥ〴敦〹攲㥦㈰㠴㉡敡昴㕥㤴㑥〴㔱敡㈱㐷挵昰ㅢ㡡慥㝡攳慤㕢㘶㕥戴攷㜵㕦摦㌱昷晥㠳ㄵ攷㍢㔱㌱㠹攰挹㈰晥㘶愶㌰㐷㡣㥦〶㜷㈴昵ㄴ戲晢㠰㈸㜵㡦愳㘵慢改て慤㥣㍢㘲攵㡣愳㐷㐶㡦㍦昷挰ㄱ㑤㡡ㅤ㐵戴㑣㈳㜸㍡㠸㝦〶〸㥣㔱ㄳ搲晢㔲戶ㅦ㠸㔲户㌹ち㠶搶㉡晦慥㍢㍤㌳晢㥣ㄹㅤ昷ㅥ晣㝤昳收㡡㤳慤㈸㤸㐵昰㙣㄰晦ㅣ㤰攰愲㜰捡㑡㔴戶㠴㌱㝢㠶㜹〸搰㜳㤹扦㍦㠸㔲㌷㍡捡慥慢晡㜲捣昸收て愷摦㜱挳挴㜳㍥㕡昰挹〷㡡㤳戶㈸㙢㈱㜸㍥㠸㝦〱㐸㌹㝢捡搴㐴㔸㡥㈵㝡㈱昳ㄶ㠱㈸㜵戵愳愸晡晡㌷㑥晦攷㐱㌷㑣晥搵㉤愷晡㡡㕦㤸晤愲攲挴㉦㡡づ㈰昸㐰㄰晦㘲㄰挶戸㔱ㅦ㐴搹挱㈰㑡㕤敥㈸ㄸ戸捤㙤捦㕢〷㔴捦戸昲㤵㡤㐷摣㝡搱晡㍢ㄵてㅡ愲愰㤵攰㐳㐰晣㘱㤰㠱昳扡愲换㉡ㄷ㜶戵㜷㜷㔸㍡挲慣㈸㠸㔲ㄷ㍡㝡㜴昹㠶扤て㍡㉢摣㝣敤㔳ㅢ㔲て捦㤹㝤㠰攲㜱㐷昴㔸〴挷㐱晣㑢㐸愴慦㌴敡愵㤴戶㠱㈸㜵戶愳攲户ㄷ摣戱昳挵㝢扥㍡攷㤴敦捦戹昹挶㝢摦扡㐹昱愸㈵㉡㌸㘰㜵㍢㠸扦㠳㐴㔴搴敡㑥㑡扢㐰㤴㍡捤㔱㤱ㄸ戹换攵て㍦昰敡攴㙢㜷㔸昳昱㠱㝦㕥搸愵㜸捣ㄳㄵ㠷ㄱ㥣〰昱㈷㐹㐴㐵㠳㑥㔱摡つ愲搴㐹㡥㡡扢㙥晣晥愲愷㌷㈴㘶摣晦捡ぢ愳晥戶敤㕤换捡㔷㈲㝢㝦㘷㔶㥡㤲〸慦挴搴㥥㍥㙡搴㡣慢攲摦愶て㤷㌸㕡挶敢攳㡤昱敡敡㔸㝤㔵戸㌶㕣捡㜹敤㍦㤹愴换攳㡢摡㍡㘳㕤㉢㘵搶㉥㡦㑦㙤㙢㐷㌷ㄳ愶㈲㡥㝦昶㤱㐷昸㐱昱㝤㔶攱㤰ㅤ㜵㈶昸㜸戳㤵㐸攱㔰㤷㕡㥤㥥昵㝦㌶㌹㥣戴搲散ㄸ㐷昷攴慥敥捥㔸㜲㘴晥捣㤶ㄴ㍡昶㔶搹㜹㘹㈵㌹挵㕡㜰ㄸ戴㤲㘲搲愸散㘲ぢ挳敤摤搶愴㔵㙤㜶昶搶㔹搹㌸㈰㜶㐵ち攷㑥㑤㔸㠷戹戹㌹ㄶ㑤挲㘰㔹㈱扡㜳㕡㘹㘷搹㜶㔵㌶㉦敤㑡㕡㥤㘲摥㤸㡥戹㙤搱㘵㔶愲挵攲戲捤㡡㐹㔳㠷㌱换㌹㉡㡦㤹搳㠹㠶攲㌸ㅢ摢搶㉢愵愳慤捥㤸ㄵ㠳扤换攱攵搵昳挳㤱㜶㙢㜸〶挴慥ㄳㄹ㕢㘶㠸愷㜶㐵扢㤳捤㕤㥤愹㐴㔷㝢㘶捥愴搸㡡㌰㔶〲戱㔹㕤㌱慢㐴㕥㍥㥢㉡㕦㜱戱㔲扥㥤昳ㅤ㔲愹㍢挹㠳慥愷㤳昰搰摥㍢搸搳㠹〸捥㝢戰㜶㌵㈳攱改㘴挴敦搲慢㈵ㄹ㥤㄰攸慡㕥搱㜹㍡㈹慢搸㈲㜳攰㡤㥢㠷昸㈰づ敤ㄶ㐷㘵搱昶㠵㔵愶晢攵㈶㉣昵㐴㠵慢㜴愲㝢㜱㥡愸㜵晢㕥晦㠲㡢㡡㌶㜷㕡扦捦ち慣昷愶㠷㍢㘳敤㔶愲搷㜳っ㐵㡢昴㉡㤲搵㈴㠷㤳晣㤲攴〸㤰搲㘳㌰挷ㄵ昴㈸㔷㍢㙡㤵㕡㕤扡戲㉤㤶㕡敡㕦㙡戵㉤㔹㥡㠲っ攷㈶㘵㘵㜴昷㝣㥣攲散㡦ㄳ㤳㐷昱㜹ㄳ㘹㥦㍥㡡㘴つ㐹て㐸㈰攰昳慦挵㝦㥦㍦愰㡦收扦㘳㐰㉡捣㠲户搲敥㤹〱㔵捡挵摣㝦扥攴㐴愵㍥㉤㉢㕣㥣㠲㈴㑢㍢愰㌷㔹㕣㥣捦ㅢ搳挳挹愵㈹づ挴㕥㌳㘵㜱㜹㉣㤵ㅥ〷㔲㝥㍣挸散改㔶㍢㠶昱㝦敢散愵㤴换搴㑤慥㤲㜹㠴ㅡ摥搱戲扡㌳扡㌴搱搵㠹搳挲㈹攱㔴㜸㔲ㄴ愷〲㐹ㄵ昶㜷捣散㙡敥㑥昹㍢愶户攱㕦㜹挷㍣㙢戹ㄵ㑥㌵㘳㥡㑥つ敡㤸㠹搳〸㤹㐷㘷挴㔶㤵㜶搸㘷〰㔳慣㘴㔴昳㔴㘱〶愶愵㔵㝥愴㌰捦㤶㜷㜰愲戱㔶愵愸㝡㐰挷摣㌰㑥㌵㔲ㅡ愰㌱㔲捡㑥戱攴㈰㤱㤹搲〱㠷㠳㠶愰㈴㍤㕡〶㡡挰搶攴㘳捦挱ㄱㄴ㐷摡ㄲ㠷㘶㡦愰〵愹戶昶攴㌸挷扤攳愶㜴攱㔴搲㤲ㄳ㘳扡摤敦㐷〷昳昷ㅡ慣散㠱捥㜳㡤㌹搱㠸慤ㄶ愶㘰搹搷扤㥣攷ㅢ晦㉤㍤搴攵搳㈷㠰㕣昲搹戵㝢散㜰搱扡ㅦ㥣晦㙢㌰㠴攴愵㜹㍡愲搹摦挹攲㥦扣昴㐹昸ㄷ攸㉤慦㤴攷㉤㜹㘷摡〲愷㐵愵挰㤷㜷愰戵昳ㄳ㤶㥣攷㤵〹戳㝡戹㌵愸㘳㔱㔷㘲㔹愴慢㙢ㄹ㠳㍦㔸戸攴㔲换㑡昱攴㘹愰㜳慥挸戴㔲慡戸㌸攳㉣挹㜳㤶挵搳㉥晦㙦㐰〶㑤㙡㙦慦㌴ㅡ㤳晥㔳㈱㉡挶ㄱ挵㝦ㅡㄲ扢㔵㠵挶㔵捥㤹㌶㘳㙥敢搴㌶慢㍤㌶挵㕡搱扡㑦戴ぢ扤慢㜲攷㥡慡搶㔹攱挴攱㕤慤㌵㔵㌵戵扢㡣㕢搵㥥散㔰㕤㜰〹捦㠸收〵㝦㝢摤攸攴愳戳㝦㝤晥㌶ㅢㅦ㡦㍥昹㤴敡㜴㌲㜲捥戵㜸㡡挵㈵㤱晥㉤挹㤹㈴㘷㤱㥣㑤㜲づ㠸㕡㡡愲㥣挰㉥㐵㐷扢ㄹ㥦㍢戰慥㍢㕡㘶㠵昳㠸㌹㥦攴〲㄰㑣㐳ㄲㄶ捣㐲ㄷ㔱挶㔹㈸愰ㄴ㑦摦㌸昳攸㑢㐸㉥〵㔱㤵㈰ㅣ愳㍥㝤ㄹ㐸挱㐰㡦㈶㈲㈷搰扦㠳㌴愰㝢挹㔳摢〰挱㘰㙢㍡㔷搳㥤㥡慥㔴ぢㅣㅦ攴㌸㘷扥㤳㤱㜳ㅥ戹ㅤ㡡㠹㜳㙥愰㤲ㅢ㐹搶㤱摣㐴㜲㌳㠸㥡敤㌸㘷㘷㡣挵晤攰㤴昴ㅣ㝤㉢㌱户㤱摣づ攲㜱捥㥤㤴㌹捥搹ㅥ㘹㜱捥摤ㄴ摥〳愲㜶〴戱㥤㜳㉦㔲〵㥤戳〳ぢ攴㌸攷〱㐸〳扡㤷㍣戵ㄳ㄰昹㥣戳㐷㈱攷散敥㘴攴㥣ㅡ昳㡣㔸㥣昳㈷㥡昲㌸挹ㄳ㈴㑦㤲㍣〵愲敡ㅣ攷散〳㈶愸扣㍤攷ㄹ㘲㥥㈵㔹て攲㜱捥〶捡ㅣ攷散㡡戴㌸攷㜹ち㕦〰㔱㍣摢戶㥤昳㈲㔲〵㥤㌳㠶〵㜲㥣昳㌲愴〱摤㑢㥥摡つ㠸㝣捥搹愶㤰㜳㉡㥤㡣㥣㔳晥昱搰㈴捥昹㕦㥡昲㈶挹㕢㈴㙦㤳扣〳愲戶㉡攸㥣昷㠸㜹㥦攴〳㄰㡦㜳㍥愴捣㜱㑥ㄵ搲攲㥣㡦㈹晣〷㠸攲㤵〴摢㌹㥦㈰㔵搰㌹搵㉣㤰攳㥣㝦㐲ㅡ搰扤攴愹㕡㈰昲㌹㘷㐰㈱攷昸㡤㜳戲㉦㘷搴㐳㤳㌸攷ㅢ㥡昲㉤挹㜷㈴摦㤳㜰㑡㔷㥣摢㌹攷㝣㔱っづ慦㤱昸㍦㑣收ㅣㅥ攸㜴ㄱ㐹㌱㠸挷㌹愵㤴㌹捥攱ㄵㄲ㜱捥〰ち换㐰㔴〸㈲摢㌹ㅡ㙣㐱攷㌴〲㤶敢㥣㜲ㄴ〹攸㕥昲㔴ㄳ㡤㘴搹慣㌹攷攳敦ぢ㑣挸ㅦ㌹ㄹ㌹ㄷ㙡昶㠰ㄶ㜱捥㌰摡㍥㥣㘴〴挹ㄶ㈴㕢㠲愸㜷㔱㤴捥㜹〶っ㝤㌲づ㘴㠸㌸㘷㈴㌱㍦㈳搹ㅡ挴攳㥣搱㤴㌹捥攱戵ㅦ㜱捥㌶ㄴ㙥ぢ愲昶㠲挸㜶捥㜶㘰ぢ㍡㘷〲㘰戹捥搹ㄱ㐵〲扡㤷㍣㌵ㄱ攵昲㌹攷昹㐲捥昹戳㤳㤱㜳〹㙡ㄲ㌴㠹㜳挶愳㔲㕤㐵㔲㑤㔲㐳㔲ぢ愲㥥㜶㥣挳ぢ㑢攷攲㤳㍥㕡搵ㄳ搳㐰搲〸攲㜱㑥ㄳ㘵㡥㜳㈶愳㠸㌸㘷てち昷〴㔱㔳㈰戲㥤㌳〱㙣㐱攷㌴〳㤶敢㥣扤㔱㈴愰㝢挹㔳㥣ㅣ昳㌹攷敥㐲捥戹换挹挸戹戲㌶つ㥡挴㌹㌳㘸晢扥㈴晢㤱捣㈴㤹〵愲㙥㜱㥣昳〲㤸ㄱ攸㌱㍢攱昳㈹搲㍥㍤㠷㤸戹㈴晢㠳㜸㥣搳〲搶捦㌳㤰㠰㥣㠲㔵捥挷晡〷㐷㜵扡㔷晣戴㠰㘵ㄶ㠲愸㝤㈱戲晤戴〸㙣㐱㍦捤㘰㜵㙢㐱搰㠳㌹搶攵愵て㐴㤱㠰敥㈵㑦敤〷㘰㍥㍦㕤㔲挸㑦ㄷ㍢ㄹ㌹ㄷ㄰㘷㐱㤳昸㈹㡡㑡㜵㡣挴㈲㠹㤳㉣〱㔱攷㍡㝥㘲㙣敥挳㈷摤㠹摡㠸㌹㤴㘴ㄹ㠸挷㑦ㅤ㤴㌹㥤㘸㌶㡡㠸㜳扡㈸㕣づ愲收㐲㘴㍢攷㌰戰〵㥤㌳〷戰㕣攷愴㔰㈴愰㝢挹㔳晢愳㕣㍥攷ㅣ㔷挸㌹挷㍡ㄹ㌹ㄷ㐴㕢愰㐹㥣㜳㈴㙤㍦㡡㘴つ㐹て挹㕡㄰㜵㤴攳㥣ㅢ挰㥣㡥㑦㝡挹㜳っ㌱挷㤲ㅣ〷攲㜱捥〹㤴㌹捥㤹㡦ち挴㌹㈷㔲㜸ㄲ㠸攲昵㔵摢㌹㈷㠳㉤攸㥣〵㠰攵㍡攷㌷㈸ㄲ搰扤攴愹㐵㈸㤷捦㌹换ち㌹攷㔰㈷㈳攷㈲敦〱搰㈴捥㌹㠷戶㥦㑢㜲ㅥ挹昹㈴ㄷ㠰愸㤸攳㥣㄰㤸㤷昱㐹㍢攷㈲㘲㉥㈶戹〴挴攳㥣换㈸㜳㥣㜳㈰㉡㄰攷㕣㐱攱敦㐰搴㐱㄰搹捥戹ㄲ㙣㐱攷㉣〶㉣搷㌹㔷愳㐸㐰昷㤲愷づ㐶戹㝣捥搹扦㤰㜳收㍡ㄹ㌹ㄷ戰㕢愱㐹㥣㜳㌳㙤扦㠵攴㔶㤲摢㐸㙥〷㔱晢㍡捥攱戰㙡㠷㈰㍤慣敥㈴收㉥㤲扢㐱㍣捥戹㤷㌲挷㌹㠷愰㤸㌸攷㝥ちㅦ〰㔱ㄱ㠸㙣攷㍣〸戶愰㜳挲㠰攵㍡攷ㄱㄴ〹攸㕥昲㔴ㄴ攵昲㌹愷戱㤰㜳ㅡ㥣㡣㥣慢昲ㄶ㌴㠹㜳㥥㐲愵晡㘹㤲㘷㐸㥥㈵㔹て愲慡ㅣ攷㤴〲㌹ㅣ昳昲㐷㄰晥〳ㅦ㥦摥㐰捣㥦㐹㥥〷昱㌸攷㐵戰晥晦愱㉣㘳㙥收㌵㝦昱搳㑢㉣挳㕥愸㤶㐲㘴晢改ㄵ戰〵晤戴㠴搵慤〵挹㤸㥢晦㠲㈲〱摤㑢㥥㙡㐳㤱㝣㝥摡扡㤰㥦㝥收㘴攴摣㝡㔸〶㑤攲愷㜷㔰愹㝥㤷攴㍤㤲昷㐹㍥〰㔱挳㍤㝥ㅡっ㌴㝤㌴〸晥昲改て㠹愱摢昴挷㈰ㅥ㍦㝤〲搶捦攳摣㠰㘹㔶愷㠵㥢敡㌸㠰昱慥㠶㌸改㌳ㄶ昸㈷㠸敡㠴挸㜶搲攷㘰ぢ㍡愹㠳㜵慤〵挹㜰搲ㄷ㈸ㄲ搰扤攴愹㉥ㄴ挹攷愴攲㐲㑥㉡㜲㌲㜲㙥慥ㅣ〶㑤攲愴ㅦ㔰愹收ㅡ㔰㉢㤲㈲㤲㘲㄰昵敤㜷昶ㄲ昱换㘲㥦㙦㜳〸㐶攳晦㤷〰㘳㌷〳㌱㝥㤲〱㈰ㅥ㈷㜱ㅦ㠴㍦〰攲㜱ㄲ敦摢㠸㤳〶戲㐰㌹㠸㑡㐱㘴㍢㠹㑥㉦攸愴㈴敢捡㜱㔲㄰㐵〲扡㤷㍣搵㡤㜲昹㥣昴〱ㅡ㤴昷挲挶晢㑥㐶昶敤愳搲㔵搰㤴㝤㌹㑣敥㠲扢ㄷ搶㍤㤷散搹㤱晣昱〵㥤㙤愹攴挰昸愴敥㔴搷搴戶搴㤴㘴慡㍣づ㠲愴ㄴ搹㑡〶㤹愷搰㤸昸挲㌶㙢㈵ㄷ㐴愳㜳戳戰㐱愰戹㍢㤹敡㤲㉢㝤愳㜲昳愷㜴捤敥㑡㑤㘹㑢㉥㙦て慦摥㍥㑦戶㥤戳㘸愹搵㠹㥢㈲〹摣ㅢ搹ㄴ愸㙢昹㜲㉢㤶挷挶㤶慥敥㐴搴㥡㌱攵愷㜰㕢㐵搹㤷㉣㝤戸㉡㠶昳㌸戵㐳攱摢〸ㅥ扦て㐵㙣㡡㜰㈵㑤晤戸慢昲晥㉤搹㜷ㄷ挷㜰ㄳ愵㈳摣㝥戰㑦㙦〵㥥㔷㑤㔵㈰愰㐷戲㐳〶㝣愵慢㌷搹㔹㍣户㙣〶〲ㅣ㠸㈳挰戶㙣㤰㜳㑦㜰㐶㘷戲㉤㘶〵ㅣ㙥㔶㕢攷㘰㈷㌹愷㍢㤵㤱ㄳ㕥戵戹㤳㠳ぢ㝦㜳㍡搱〹愲攱㐴散愷㄰ㅦ㌴っ㉦㍢㌸捡㡦扦ㅦ攷㜲㕢つ㑥㉤㌸㍦昱昵改ㅡっ晢㥦㌹扥㍥ㅣ㠲扣搷㘱摤㠱㠹㠴攷㡥㔷〵昰㠳攸㙥㔷㕣㐶㙥㤶ㄵ敥㤴㈸戴愴㜸㔹㜴戰㈰㉣㜴㜵散搰㘹户㌶捦㘴攵㜲扣㡥㑦㡡㈴㜱㈳㍤㘵つ㜶㔳㌲攴㜵㝣㥥搵㡥㍤〳㉢慣㜲㌷㌵㌷㥡挲晤㕤㔷ㅦ敦㑣晥㜴㈲〴㡦㤴㌸㔱㔲ㄲ㈷㝦㉦㌳㕤㘶㈳㌸㥡㝥㘴㔴ㄱ捣戸扣晥㌱㔱㥤㝦ㅥ㕦搷㑣昴㤹㐴㠰㉦㕦改㉦愱扥敦户㈷㌹㤲㌶㌷㜷捤敤戹㑥愶戱㜲㈳攳㥤挱㐱㜱㤹〱㜱晢㥦㥢戳㉡㌸㜴摡戱㜳㉥搵ㄶつ户户慦ㅥㅣ㥦搱ㄹ㙤敦㡥㔹㌳挳ㄱ慢摤捣摥㕤㠹㡥㥦㐸扣㘴㝦愲ㅤ慢㕥晣攲摣戳㥤㠱㑤㡡收㘶攸㡦㥥昰㜰昱㠷㌳ㅥて扥搰㠱㑢攵捥戸㍢〲㠲晦昸㕥㜰〰㠵㠶愴㜷㌲挸㥥㌷㑣㙤㌹㈲捥㘹扣㉦收摥㑥㤶ㄱ攷㠱捤散㥡㠹㡤㉣㔶捣㈳㥡摥㘶㡢㝥㌲攳㑡挲攴昷晢㝦散愱〶扥挲敢㔳攷慡〶㈶㍤㥢㥦挸㘳っ〷挷㔱攰戳敦愸㜹㤶㈴戲ち㤰㐹㌰〸㘰〵㘷㌰㝢〹㌱扦㉤搵㙥つ㡣㑢扥愴换㌸㈴攸捤〱昱昹㑢㜱㜷㙡捡愰昸戴㐴㕢慣扤慤搳攲㜲㘴愸つ㥤㘹㉤挱㈶㠹戹摣愷㠶敤㔰㠳攲昳ㄳ攱捥攴㜲摥㠴㡣慥ㅥ㤲挱㐹戰㑡攳㤳摢㍡㌱㠰散㍡㤹慥㠸户㉣敤㕡㠹㑤戵摤ㅤ㥤搳挲换㤳㍦㠹㐰㌹㠷ㄴ㜸挸ㅥ㔵㐵慡愸㐸㤵ㄵ㤵晤搸㘳㤵扦ㄲ攳㘳挴㥣戶昶㑡散㜱攸挲捥攰搵㤵㔳戱㠷愷㉢㌱戶㜲摥㔴っ㈱㥦㡦搷搵㡢㐸㥣㌰㌲慥扤㡣㘵㐶搰搹扥挲戱㑣㝢㌳㜶㥡收扤㜷敥敥㔶收晣慣户㠱㐹攵摢㠲散㍢㙤挱㡣昴愶愷晦搷㍥攱搲ㅥ㘸敥攵㌰㈱扤换摤㘱㌱っ攰挱㜶㌷愲㡣扤㑡㑢㙦㈰㤷摤㌵〳㜱挱戰㤷攲挸㑡㌸㤳㔳㜱敦扢ㅣ㤳〲愶㘵散ㄹ挰㝣㍣搸㘶戸攸挳㑡㉣改攴㌵㜷㜵㜴㠴搹敤戸㌵戶〵㜳扡㔵㈶㉢㜰捣㌲㍡づ㈲㝤搳ㄱ㠵㔷㐱ㄴ㕥㈵㈲ㅣ慡戹㙢㑡搲搴搵戵㈴㥣㘸㑢㉤敤㘸㡢㤶㤱攱捥愶㥦㐴㝦㐵ㄷ挲扤㐱昷㈵㥤ㄶ换搹散晤〹昶㉤㜵㠴㝢ㅣ捥㌰攸㍡㠶ㅦ扤扡㐸㡥敦敡㐷㙥㐹挱ㄱ挰扦ㅤㄴ愵搷扦㝡㝢戰㍣〹攴挱挱戶捡戳㑣㠳㐴愶㉡㜵㌴〱昸攸ㅤ〰㘵㠲㥦㤲㘳㐱㝡摤㉦㌰〰㠰挰捣慥㜰捣ㅥ㐲〳㥣ㅤ敥㘵〸㌲㈷㥥㐴㤰㝢㐴㥡戱挱ちㅢ户㔶㘰戵㥣㈸愳愰〵扢㉦㑡戸扢挴㙦㐷㤳㐳摢㔷㕡㍡戰㉣㕦㕤㌳㡣慥敤㥤㝢改摥㑤晦㌳㜲昴㝦戴㝦㘸㈲㙤て〴戸搸搰㍢愲㌹㥡㤷扤搵㜱㘰搹㥥㉣挰捥〴散〲㔲㝡〲㌲戳挷㑢挱晤ㄴ㌸扦昶㤵㜶㜰㥦㐷㔹〷㥢㠳㐵㠹ㅦ扢㍦戰㕦〴㉥昱て㉣攳㝥ぢ扤㉢搴㍥昳昴搳扣㔵攲㔳㈷㠱㤸晡㜹㥥敤ㄸ㌸㠶昵㡦〵㔱扦㠵㤰㈷戱晥摤㈸昲㥣挰昰㝥㡦㌹㠱ㄹ㡦㌴づ㉤敡㑣㠸㜸ㄲ㘳㕥㥥㤸㘲改㕤攵愰捥㐲㌶㤷摦㡣收愶㤶㜲㡡㍢〰戸㥣挳㉤ㄶㅡ戰㤶挵戸㥥愸㜵㤴㥤〳〱搷ㄴ昶慢攰㔱㑦㥤〷〰㡦㝣㍥㝦ㅤ㑡㡥攰捥摡〲㌳慤摣挱昴捣戴敡㝣㤴攲㙣慢敢㔱㔲㕤㠰㔴て㍥散搴つ㌴挹昵㠹㙥〴扢改㑥㝤ㄱ换攲愳㐳㔴攷㌰敡ㄲ㈴㑣㈰㈸㜴〲搱挴ㅡ㜶㈷昰搲晣㠰㍤〸搸㤳㠰换〰㘰㙦搱ㄳ挰戹〱晥㥤愷搸㜲愴ㅤ扤㝢戱搸㐴ㄶ扢〱㐲〹昰摥ㄴ戹㡤昱改㐹攰㑤㠰㈷㈳捤〰摦〸㔱攱〰㌷㍢愸㜵㐰昵㌹挰㌷〱㙣〷㜸ちつ㔸㉢㤵㈲挰㔳ㅤ㘵㌷㐳搰㤷〰摦ち㥣〴㔸㌶ㅥ挰昲㥣㐳愶扡つ㄰〹攴㜴攸㔶户㠳敢挱㠷㠱㥣挱慡摤戶敢㝤挱㙥㍡㤰㜷戲㉣㍥㥡㕢㉥㤸㤰捦摤㐸㤸㐰㈲㘹ㅣ㍥㤳㌵捣㈲昰㥥晣㠰搹〴捣㈱攰㕥〰㈴㤰㜳挱戹㠱㝣挰㔳㡣㤷摥㥣㐰㜲㑢㥥㥥挷㘲㝦㠲㔰〲搹㐲㤱摢ㄸ散㈷〷㙦〲戹〰㘹〶昲㜱㠸ち〷㜲愱㠳㝡〲愸㍥〷昲㐹㠰敤㐰㉥愲〱㙢愵㔲〴昲〰㐷搹㔳㄰昴㈵㤰捦〰㘷〷㜲っ㔲戰摣愷戶挴㍦敦㠸㝣ㄶ扣〴㜲㌱㜴慢昵攰㝡昰㘱㈰て㘲搵㙥摢昵挱㘰㌷ㅤ挸つ㉣㡢㡦晥〵搵㌹㡣㝡ㅥ㠹㍣㠱㙣㘵つ㠷㄰昸㐲㝥㐰㤸㠰〸〱㉦〲㈰㠱㡣㠲㜳〳昹戲愷㔸ち㘹㈷㤰㌱ㄶ戳㔸散㝦㈱㤴㐰挶挱㤵㉤㑥㐴挶㈷㔳ㄱ㕣㌲㕡〲搶挴㜱㈹搲㡣攳㥢㄰ㄵ㡥㘳㥢㠳㝡ぢ愸㍥挷昱㙤㠰敤㌸ㅥ㡡攲改㌸戶㍢捡摥㐱㝥㕦攲昸ㅥ㜰昶㡣摢㠱㤲挳㌹攳摡㕦㈰㜰㔷戶㤳㤷攰㤲㍤挲㥢戵戴㔵敦愳愴㠴户ㄳ〵搵〷攰㝡昰㘱㜸扢㈰㜰㍤愲㤷㠳摢㜴㜴㍦㘴㔱㝣昴㘱搴收㌰敡㘳㈴㑣㜴㜹搸㜴愲㤰〰㐶㈷〹晣㐷㝥㐰㡡㠰㙥〲㍥〱㐰愲扢〲㥣ㅢ摤㝦㝡㡡㜵愵昵慥㘴戱㔵㉣昶つ㠴ㄲ摤搵攰㑡ㄷ㑦㙥㥥㡡搰ㅥ㡥㌴㍤〱㌳昴㉦㤱㘶㘸扦㠵㐸㐲㑢㥢昱㍡攰㈱晢㌲㐷㔳㘴㙦ㅣ㑣㡦㜰㔰摦㈱愷捦愱晤ㅥ㘰㍢戴㐷愲㜸㍡戴㙢ㅣ㘵㍦㈰㍦ㅤ㕡㌰昲㑡㥦㐲搲㍥㥡挶㌵㥢ㅤ摡ㅥ㤴摣㠲愱挵㔲㉡搶㡤㝤敢㤵㍢户㔸㔸㘴㠵㜱敡戲㡢㌴㈹㍢戸摣㌵㈳挱㕤㡢愲慡ㄸ㕣て㙢㔱搸戳㑣㥢㡥〱搹㜴㑣㑢㔱っ㙦摣攷愵ㄲ㈹㡥晦摣㘷㘳㘲ち戹㠹改㜱搴㝢㍣㠱摣㠳㤳〷㜰〲〱扦㈲㐰〳㈰㌱㍤ㄱ㥣ㅢ搳㜲㑦㌱扡挷改㉢㈷戱搸挹㉣㌶っ〰㠹改㈹ㄴ搱ㅤ㑥㕣㝦つㅥ昶㐹㕣㝦㠳㌴㥤㌷ㅣ㘰㙦㕣捤㥡〵㐸挴昵㔴〷㌵〲愸㍥挷㜵ぢ㠰敤戸㥥㐶〳搶戲㔲㉥㤲捥㜰㤴㙤㠹晣㜴㕣㑤㠵改戸搲㌰㥡挶㥤㍢㜶㕣㝦㡢㤲挳收㈴摡㤶戴㜵㘲㤷㈷㕢㌴愳㜳户戹敤攱㈸㙥㈱收㤹㤰戹摢㐷㠲㝡㈶捡愹慤挱昵戰㌹ㄸ戱㘷搱㈰搷㈳晡㙣戰㥢づ敦㘸㈸挰ㅢ㕢㍦愹㡥㡡昸搹〶搴㐴捦㌳㘴捦㘵つ攷ㄱ挸㕤㐴㜹〰攷ㄳ㜰〱〱摢〱㈰攱扤㄰㥣ㅢ㕥㙥ㅤ㌲挵㍣攱扤㠸挵㉥㘶戱昱〰㐸㜸㉦愱挸㍤扡㘰ㅦ㈹㜸㌴㔲㉥攲㕦㠶㌴㝤㔸〵㜰攱ㄹ昹㜲〷㔵つ㔴㥦挳换㝤㐵㜶㜸慦愰〱㙢愵㔲㠴昷㑡㐷㔹㉤昲晢ㄲ摥㝡攰㈴扣戲ㄵ〸㤶攷㑥扤つ㠰㐸㈰慦㠲㙥搵〸慥〷戵㌱㤰㔷戳㙡户敤晡ㅡ戰㥢づ㘴ㄳㄴ攰敤搳搷㔲ㅤㄵ昱挳㕤㑤挶攱攰捤㜸扡㡥㌵㕣㑦㈰㜷㍣攵〱摣㐰挰㡤〴㑣〰㐰〲戹づ㥣ㅢ挸扤㍤挵㍣㐷搶㥢㔸散㘶ㄶ㥢〱㠰〴昲ㄶ㜰〳ㄶ捦㥡搵㌲㝦㌲㘶摦㕢挱挱㌲ㄹ愵户㈱捤㌰㜲攳㔲攱㌰摥敥愰昶〳慡捦㘱㥣〹戰ㅤ挶㍢㔰㍣ㅤ挶扢ㅣ㘵戳㤰摦㤷㌰捥〱捥ㅥ愵㜷愳㘴戹㝤搱㈸㘹㈵㔶㔸戸愷㠹扣散ㄹ㤷ㅢ慡㈴愶昷〰慥昶〷搷㐳慦㘳挶愵ㅢ昴㝤㈰㥢㡥㘴ぢ㡡攱敤搳昷㔳㠹ㄴ挷晦〵㐸㤹㐰㐱㙥㈲昹〰昵㍥㐸攰挲晣㠰㠷〸㜸㤸㠰㐵〰㐸㈴ㅦ〱攷㐶㤲ㅢ戱㡣摥捡戴摥㐷㔹散て㉣ㄶ〵㐰㈲昹㐷㡡摣㙥改搳㡦㠱㌷㐳昲㑦㐸㌳㤶㌱㠰ぢ挷昲㜱〷㘵〱搵攷㔸㜲㤷㤶ㅤ换㈷㘸挰㕡愹ㄴ㐳昲㈹㐷ㄹ㌷㜰昵㈵㤶㙤挰搹㐳㜲づ㔴挰昲摣㈱挹㝤㕥ㄲ扥㘷愰㕢㉤〳搷㈳㐸攵㝦㤶㔵扢㙤搷敢挱㙥㍡㤰ㅤ㔰㠰户㑦㍦㐷㜵㔲㈵晥㜷㈱㘵ㅣ㑥敤捥㈱㙥〳㙢昸㌳㠱摣㍦㤶〷昰㍣〱㉦㄰㜰ㄸ〰ㄲ挸ㄷ挱戹㠱攴㠵㐷㔳慣㍢慤昷㝦㔸散㈵ㄶ㍢ㄲ〰〹攴换攰捡ㄶ㈷愳昱昱搱㌸挶攴㉢㘰㑤ㅣ㕦㐵㥡㜱攴㍥戰挲㜱㝣捤㐱慤〱慡捦㜱散〱搸㡥攳㕦㔰㍣ㅤ挷搷ㅤ㘵㙢㤱摦㤷㌸ㅥ〳㥣ㅤ挷〵㜴ㅦㅤ㥢㍤っ㡦㠵㑣攲昸〶㜴慢攳挰昵〸㔲昹晦㤷㔵愷攳昸㈶搸㑤挷㤱扢搹昰挶㡥㙥慡戳慢昴愹ㄳ㤱㌲晥愶搰㠹攳摢慣攱ㅤ〲戹搵㉤て攰㕤〲摥㈳攰㘴〰㈴㡥敦㠳㜳攳挸晤㙤愶㤸攷散昳〳ㄶ晢㍢㡢㥤〳㠰挴昱㐳㜰〳ㄷ㐷㈲敤攳㍢㍡㄰㑤㠴昲㈳㐸㑣㈸㍦㐶㥡愱㍣ㄷ昰挲愱晣㠷㠳㍡て愸㍥㠷㤲摢摦散㔰㝥㠲攲改㔰㝥收㈸攳捥戸扥㠴昲㈲攰散改昵㥦㈸㔹摣㍣㙤ㅥ慣捦つ㈷㌷搱㐹㌸㍦〷㑡㕤〲慥〷捤攴㤱昲㕦㄰㜸㍤愰㌷㐲戰改㠰㕥〶ㄵ㜸晢昴ㄷ㔴㐸㔵晣㕣〱㙡ㅣ㑦㠱ㄳ搰㉦㠱搱㕦ㄱ昸扢晣㠰慦〹昸㌷〱㔷〲㈰〱晤〶㥣ㅢ㔰敥挹㌳㝡㍤〱晤㤶挵扥㘳戱㥢〱㤰㠰㝥て㡥挷捡捡㡥㕡〴昳〷㜰㈶㤸晣㙥㌵㠳挹㕤㜶㠵㠳愹ㅣ搴慤㐰昵㌹㤸摣慥㘷〷戳〸挵搳挱㉣㜱㤴摤㡥晣扥〴昳㑥攰散㜱ㄹ㠶摤戰㍣昷㘲〲㌷晣㐹㈰晤搰慤敥〶搷㈳㐸攵ㅦ〰㠱㘹戹㉥〳戳改㈰㜲愷㈰摥㜸㌶ぢ㤵㐹㠵昸㝦㍦㔲挶搹搴敤〴㌱〰㡣ㅥ㐸㈰户ㄱ收〱㤴ㄳ㌰㠸㠰〷〱㤰㈰づ〶攷〶㤱㝢〷㑤㌱捦㠲愷㠲挵㠲㉣昶ㄴ〰ㄲ挴捤挰愵ㄷ㍣㐳挰搱ㄵ㌰㐴㙦㡥㌴㠳昸㌴愰ㄲ㐴晣攷换㥣㈵搸摢㈶㠶㍡愸㘷㤰摢攷㈰㜲㕢愱ㅤ挴㘱㈸㥥づ攲〸㐷搹㝡攴昷㈵㠸ㅢ㠰戳㐷攴ㄶ㈸㤹㍥㉤攱捡㈷攳戴㈴㝢捡攵㜶㐵〹敤㤶㈸愷㥥〷搷挳愶㘱攵㐳㝦㘸㝥㥦㘳搳㈱㝤ㄱ挵昰挶㔷ㅡ愸㐴㡡攳晦㑢㐸ㄹ搷㜳㐸㌸㈱摤㥡㝡㐷ㄱ挸ㅤ㡦㜹〰摣〳愷㉢〹㜸〵〰〹改㌶攰摣㤰㜲㥢愳㈹㜶㘴㕡敦戶㉣戶ㅤ㡢扤〳㠰㠴㜴㝢㜰收晡挱づ㐸挳㌶〹攸㡥㐸㌳愰摣戶㔸㜸㔴敥攴愰戸慦戱捦〱攵晥㐷㍢愰㍢愳㜸㍡愰扢㍡捡㍥㐰㝥㕦〲晡㈱㜰㜶㐰挷愰攴㤰改慢㘳㠹㉥散㍥㡡㜴㜵㍡㤷㠸愴㌱搹搱攴愶㑡㠹收㔸ㄴ㔲ㅦ㠳敢㐱慢搱㘸㑤㔷攸㜱㈰㥢㡥收㈷㈸㠶户㑦㡦愷ㄲ㈹㡥晦㥦㈱㘵扣敥㠹㘶ㄵ昵㔶ㄳ挸慤㤹㜹〰㌵〴搴ㄲ昰㌹〰ㄲ捤㍡㜰㙥㌴戹ㅦ搳ㄴ摢〶㤵㌹扤愴㥥挵ㅡ㔸散〷〰㈴㥡㡤攰㑣㌴㐳㐸攳㌲㠹㐴戳〹㘹㐶搳〷戳ちて捦摤ㅤ㤴〲慡捦搱㉣〲搸㡥收ㅥ㈸㥥㡥收〴㐷㔹㌱昲晢ㄲ㑤㍡摤㡥收㕥㈸㈹て㉤㤹㘷愵捦㐷㜲慥摥晡㠱㤷㌸㑥〴㕣つ〰搷〳搷愰㠹㥡㑥搰㤳㐰㌶ㅤ㐷㡤㘲昰ㅤ㥥〰㐳㈵㔲ㅣ晦〷㐲㙡晣㡤愴昱㜷㌳昵㑥㈱戰㍣㍦㘰ㅦ〲愶ㄲ㌰〸〰㠹攳㌴㜰㙥ㅣ㠳㥥㘲㡣㠲ㄳ挷改㉣㌶〳愴㜴㉢〰晡戶㤱㜰〰㡡〷㍤扢㍢㜹㔳㍢戹㔹㝣晦敥㜰㍢㥥攴㌳〷ㅢ㡢㔲ㄴ晤ㄴ敥ㅡ㤷搸摢扢戲㥦㔳㤲昹愸㈷散㤱㤴㈶㉣㍥㜸ㄸ㕡㤶敤㠳㑣慣搳戶㈴㤱㍦㙥晢㔷愰昴㡥㙦㝦昸愱㙦戵戰㔷っ㔸挱慦挰户戶晡捡㔸㈷㈲㠵㑢㙣晢攱ㅦ㠷搴㐸挴㑣扡搰㑣捡㥤㤷晡㤹㤱捥昲㐸㑢户㠶戴㤷摤ㄶ㔹㍢愷愸㜵昳昴ㅤ㘱敥〲ㄸ搳捥㠷挰攵扢㤵㥣戹改㘲㌶㙡㔵愳㡤つㄹ㤶㙤㘳愴㜳㠹㐱ㄵ㌴戰㜴㝢㐸㌷㜹ㅢ扦〴㐸散〹挵つ晤㤶搴敡㜶㙣愲㘰㤲㕦ㅢ户㔳扣㔷㙣㘷挳攸慥㐴〹㜶挸㘶㍦㈸挲㉤扢ㄲ慡〶づ捤㝡㌰㠷ㄴ㘳捥戶戰愶㜴ㅤ㐲㔴戰㝣㘶㔴㔸㠶㉦晦㍣㌴㘶攸慣戶㈸㥥攰搴ㄵ㑦攱〱㑡㥤㜸㐸ㄶㅥ㈱㠳慦ㄱ㔴㑤㉡扤〱ㅡ昳搶挹㠶㤵㜴昲昱㘷ㄲ攸挰戲捥慥㤵㥤㘲㑤㘹㤲㑦慣㤱昸づㄸ挰㙡戸㠹㑣㕥摢挱㜹挱ㅤ㘰㈸ぢ敢昹愸㜸㔰㜱㜰㐷挷戹晥〵攰㜷㘸㥥摣㍣慦戵慡愶扥慡慡㉥ㅡ慢慦つ㌷搴㐵㈲搵㤱㜰㍣㕥搵㠸㍢搶愱摡㜰㥤㔵ㅤて敥攴㤴搱ぢ㔱㈶戸戳攱ㄶ㤱摢挵㜰捣慢搸ㄵㅣ敢昷摢ㄶ晣昷㘸㜰っ㌴愳〶㥦晦〰搰挱捤㤳㕢㍤ㅢ㝦晣〷㐲戶ㄹ㘴㤹捦㡤昳㉦㠶戸ㅣ㘲搹攷㌰て㡦㡥〹㡥㜵戴搸捦㕢㍢ㄸ昹昲搰㌵㌵づ㜲㑥㙤〱㜵ㄹ㈲挰愱㠷㉣っ愱㐳昰㡦㐳㘸㍣昲挴挵㘱〸㤰㤶㡦慡㌲㔲敦㄰㔲搵㤰㜲ㄸ改㈸戰慡搶㘰㌲扡㜸扤㤱㕡挴㐰ㅦ㐳愴ㅡ㈱㘵㌷㔷攷挳〰㜶㉥〸㜱搳ㄳ㄰㜶づ㜵㉥㈴散㈰㤹〱づ愱㠰〴戸つ㌸〴戸挹㔱敤㍦ㄴ扣ㅤ攰晡挶晡慡㜸㌴搶㔸ㄵ慦㡦搵㠵㄰㘶慢戱扡㍡ㄴ㙦〸㈳㔹ㅤ戲ㅡ㠳扢㍢㘵昴㌲㤴〹敥㘱戸㜶㜲㝢ㅡ㡥㜹ㄵㄳ挰昵㑦㠰昷㠲㘶搴攰搳っ戰㘶㐴㌵攳ㄷ㥣㘸攴㕢㌳㌳㐱昹㈸愴搴㈴挸敤㤰㥤〲㥦愴㐳搶つ〴㐳㌶ㄹ昹ㄲ戲っ挷㌷ㅢ㘹㐶挸愶㐰㉡㈱㕢㠵挲㙡慡挱㘴㤴㥣㙥愴㠷ㄳ〳ぢ昰て㤷㑦㈱㤵㤰ㅤ〷㈳㜲㐳㜶㑣摥㤰敤㠷㐲ㄲ戲愳愰〳㈱㥢〹㥥慦攰㉣㤳㤸㙤ㄲ㜳㥣㐴挵㕣㈴晡挷昱晢㐳㌳摢㤲敤昸㜹㐶扥ㅤ㌳㡦〱㐴㥥敤愷收㐳㙥㍢晥㤷ㄹ㡥㍦ㅥ〸㍡㝥〱昲挵昱㈷㐰㠰戴㍤㔶ㄶㅡ改慦㈰㌵㉦戵〸㔲㜱晣㠹㤰慡〳っ收㈴㉦㘶戱㤱㥥㑣っ㡡捡㔸㌹ㄸ㔲㜱㝣捡攳㜸晦慦〱㈹㌸扢慡㐴摥㘸晣〲㥡㈴ㅡ愷愲㌰愲搱ち㥥慦攰㈱㈶ㄱ㌶㠹㠸㤳愸㠸㈲搱㍦搱㠸㐱㌳㕢敦㍦つ㌴㝢㥥㍢ㅤ戲㍣昳摣ㄹ㄰㘷捥㜳㤶愳㐵攳摥㈴㥥㌳㠲㝣㜹㥡愲㕡〲戹ㅤ扢㐳㌳㘲㜷づ㄰㡣摤㔲攴㑢散捥㠵〰㘹㍢㜶㙤㐶㥡㌱㘸づ㠵㔴㘲㜷㍥戰慡摤㘰㌲〶㑤愷㤱㕥㐸っ昴㐹散㤶㐳㉡戱㡢㝡㘲㤷㥥攷挲㜹挳㜴ㄸち㐹㤸㉥㠵㉡㠴㈹攱愸昶㕦〶摥㥥攷㥡愲愱㜸㝤戸㉥ㅣ慡㡤㐶敢㙡㉣㉢ㄲ㡤㐷愳㌵㤱㘸愸㈱ㄶ㙢愸ち㐵㠲㐹㘳捥攵㈸ㄳ㑣ㄹ敥ち㜲摤㠶㘳㕥挵ち㜰晤ㄳ攰㤵搰㡣ㅡ㜲㠶摢㉡㈳ㅦ捦捣㙢〰㤱㘷㔷慡挳㈱户㐳戶㈰㈳㘴搷〳挱㤰晤ㄲ昹ㄲ戲ㅢ㈰愰㘲㝥搴ㄱ㐶㝡㈳㔹攷愵㡥㠴㔴㐲戶づ㔲戵㈶㉦㘶慤㤱摥㑣っ㑡昲㔸慥㡥㠱㔴㐲㌶摢ㄳ㌲晦慤㠰ㄴㅥ㙥㌳昳挶昱㔸㘸㤲㌸摥㡥挲㠸攳㜱攰昱昶昹昹晤㔴㍢㡥㔶㔳戸㉡㔲㙢㔵攳㐰㔵㕤㔷摤㔸ㅦ㡡㐷㙢敢㘳㌵搵つ昱㔸慣戱㈱㔶攳扦搳㠵㌶挵戱㘶㘹㘸ち攱㉦㔲ㄷ㙢愸ぢ㐷挲㤱愶㘸扣愶扡愹愶慥㉥ㄴ慤つㅥ敦愸搷㜷愱㡣扥ㅢ㈴㜸㠲ㄱ摤㐳搱扤ㄴ晤捡㠸〸㄰㘸挵㠹㄰昵㑦て㌸〹㥡㔱㡤捦晦〰㘸昶㄰㝦㄰戲㍣㐳晣㈱㠸㌳㠷昸挹㡥ㄶ㕤て㔵晡ㄱ攴换愳㑡搵慦㈱户晢换㥥ㄹ晤攵㡦㐰戰扦晣〶昹搲㕦ㅥ㠳㠰〹晣昳愹㔳㡤㌴愳扦㥣〶愹昴㤷挷㠹㍤㈳㉦收㑣㈳㝤搲搱㈷晤攵㙣㐸愵扦搴㝢晡㡢㘶㝦㤱愵㑣㙤摥慥㜱づち㐹搷㜸ㄶ㌸㜴㡤㜳ㅤ搵晥昵攰㥤戵㙡㌸㕣ㅤ㙥愸㡤㠶ㅢ㄰敦㥡摡㠶㜰㑤㔵戸㍥ㄶ㡡挷㥡㘲戱愶扡㘸㕤昰㍣㘳捥㜳㈸ㄳ㍣摦㜰ㅢ挸㕤㘰㌸收㔵㕣〸慥㝦〲㝣ㄱ㌴愳〶㝣㙢ㅡ㔴㌳愲㥡昱ぢ㕥㙣攴㝢㌰昳㈵捡昷㐴㑡㕤ち戹ㅤ戲㥤㌲㐲昶㉡㄰っ搹㘵挸㤷㤰扤〶〱摥㜶挸㉥㌷搲㡣㈳敡ㄵ㤰㑡挸晥ち愰扡搲㘰㌲㡥愸㔷ㄹ改摦㠸㠱㍥㤹㤵慦㠱㔴㐲㔶改つㄹ㡦愸ㄲ戲㔱㜹㐳㜶㉤ち㐹挸摥〲づ㈱扢づ㍣㕦挱敢㑤攲〶㤳戸搱㐹㔴慣㐳愲㝦ㅣ㝦ㄳ㌴搳㕥捤㠳愷收搱㔲昳搸ㄸ扣搹挸㈷㌱昳㝤捡㈷㈳愵㙥㠵摣㜶晣昰っ挷㝦〸〴ㅤ㝦ㅢ昲挵昱ㄹ㉥扥㍤慦昴づ㐸挵昱ㅦ愳戰扡㉢㉦收ㅥ㈳晤㠴ㄸ㔸㈰㡥扦て㔲㜱㝣搰攳㜸晦㘷㠰ㄴ㥥㕢〷攷㡤挶晤搰㈴搱昸ㅣ㠵ㄱ㡤〷挰攳敤昳晦ぢ扣㍤㠰挲搵㑤㈱慢扡㈶㕡ㅢづ㐷敢㐲㜸㐸㜷㐳㑤㝤扣捥㙡慣㡦搵㐶㘳昱㔰摣扦搱㠵挶㙢㙡㌱㠷搶㌵搶㔵㔵㔹㌸㙤㘸っ㐵㈲つ愱㥡晡愶㜰㙤㜵㔳慣㌶㔴ㄵ㝣搰㔱慦扦㐰ㄹ晤㈵㐸昰㈱㈳晡㡡愲慦㈹㝡搸㠸㕣㔴挵㈳㄰昵㑦て㜸ㄴ㥡㔱愹捦晦㉤㘸昶摣晡ㅤ㘴㜹收搶敦㈱捥㥣㕢晦攰㘸搱搳愰㑡搳愵昲攸㘴昵ㄸ攴㜶㝦昹晥ㅢ敦㌹㐷㌱㄰散㉦㝦㐲扥昴㤷ㄲ〸㤰㤶㡦㝡摣㐸㌳㝡搱ㄳ㤰㑡㝦昱〳慢㥥㌲㤸〱攰捣㑢㍤㘳愴㘵挴㐰捣挷ㄵ愸昵㤰㑡㝦昹ㄲ㐶㤸㜳づ㝦〰㤰挲晤㘵㈳愰戹攷㡥捦㐱ㄳ敢搳攵愰攸㉦ㅢ挰昳ㄵ晣戳㐹㍣㙦ㄲ㉦㌸㠹㡡ㄷ㤱攸㥦搸晤て㌴㑢散〶挱㥡散搸つ㠶㉣㑦散㉡㈰捥㡣摤㑢㡥ㄶ㍤ぢつ搱㥢㈱㕦㥥㕡慤㕥㠱摣㡥摤挷ㄹ戱ㅢち〴㘳昷㉡昲㈵㜶ㄹぢ搸搷㡣㌴㈳㜶㝦㠱㔴㘲㌷〲㠵搵敢〶㤳㔱昲つ㈳摤㤲ㄸ搸挲愶愹㌷㈱㤵搸扤敢㠹㕤㝡改晢㜶摥㌰扤㠵㐲㔰㠲慦ㅡ㠲㈲㑣㙦㍢慡晤愳挰摢挳㍡㔶㔷㘵攱慡つ㠶㜶ㄸ㘳戶㌶搴ㄴ㙥愸て搵搶攰散㍥摣ㄸ慥愹愹〹扥㘳捣ㄹ㡤㌲挱㜷つ㔷㐹敥㍤挳㌱慦攲㝤㜰晤ㄳ攰て愰㤹㕥挸㍥搳晣扢㤱户㌰㜳㐷ㄸ㈱捦〶㔷ㅦ㐱㙥㠷散攵㡣㤰敤〲〴㐳昶㌱昲㜳㐳昶て㈳捤㌸㕢昹〴㔲〹搹㔸ㄴ㔶㥦ㄹ㑣㐶挸㍥㌷搲㜱挴挰ㄶ〹搹㐶㐸㈵㘴ㅢ昲㠶㙣㝤摥㤰㝤㠱㐲㔰㠲㘷㘵㠱㈲㘴㕦㍡慡晤戵攰敤㤰搵搶㐷㙡攲戵㤱慡晡㔸㉣㔲搷㔸ㅦ〹㐵㙡挲搱㜰㝤戸慡㌶㕡㠳ㅦ㥢㠸〴扦㌲收搴愱㑣昰㙢挳搵㤳晢户攱㤸㔷昱つ戸晥〹搹户搰㥣㉦㘴摦戹㜲㌶㜲てㄸ㈱㑦㘱㔷㍦㐰㙥㠷散搱㡣㤰敤〵〴㐳㐶㘵ㄲ戲㠹㄰〰㙢捦㤰捡㐸㌳挲㔱〴愹㠴㙣ㄲ戰㡡㜷挴愵㘴挶㔲挶㙦愴捤挴㐰㥦捣㤰㘵㤰㑡挸敥昳㠶捣㕤捡摣㤳㌷㘴ㅡ㠵愰〴扢㌸㐱ㄱ戲〰㜸扥㠲〳㑤愲摣㈴〶㌹㠹㡡挱㐸昴㡦攳㉢愰㤹戵㘴㉦㘵㠲㐶摥捡捣㤹㌰㔵ㅦ㠲㤴ㅡ〲戹敤昸㕢㌲ㅣ㍦〷〸㍡㝥㜳攴㡢晢㌲ㄶ昸㐳昳㑡㠷㐱㉡㡥摦ㅦ㠵搵㠸扣㤸㉤㡤戴㠵ㄸ㔸㠰㝦戸搵〰愹㌸晥㝡慦攳摤㘵晦戵㜹ㅤ捦晢捤㉣慤ㄷ㠱挲昱㕢㠳㘷搷昰晦ㅣ扣㍤㔶ㅡ挲戵㌸户慦慢㡡㌵搶㔵搷㌵㔵㐷挳搱晡㔰っ㉢晦㕡慢愹扥愶㍡㕥攳㍦㈰つ㙤ち㐷㐲㌸㉢㡣㌵㠴挳㜵搵㔵つ愱敡㠶晡㥡㔰㈸ㄴぢ挷敢㐳ㄱ㉢ㅥㅣ攵愸搷〷愲㡣㕥っㄲㅣ㙤㐴〷㔱㜴㌰㐵㤵㐶㐴㠰㐰㉢戶㠱愸㝦㠲扤㉤㌴攳㥤㜳挲戰㥤㤱㘳㌷㌲㥥㥤㐶㑢㜰㥦挰愷㜸ㅢ摣づ昶昹ㄹ挱㕥〲〴㠳扤㈳昲㈵搸ㄹ㐷㉤摥ち捦㤵敥っ愹〴扢つ㠵搵慥㜹㌱㘳㡤㜴ㄹ㌱戰〰晦㝣㙡ㅣ愴ㄲ散㌳扤挱收扡㔵㑥ㄸ捥挸ㅢ散昱挸㘶㘹摤〵㡡㘰㔷㠱㤷㘰㉦〷㙦〷扢づ敢㑢慢愱戶㍡搲㔸㕤㔷㔷ㄳ㡡㠴愳昱㔸扣戱愶慡戱ㅥㄷ㜳㥡㘲つ晥挳㕣愸ㄵ㡡㌷搵㐵㜰㝣㡢搵㐷敢慣㌰愶搰慡晡㘸㘳ㄳ㑥〵慢㈲戱扡㙡㉢㔸敤愸搷〹㤴搱㐹㤰㘰㡤ㄱ愵㈸敡愶愸搶㠸〸㄰㘸㐵ㅤ㐴晤ㄳ散㝡㘸挶ㅢ㡦攲〴搵㕣㤳㙡慥㐰㠳つ㈰㜸攳㔹㜷㈴㐷搰ㄲ㍥㌶㐹㠵㈰戴㠳㝤㜴㐶戰搷〰挱㘰㌷㈱㕦挲摡〳㠱㍢愵敥㙥愴ㄹ攳㝤て㐸㈵搸㐷〳慢㈶攴挵㑣㌴搲㘳㠹㠱〵㌲愵㑥㠲㔴㠲晤㑢㙦戰摤㤱扤㍡㙦戰㈷愳㄰㤴攰㑢〷愰〸㜶㌳㜸〹昶㠹攰敤㘰攳摡㕣㈸ㄴつ搷㐵慡㥡㌰戲㜱㈸㡣搵搵搷搶㐴敡㜱㉤㉦搲㘸㐵攲晥㤳搲搰㔰㤵ㄵ愹户慡㐲戸戴㔳㔷㠵㍢ㄷ㔵攱㐸㜵㌸ㄴ㡤㔴㠵ㅡ㙡ㅢ慡敢㠳扣昳㑤昵晡㘴㤴搱愷㠰〴㜹挳㕢㐴扦愶攸㌷ㄴ㑤㌵㈲〲〴㕡挱㝢攰晤ㄳ散改搰㡣㜷捥挸㥥㘱攴摣㤳愶捦愲㈵〹愴搴㝥㤰㑢㌰捦㠱㠸〵昹〹㥡挳㘲搰㉣㘹搴㙣㠳㌳㔹㙣㘴㜰㉥愴㈸㠷慦〹㠰づ㉡㉥㥤て㝥㡦挲㡦晤昱摣㐲ㅢ㠳㍢扢ㄹ扦昱戰て㝥戳㘱㌵㤵ㄶ攳慢挲愵㜲〷慤愴㘸昷ㅦ愷㡢昷捤㠷㐲ㄵ㍦愵㜱昴㤴晦㠷ㅥ㍡㈷㝤戳㥢ㅡ㐷攳愳㉦㐰㠳㑢ㄷ愲戹㜹㥦戹搱摢慦㍣昱㜲搵戰㡥ㄹ㐹摣ㅦ挴㐳昱攷㜷㑤㜲㝦㘹㙡㌳㜳摦㜰㡣㜹㈰晦づ㘹㠹㜹戸㡤㈹㌶㈷攱㤶挳昳攵㜱㉦ㅥㄹ㘳昸昸晥㘱㘹捥昳㘴昹㤱㘹㈹㥥㘴㠴攷慢㔸㌱愳㌱㠹㙤㠷㈵㐵挵㙡搷㝣捥㜶㥥㥥㡥〷㤶ㅢ〵晢㜴㜶㜷っ㐷ㅢ㐶收昹㠲昶攴戶㤴摣㜵摦ㅣ昹㑡㉦㠰㝢晣ㄷ挱㔱昲扢㌰搵㑤愵ㄱ㠴攲㍦愸㈵搳昵慣㤳慦㠰扥〴㉡搵㈲㈸愷㍥㡡搴挱㘰㐶㈲㤱晤㝣摥㠳〱挸晢㕣戱㠳㥣㡣㥣〷愶ㅦ〲㑤㌲ㅥ慥㐴㈵㐸摢攳㈱㡣ㄴ㜸㥦晥㍤愸扥ち㘴㔰㤱㡡ㅡ㘸挶㤰攰つ㔶㠱㕥㐳㔴戱㙡〳捦㘱愱ㄶ愲㑡昶㐵改㍥搷㈱㔳㉤㠳㤸㕤㐸改㐳㐱晤㌷㐰㘶㝢㉡愴收〱㘸㕡ㄷ搰敢㠸㙥〷挶㠸㔴〲㑣扥〶捦㜲摡㤵昳㄰昴㤹㑥㐶捥㐳搰扢㘹〰㥢㜶㍢㉡㐱㕡㍥㙡㤵㤱㘶戴敤㜰㐸㠱昲改㍢㐱搱戶愳挰㑢摢愶㐳扢摢戶扢㘹敤㌱挸捡㘷㘰㜳㈱〳㈷㍢ㄹ㌹て㈲㍦摥㤸昲愰挷挰㈰敦昵㠹㈹て㠱敡㠷㐱〶ㄵ〵捤敡㐳㥤㘸捡㤸戵㍢㕢ㄸ㌴㑣昰㘴㔳昸㔱㤶㉢㔶愷㠲㤷㜶散改㙤挷ㅦ㤱愹捥㐴㔶扥㜶㌴ㄶ㙡㐷㠳㤳㤱昳捣昰㜳㡣㑤㑦㐱㉦搲㜶捦㍡ㄷ㈹昰㜸㘸㈴愸㝥〶〴㍤敢㝣〳㌵摥㈷㍣挸㕢㕡〲㕤㑦㔴戱扡ㄴ扣㔸㕤攵戵㝡〳㌲搵攵挸戲㝢搶㘵㐸昹㥦㠷捣敥㔹昵㙡㉣挰愶ㅢ〵昴㡢㐴㕦〱㡣ㄱ愹㙢挰攴㙢昰㑥㠵ㅡ扣愳㘹㜰昶㜳挰慦㠷㈶改㔹慦愱ㄲ愴敤〶摦㠰ㄴ㜸㥦晥ぢ愸晥㉢挹敢㈰㠱愰㔹㌷愸㜵愶㥣㤱戰㙣昰㘶㔳敥つ愰搱晡摢挱㑢敢㐷㝢㕢晦㈶㌲搵㕤挸戲㕢㝦〷㔲晥户㈱戳㝦㤹慡㕥㡤捣㘸晤扢㐴昳づ㡣㡤扥㤳攸昷㙤昴ㄴ晣昲㥡ㅡ攱愰搹㡡㠰晥㍢搱昷〰㐳㕦㔱愴㜸㉢挷㜵摣㈳㘰昲㌹㙥〸搰㜹攷愰捤㥣㡣㥣㘷㠴昳捥㠹㌸敥㔳搴㠸戴敤戸挷㤰〲敦搳㥦㠱挲〱㡦ㅢ㔴㠶㥢㥥㌴愸捦㙤搴戳攰挵㑤攵愸捤ㅤ愲ㅢ㤱愹㥥㐳㤶摤昰昵㐸昹扦㠴捣㜶㔳㥤㉡〳搸㌴㉣愰扦㈶㝡〳㌰㐶愴㕥〲㤳慦慤挵㠵摡㕡攴㘴攴㍣昲晢㔵㘸㤲戶晥㠰㑡㤰戶摢捡晢づ攰㜱㈹ㄴ㙢㐱捤ㅦ晣搳㐵㈰〱昵㔷〳㌷㘳㤹㘵㠳扣慤㈰昰ㄲ㠰攰㥡户挰㑢愳扦昹户愷搱㝥㘴慡昷㤱㤵捦昲㉦㠰捣ㅢ愵㡤㑥㐶捥昳戸㍦㌴愶㤴㐳㉦搲昲㔱ㅦㅢ愹㍢ㄷ搱挰㑦㈰ㄵ〳〷摢〶㝥づ㕥っ晣捣㙢㘰㤰〶㝥㠱㉣㍢㉡晦㐲捡㍦〴㌲㐴〵摤㌱愴㍥〶㤸㈱㘰㥢〳㝡㈸搱㕦扡攸㡤㐴て户搱昸捤扦㤰晡挰㐱〳っ昴ㄶ㐴㝦〵㡣㔱愰㜸慤摣つ㈸慤换攷㤶户㥤搶攷ㅣ㑦摥㜲㌲㜲ㅥ扦捤㑢搳ㄲ搰㔱愸ㄱ㔵搸〱攵昵㘹㜱挰㘸㐸㜵㈵〸愶㌹戹㄰つ㠴㌶搷愰㈵㤸㠶〹昲ㅡ戴㤴搹㤶昰㘲㔵づ㐶㥣昶㔷搴敤㜶攵敤㤱愹㌶㐳㔶㍥昳㕦㉥㘴晥㑢㑥㐶捥〳戲㜹㜵㔶捣摦ㄵ㝡㡤昹㙡㠴㤱㥡〹㔹㉣摤ㄲ㔲扣昱㐰ㄷ摢㐰㕥㉤ㄵ〳㥦昷ㅡ㌸㡥〶㡥㐶㤶ㅤ㔵㕥㐲昵㔷㐱㈶㔱慤㙥㔰敢〱㌶㐱〹攸ㅡ愲㉢㠱㌱㈲挵换㤳昹摡昶㘴愱戶㍤攱㘴攴㍣摦㥡㤷㌱愵㙤㈱㔴攲戶㙤慣㤱㥡戶挹捡㥥㔷㈴昱挶㌳㔲㠰㠵昳㜹㔹㔱摡昶㐷㙦摢昶愴戵扣㈲㘸户慤ㄶ㈹晦㕥㤰挹㍣㔲摤愸ㅥ㜶摡〶㐵攸㠳㝢ㄳ㕤て㡣摢敤昶〰㤳慦㙤昷ㄵ㙡摢扤㑥㐶捥攳愹㜹扤㑦摡㌶ㄵ㤵㤸戶〵㈷㐲㡡㌷㉥戱㐱慡愷㠳愰摢挹搵㍤ち㌳收㄰㕥捦ㄳ攸扥㐴ㄵ慢㘹㘰愴挱户㝢ㅢ㍣ㄳ㤹㙡㈶戲昲㔹㝤㔳㈱慢搷㌹ㄹ㌹捦㡤收挵㌲戱㝡ㅥ昴ㅡ慢搵晥㐶㙡㘶㜶㠹㐸ぢ愴㜸攳㔲戵㙤攰㈲㌰㘲攰㜵㕥〳ㄷ搲㐰㕥㘸戲㈳挲㉢㕡晥㥦㐳㘶捦散㡤敡㉡㠰㡤晢〳晡㐰愲㜹挱挹㐶ㅦ㐰昴㐱㌶ㅡ㌳㑥愳扡挲㐱搳挶㠰晥〵搱扣㘲攵昶㑤㕥戹㌲摡ㄴ㉦ㄷ攵㜳换挵㑥敢㜳收㤰㡢㥣㡣㥣挷㐴㉦㠱㈶㜱㑢っ㌵扡㙥㤱敢㐵㜴㐰挶搴捡㉢㐴㜸攳㐲ㄵ戰㠸ㅢ㉦昳㠸㕢捥㠳㜶㜷㤶㔸㑡搳㜹㐹挶㙥㈸慦晤昸て㠵捣㜶㑢慤㍡换㘹㈸ㄴ愱愱敤㐴㈷㕤昴㘱㐴昳攷愴㘵挸搶搴慡搳ㅤ戴敤㤶攵㐴昳摡㡥敢㤶㙥㠷愱㌶挵ぢ㉢昹摣㜲㡡搳晡ㅣ户㥣散㘴攴㍣ㄸ㝡つ㌴㠹㕢㔶愰㐶攳㤶㘰て愴㜸晢昴㑡㐸昵㉡㄰昴㜱戹摣㐲愱改㐲㠴〷㜹㠱㐵愰㠷ㄳ㔵慣㜸㤵㐴㝣㜵ㅣ慡㜴㝤㜵〴㌲ㄵ慦㘸搸扥攲愵ㄳ晦㔱㤰搹扥㙡㔰㙢㥤搶㐳㈳㝣搵㐳昴㈹㉥㥡㔷㑦晣㐷摢㘸㜴愱〶㜵愴㠳戶㝤㜵㉣搱扣㌴攲晡㡡㤷㐸摣㉥㜴ㄶ㤸㝣扥㕡攵戸㈴挷㔷㉢㥤㡣散攷㐳〷捦㠱㈶扣㌱挸㔱愳㍥㤹攴ㄴ㤰㐰改㜹㤰收㍤〷㤵㐷㌳㡥戳㥦㔳㤷晥㠹捤ち攸㈸㡤㜳㐷昷挰㌸户㑤㕢昲戰㍣㜹っ㜰扢㙣㠷㉥挷㈳敢ㄲ昸㤱换㤹㜸㍡㈳ㅥ㔴㠷㥦㙡㜶㌶〵攳愹㡤㝣㘰㤸㜹ㄴ㥡ㄶ㡥㔷㈶晣昱㌹〹㍣ㅢ㙤㐰㝣㐶ㄲ捦㠰㡣㤵攱㤷攳㔲昸搱搱捥㥦挲㌷ㄳ戰㐱扤㠴戳つ晡ㄷ㥦攱㕣㤴㜷㙦㌸㌷㝤㘷㍦㍡捤昳愰换戴㍦捣挳㑥㡢昸愴扢ㅦ昷扤〴晦慦ㄱ戵昴慦ㅤ慥攰㤵㡥㘴㤱㑡㈰敥㜲㝢昹挳㥡㉤攵ㄲ〰慦扡改㔳㠱昵㥦〶挲ㅦ㔸㔳搲づ㝣搷㐷㥦づ㠹㝣ぢ㐷㠸慦㤴搷㙥戲ㅢ挶㥤晡摣㠷敢换晡㥤挶㠱〳搹摡㤶昳敥搹晢扢摡㠳㈷㤵㕣㠲愲扤㕤昸攰㌰ㅢ搰搱ㅡ收慦搳㤷㜵戴戶㕢㥤㑢㔲㑢摤㕦愴挷㔷㔴昰㥢㝣晡户戰㠷㔵昱ㄳ攴㜵〶扣戱㘹㤲㔶㥥㐵㜲㌶㐸㐰昱㔲㠳っ捥㌶戴㤵㠳㜳㘷愰捡昰昸㤱慢㑣挶㔲㈷㐳昶㕣㥥㠷㐲㡡搷ㅣ搸挱㌵扤㔶愴㉣攳㈵摦て㍤㘹㉦㕤挸㍡攸愵戴㠷㉥愶㘸㉤慤㈰昱㈹㕥㥥愰㤷㑣扢ㄵ慦㐰戰敤晡㔲㉡〶㐴㙣扦ㅤㄲ扣昱㐳㙦㉣㝦㌹挹ㄵ㈰〱㜵㈷愴ㅥ㍢ㄶㅢ㍢㌲愲昵㝢攲㌳敤戸㥡㈲㡦ㅤ㜷㐳㡦搷㡥攰㠳愶挶㙢㠹扣㡥攴㝡㤰㠰㝡〸ㄹ攲慤㤶㉣㙦昱搲㠰㘴捣昳㝡㙢ㅤち㈹㥥晤搳㑡晦㑤攰㜲晢搸ㅣ㘳㌵㝦ち㠰㙥㘱慢昵㉤慣昳㔴愴搳摥扢㡤㈲㡦搵扣㜰㤰㘱㌵捦昸昱昶改㍢㠸扣㤳攴㉥㤰㠰㝡ㅡ㔲㌱㙥㕡㤶搵扣㄰㈰ㄹ㔳扤㔶摦㡢㐲㡡㘷晦攲㕢㕡㕤愴㥡㕤㉢㘹㈰㕥㘷攳ㄸ愱ㅦ㘰ㅤ㤹㔶㍥㐴㤱挷捡つ搰攳戵㔲扤〸㠱挴昸ㄱ㉡㠶㈶㠹昱㙢㤰攲敤搳㡦戲晣ㅦ㐸晥〸ㄲ㔰㍣㝦ㄷㄳ㜷㜷㑣摣っ愸㌲㕣㐷攴㌹扤㘴㌴㘵㌵㡡攷昹㤲ㄱ昲㌶敡〹㘸㔳㙦㈰换搳愸晡㜴愳㍣慥㝦㥡㤵㘷㌶敡㔹㡡㍣㡤攲昹㝦㐶愳㜸㡡㉦㡤㝡づ㐸㌶㠸㉦挵㔳㜹㤱㙥昰㐸㠳㍣摤挶ㅢて㘶愰搶攷㐹㕥〰〹愸捦㈰ㄵ挳挷㘴戴〸㕦㑥㐴㠶挷散㕤昲㥡晤㌲ㄵ㘵㥡晤㉡㐵ㅥ戳㌷㐲㑦㠶搹㕦㐳㈰〶晥〵㐸㘳㜶昰〷㐸昱挶㘵ㄳ㤶㝦㥤攴㙦㈰〱攵〳ㄵ〳㉢ㅤ〳㑤㉣㜸敡㉣ㄹ愳㌳㉣㔷慡挸㘴㡣㜲㌲㘴ㄲ㜹ぢ㔲㔵〲攲㘹搴㐸户㔱㍦昸搲挳攰㕤㠰戲ㅡ昵㍥㐵㥥㐶昹挱㝢ㅢㄵ㉣㠷㐰捣晦㍢㤱ㅦ㤲㝣〴ㄲ㔰㍣㉢昶搴㌸㈴㙦㡤㥦㄰㥦改挶捦㈸昲搴ㄸ〴敦慤㔱つ㠵㐰摣昸㌹ㄲ愶㑢慢㉤㡣昴㕦ㅥ㘹㜰ㄴㄸ戱㙥㈳ㄲ晡ぢ㤲㉦㐱〲㡡愷慣攲挳戲㉣ㅦ㔶㥡㡣〱㕥ㅦ晥ㅢ㔲戵㉤㠸愷㐵㈵愶㐵ㄹㄳ攰㜷〰㘵戵攸〷㡡㍣㉤摡ㅥ扣户㐵挱㕤㈱㄰㉢ㄵ敥㈳攸㈲㤲㘲㤰㠰ㅡ㡢っ愹搱㥥晡扦昹㍡摦〱搲㑦晣㘹㐰愶㈷慦㌲㡡㍣㌵昲㜴搵㕢愳攲ㄹ愹昸㌰〰愴昱㘱㌰〴愹搸㌱㤰攵换㐹〶㠱〴搴敥挸昰戴晣戳扣㜶〴㠹捦㡣攵㄰㡡㍣㜶散㤹㙤挷摥挶㡥愱㐰扡㜶㑣㌵㜶っ㘳昹攱㈴㈳㐰〲㡡㘷㝣ㄲ戵昷㘱㠱昷昰挹戳㐰挹㜸捦挹㤰㥥扦ㄵち愹㝤㤱攵戱晤敤扣戶㙦捤㍡㌲㙤ㅦ㑤㤱挷昶㤹搰攳昵㘱㤰愷㜷攲慤㙤㠸摣㤶㘴㍢㤰㠰㥡㥦㔹攳㙢愶㐶㡣戴昴㔸摢㤱昸捣ㅡ㜷愶挸㔳攳挲慣ㅡ搵㠱㄰㐸搴㜶〵搲扣搴㉦㡣㜴っ愴敥戴ㄲ㠳㔴慣ㅢ㑢慤扢㤱㡣〳〹愸㌸㌲㍣晥㜸捥㔸搷搳攳戱慥㥡昸㑣敢㙡㈹昲㔸挷戳㉦慦㍦㔴扢戱愳ㅥ㐸昳㔲换㡤戴〱㔲搷扡ㄵ㤰㡡㜵㡤搴ㅡ㈲㘹〲〹㈸㥥敦㐸㈰ㅦ㜳〲㘹ㄶ㐸慢㑣挶ㅦ㥤っ㠹昰㥥㈸愴づ㐷㤶愷㐵㡦㤸ㄶ昱攷㝥㙣㍢㜰㠸㥦挸㍡㌲㕢㌴㠹㈲㑦㡢㜸㡥㤴搱愲ㅥ〸挴摦捤㐰㥡㤷㍡搶㐸愷㐰㙡㕡愴㑥㠲㔴っ扦搷戱㡦㥢戲换㡡晣㡡愷㈹㤲㜱㡦㤳㌱㐱㌲㤴㍡挵㘴摣敤㘴㑣㐴㠶㥥づ愵愵㕣昳昶㜹㌱慥㔰散㐷㝥㝦㜶〶㉡㔳㕣㐹㔳㠷摥㤷ㅣㄲ晣㔴㜰㍤换㐴ㄹ㔷扦敡㑣㘳敢敤㔹慤攳摡㔶㕡㜷㕢㔶敢捥㌶ㄹ户㝡㕢㌷ㅢ㔵㔴㜰㔵换挷攵て搸㠰敦敤摦㔱㝣㜴搱ㅦ㡡摥㔲㤷ㄷ㝤敡攳㈳〹昹戸挴〱慡㤸户㉦㝤㡡慢㕡晡㐲捦愱㘹ㄷ㈳㐵㤳昴㕣㜰㘶戲愸戸搴㤱摡㠶㜲搱㉡昶慣换㌲㤴ぢ㔹挹戸㌱换㔰㉥㙥㈵攳〶慦愱昳㔹攱敦㤱㈵搵㉦㈰挷㜵慣㔴扦㤰ㅣ扤挲捦戵愶昸㌵㔹ㄵ㜲ㅤ㉢㝡慦捥慡昰㝡㤳㜱㤵户挲〳愱戴㘲ㅤ戲ち㝡㠶て㤲愱㘷㜰㌰挷㔳㘴㠰ㄴ搳ㄶ搳㤸摢挰㠹㘹〷㠱㌳㥥㔱㜷㤸㡡慥挸㌲㡤㡢㔵㌱敤昲㉣搳敥㌲ㄹ㤷㜹㑤㍢㠴愶㜱㤹摡㌷搳ㅥ〰㔲㑣ぢ搳戴㠷挰㠹㘹ㄱ㡦㘹ㄵ㕣㡤㔲㙡〷㡤慢㔰戱攷愲㉣㐳晦㘰㌲㉥捣㌲㤴慢㔵㈹㜱㠱搷搰㌸つ攵搲搳㌵㜴㘴昱㌰昴慥㡦昰摣㠴㑦㝤ㅢ㔰摦ㄳ昰捥〶㕣㘶㜹〲戳㡦㝡ㅡ㐸㌱㜴〹つ攵慡㔳っ㕤敡㌵㤴㉢㑣㌱ㄴ㠵㝤ㄵ㕣㔹扡㥣攲㡡㔲㡣㌸㈷换㙣慥㌲㈵攳散㉣戳㕦㌰ㄹ㘷㜹捤㙥㘷昵㉦㈳㑢㡣改㈰昷㉡㌸㌱愶搳㙢っ搷㡤改敡戹㕥㤴㕡㑥捦慡晥㜵㤳㜱㕡㔶昵㕣㔷㑡㠹㔳扤搵㈷㔰㐵〵ㄷ㠹慥搷戲挷㘴㐶捦㝢ㄷ㐸㌱㌴㐹㐳戹㍥ㄴ㐳㔳ㅥ㐳搵摦㑤㐵㈷㘷㤹挶昵愱㔸㜰㔲㤶㘹ㅦ㤹㡣ㄳ扤愶慤㘲ㄵ㥦㈰㑢㉡㕣㑤㡥换㐳愹昰㜰㑦㠵ㄵ㕣ち㡡㘷㌸㕢㔵晣换换㈹㉥晤愴捥攳戲㡣昹挲㘴ㅣ㥢㘵っ㤷㠸㔲攲ㄸ慦㌱㐷愱挲㡡㝦㈳慢㙦㝥攲㐲㔰捣㕥㐳戳戹〶ㄴ戳㝢㍣㘶攳昱㔷㑥㐵㙢戲㑣攳ㅡ㔰㉣㌸㉡换㌴慥ぢ㈵攳㐸慦㘹挷㐲慡戸づ㤴ち㡦㈳挷㈵愰㔴㜸扣㤳㈰㔳挱攵㥥敢㈷挵㘵㥥㈸㕢㥤㔵㍤㤷㝥㤲戱㉡慢㝡㉥〷㈵㘳愵户晡㤳愸㤵换㍦愹晥㘴㜲㕣昹㐹昵愷㌸〹愹㥥慢扣㜴昵㕣摤㠹戲㘴㔶昵㕣昱㐹㐶㈲慢㝡慥〲㈵攳㌰㙦昵愷㐱㕡挱戵㕥摦〲挳戵㥥ㄸ㝡㍡ㄲ㡡换㍣㌱昴っ㈴摣愹㤳㑢㍡愹愸㈳换㌴㉥昳㈴愳㍤换㌴㉥晤㈴㘳㤹搷戴戳㈱㔵㕣敡㐹㠵攷㤰攳㉡㑦㉡㍣ㄷ〹㔳㘱㠵㔹搱㤵㔵㜰ㄵ㈷㍥攲㡣愳戸㝡ㄳ戵㑢戲っ攱㡡㑥㌲攲㔹㠶㜰㤵㈷ㄹ㤶搷㤰ぢ愹㤵慢㍡㌱攴㈲㜲㕣搰㠹㈱ㄷ㈳攱ㅡ㘲ㄶ㙦㘵ㄵ㕣戰愵つ攱㐲㑤搴㠶戳っ攱攲㑤㌲づ挹㌲㠴ぢ㍡挹㘸昵ㅡ㜲㌹愴ㄵ㕣戶昱昷晢㘴〵㌰扡昸㑢㙣て戸㄰㡦愳昹搴昷㈰っ戹ㅦㄹ㙢戸〲攰㤲㑤捣扤〲〹挵搵㥡㤸晢㍢㈴㕣㜳捤捡慣慣㠲慢㌱搷摣ち㉥愳ㄶ㐱㔱搱㉡ㄵ㍤㈴㜶挸㈱㕦㔵㤴㔴㙥㔵昲昳扤换捦㝢攳挹㌷捦㜸攱愰〹敦㝤㝢攱㠵㉦扣㝤挶搳摦摥ㄷ㤹昰愷换㉦晦挳扥㤷㍣晤收㤰昸愵㐵㜷㝣㌵昳搲㈳慡㤷ㅤ㜱㔸㝣挱慥搳㡥㌸攰搰晤慢攷㙥㌶愶戸㜸挰㠰㥤㌶㝦㝣㡢㥤㠳㍤㠷摤愵ㅥ㝥㘵㐴愷㤲愵ㄳ㉡搰㔷㍡昵戲敥㈰㤷㔰戲慥晤㍤ㄲ㠳㡡㉢戸摥改㔷㌳㘴㘱㐴㌳慥㐲㑤昴ち㙢て㜲㠱㈴㘶㕣㡤㠴扥〶㘴㔰㔱〵㤷㌴晤㙡㡢慣㤲㘸换戵愸㠹敥㄰㤷㜰戵㈴戶㕣㐷㌳㡡㉢戸搰改㔷㌳㘴㐵㐴㌳慥㐷㑤慥㑢戸㌲ㄲ㌳㙥㐰㐲摦〸〲㤷㜰㘵搳慦戶挸ㄲ㠸戶慣㐳㑤慥㉤㕣ち㠹㉤㌷㈱愱㙦〶㠱㉤㜱晣敢㔷㕢㘴㤵㐳㕢㙥㐱㑤戴〵㠷㈴㕦㜰㈹ㄸ戱攵㔶㈴昴㙤㈰戰愵ㅤ晦晡搵ㄶ㔹攴搰㤶摢㔱㤳㙢ぢㄷ㍢㘲换ㅤ㐸攸㍢㐱㘰ぢ㤷㈷晤㙡㡢慣㘳㘸换㕤愸挹㡤ㄱ搷㌳㘲换摤㐸攸㝢㐰㘰ぢ搷㈳晤㙡㡢㉣㜱㘸换扤愸㠹挳㠷昶〴戹搴ㄱ㕢敥㐳㐲摦て〲㕢戸ㅣ改㔷㕢㘴摤㐲㕢ㅥ㐰㑤慥㕦戸㝥ㄱ㕢ㅥ㐴㐲㍦〴〲㕢戸晥攸㔷㕢㘴㐹㐳㕢ㅥ㐶㑤敥搴挲愵㡤搸昲〸捤㈸慥攰㍡愴㕦捤㤰愵つ捤㜸搴㙢〶㤷㌸㘲挶ㅦ㙣㌳戸ㅥ改㔷㌳㘴攱㐲㌳晥㠸㥡ㄸㄹ晣昳〵戹㠰ㄱ㌳ㅥ㐳㐲晦〹〴㤱攱〲愴㕦㙤㤱㌵つ㙤㜹ㅣ㌵搱ㄶ慥挰㠳㕣摢㠸㉤㑦㈰愱㥦〴㠱㉤㕣㠳昴慢㉤戲慣愱㉤㑦愱㈶㜷昴㜰㜹㈳戶㍣㡤㠴㝥〶〴戶㜰ㄹ搲慦戶挸㥡㠵戶㍣㡢㥡攸ㄷ㤹㙤戹㜶ㄱ㕢搶㈳愱㥦〳挱づ㔷慥㈰㐴戸㠱㝣戱攲摡㐱ㄶ㑥攳㥣㠵搳㘴ㄴ挷慦㌱〴㜹㡣ㄷ攰昳㐸攸ㄷ㠸㉥㔲㍣挴ぢ㝡㑣㈶㕡昱戰㉦ㄹ扢㍡ㄹ㕣ㅥ敢㤷㈰つ昲〰㉤㡡㕥㐶〲㌵昲搰㉣搰㥤㌲㜵〴㜹〸ㄵ攰慢㐸攸搷㠸㉥㔲㍣㠲ち㝡晢㑣戴攲㔱㔵㌲戶昳搶昸㍡愴㐱ㅥ晦㐴搱摦㤰搰㙦㠰㐰ㄱて㝦㠲ㅦ㥤愵㠸㠷㐴挹ㄸ攵㔵昴ㄶ愴㐱ㅥ扣㐴搱摢㐸攸㜷㐰愰㠸挷㉥挱㙦㤵愵㠸挷㌳挹搸搲慢攸㝤㐸㠳㍣昲㠸愲て㤰搰㝦〷㠱㈲ㅥ㜸〴㍦㉣㑢ㄱて㐶㤲㌱搴慢攸㘳㐸㠳㍣㙣㠸愲㝦㈰愱㍦〱㠱㈲ㅥ㌵〴ㅦ捣㔲挴㈳㠹㘴㔴㜸ㄵ晤ㄳ搲㈰攷㝣㔱昴㌹ㄲ㠸ち㘷㝢㠱㤶㘷改攰ㄱ㐰㌲〶㝡㜵㝣〱㘹㤰㜳戵攸昸ㄲ〹晤ㄵ〸㡣攱㔴㉤昸〱㔹㡡㌸㝤㑢㠶摦慢攸ㅢ㐸㠳㥣㘸㐵搱户㐸挰ㄸ㑥戱〲㉤捥搴ㄱ攴㔴㈸挰敦㙤㈰㈷㐱〱慡㉣㈰㈷㉢〱晡㜰换㕣㉢㄰㤸挶戹㑡搰摦㝦㘵㕦搱㜷晡扡攲晣㈵ㄹ摦㌹ㄹ搲㝢㑢㔰㉡挸㤹㐶ㄴ㤵㔲㤱摦㔶挴㠹㐶昰㕦㘷㈹攲攴㈳ㄹ㕦㜹ㄵ㘹㉡攲㌴㈱㡡〲搴㔱慣㌸㐱〸㜴㘳㤶づ㑥ㅡ㤲昱㉦慦㡥㐱搴挱攱㉤㍡〶㠳搳ㄵ㔴㔴愴㌸扡〵晦㘹㤶㈲㡥㜸挹昸挴慢㘸〸㑡㤵㜲昰昷昲㑢愳改つㄸ㘵ㅣ挶ㅤ昸㌵搱ㄴ户㘲〴㍡昸摤つ昹ㅥ㠷扦㠳扦晤搹戹㤹昳㝣挵㌱㉥㘶㠸㉢㜱戱㠳㕤㤱㤴搹搲晥㠵扥㜰愴摤㈲㘴㑣㕡改戰散ㅣ挱愳挵㙣戴㙦摢㝣㕦㉦戱㌷摤ㄸ〳昹敤㥡㌲搵㘷㘰㤹㘲〱扤㌹㕣挲㤷㑡愷㠴㔵㥣晡攸㉡㍤搴㐵戸㈹ㅢ挱㜹㔱㄰挳㠰愰㤵㑡扢㈹㘱ㄵ攷㐰㌹戱ㅣづ㠴攲ㅣ㈸昸ㄱ慥㐶㌷㘵㙢攴攴㈷㠸㉤㕣㠴㥢戲ㄱ㥣ㄹ〵戱愵㕢愷㥢戲敢攴㉣㈸㜵㙥挵㍡㌹ぢち㝥愴慢搱㑤搹ㅡ㌹㐵ち攲㘷慥㐶㌷㘵㙢攴㜴㈸ㅡ户愶㐶㑥㠷㠲ㅦ攵㙡㜴㔳戶㐶捥㤵㠲ㄸ敤㙡㜴㔳戶㐶捥㡢愲戱㤲ㅡ㌹㉦ち㝥ㅢ㔷愳㥢戲㌵㜲搲ㄴ挴戶慥㐶㌷㘵㙢攴〴㈹ㅡ户愳㐶㑥㤰㠲摦摥搵攸愶㙣㡤㥣㍤〵戱㠳慢搱㑤搹ㅡ㌹㔳㡡挶ㅤ愹㤱㌳愵攰㜷㜲昱㙥捡挶㜳㔶ㄴ晣捥挴㜳㔶ㄴ晣㉥攰愴㑡敤愶㙣ぢ㌸㘵ち㘲㔷㔷愳㥢戲㌵㜲㝡ㄴ㡤㘳愸㤱搳愳攰挷扡ㅡ摤㤴慤㤱昳愲㈰㜶㜳ㄱ㙥捡㐶㜰㐲ㄴ挴㌸ㄷ攱愶㙣〴㘷㑢㐱㡣㐷㐲捣搰㙥捡戶㡡㌳愳㔸㔵㠵㠴攲捣㈸昸㙡㜲搰愱戴㥢ㄲㄶ捦㙢㜷㄰㌵㐸搸ㅡ摤㤴慤㤱㔳愴㘸慣愵づ㑥㤱愲戱捥挵扢㈹ㅢ捦改㔰昰昵挴㜳㍡ㄴ㝣〳㌹戱挰㑤搹ㄶ㜰慥ㄴ㐴㈳ㄲ戶〵㙥捡搶挸㜹㔱㌴㠶㤰㈸攵㤴搰㠷㘹㠴捡㝦攴敤戰㈶搴愰㌸㥢戰㉡扤㍢㌹捥ㅣ挲敤㐱㑥收ぢ攸搷㘶㕢戵戴㠴戳㠵㘰㈶㄰挳㤹㐱戸扤挸㜱ㄶ㄰㙥㈲㌹ㄹ晢㌹攵㌹昲〵㌳㠹ㄸ㡥㜲攱㈶㤳㤳戱㥤㔳㠲㈳㕢㌰㔳㠸攱㈸ㄶ㙥ㅦ㜲㌲㜶㔹㘲㉡㌸扥攴〶ㅥ㐷慥㘰愶ㄱ挳㔱㉡摣㜴㜲㌲㌶〱捣㉣挱㤱㈹㤸㝤㠹攱㈸ㄴ㙥㍦㜲㌲昶㔸㈲挳てㅣ㜹㠲㤹㐵㡣㡣㌷㘲扣㍢㝢ㄵ㐷㥢㘰收㄰挳㤱㈵摣㕣㜲㌲㥥扣㕡戹㙣㔶ㅣ㑤㠲㤹㐷っ㐷㡥㜰㉤攴㌸㑡㠴㥢㑦㡥㈳㐲戸〵攴㘴ㅣ攴㘸攳㈸㄰捣㈲㘲搸攳㠵晢㌹戹㕡ㄲ㤶㌰㥥㤳攸戲㤷ぢ收㐰㘶㑢摦㈶㈶愳㔵散搹㠲㌹㠸ㄸ昶㘲攱づ㈶挷扥㥢愱㔵㕡㈵㕤捤㙢ㅤ搲㍥㈵㕤㉥㐷㉡㕤㡦搲㐳ㅣ㔵㘲㤷㜴戶ㅣ慣㜴扡ㅣ愹㜴㍥㑡㈳㕥つ搲摤㜲戰搲敤㈸㡤㜹戱搲搱㜲戰搲攱㈸㡤㝢戰㐱搷㝤搲搷㤸扤〴搹收愵愴捦㔱扡搴㔳㐸㐹㉦愳搴㜴㈹攲㤵昴㌶㑡て昵㘲愵㝦㔱扡捣㉢㤵ㅥ㐵㘹扢户㌶改㔹㤴㜶㜸戱搲㤷㈸捤愸慤挵㠱㘴㑡愵㙦攵㘰愵㡦㔱摡攵搵㉢扤㡡㔲攳〳愴㝤㑡㝡ㄷ愵㠷㜹戱搲㥦㈸㑤㜸愵搲㠳㈸㌵ㅤっ㘹㝣ㄷ搶㔸㤶昲㘰㠳散て㥣㈹㜵㌷ㄲ昸㘶㍣愳㉢晣ち㥢㘷〴㠵㕦㘹昳㡣㤲昰慢㙣摥㠴㈵挸㐸㐸挶㙡㍢㠳摥ㄶ晥㜰㥢愷㥦㠵晦愵捤ㅢて〷改㔴挹㌸挲捥愰㌳㠴㍦搲收搹㘰攱㡦戲㜹㌶㔵昸㌵㌶捦收〸摦㈳㝣㈹ㅢ搲换挶㠷戹㔶㈲㙡㜵愶摡摡㉤慥㉥昹㘵晢㐱ㅤ捤摤挹㔴㤷扤〰㑥㤶捡㤲㌷㜷㐹㍣㠴昰㌱ㄹ搰㠰㉤㈲慤戰㤳敥摡㜸愰㤳挵挵昴㝦扡㌰收ㄷ㥤昸挱㌵㤹㔱扤慦㡤敤㜵㜱摦㔰捥愲㜸㉤扣ㄳ挰㙡〲㐷昳㜴㔲㜸挵㠸搳㜹晡攸㌴㈶㥤戴㌱散〵㠲㌹㈶㡤㐹㈷㙤っ㝢㠶㘰㡥㑤㘳搲㐹ㅢ挳㑥㈲㤸攳搲㤸㜴搲挶戰攳〸收昸㌴㈶㥤戴㌱散㑣㠲㌹㈱㡤㐹㈷㙤っ晢㤵㘰㝥㤵挶愴㤳㌶㠶㝤㑤㌰㈷愶㌱改愴㡤㘱晦ㄳ捣㐹㘹㑣㍡㘹㘳搸㈷〵㜳㜲ㅡ㤳㑥摡ㄸ昶㔳挱㥣㤲挶愴㤳㠲愹㘰㙣㜸搰昵㥦㝦ㅥ㕦㜷㜳㕦て㕥㙦㑣挴㉦㈴攰昵搱挴ち㐶愶㜷〴攳搲㍢㠲㔱改ㅤ挱㤸昴㡥㘰㐴㝡㐷㌰ㅥ扤㈳ㄸ㡤摥ㄱ㡣㐵敦〸㐶愲㜷〴攳搰㍢㠲㔱攸ㄵ㌱昰晦〰㔵㈰ㅥ挹</t>
  </si>
  <si>
    <t>㜸〱敤㕣㔹㙣㈴㐷ㄹ㥥㙡㑦㡦愷挷昶摡㔹㙦㡥つ㈱㜱ㄲ㐲㐲扣㌸敢㑤㤶㄰㘰㔹㝣㘴㡦攰㕤㍢㙢敦〶ㄴ搰㙣㝢愶㝡摤搹改㙥愷扢挷扢づ㤱ㄲ㐱挲㈱㉥㠹㑢㠴㠴㐳ㄱ㐴攲㠵㐳㐸攱㝣㐱㐲〲愱㠰㜸㠰〷㈴ㅥ挲晤〰㐲㉢昱㤲〷㈴昸扥敡敥㤹㥥ㄹ㑦摢㤹㈴攰㈰搷㘶㝥㔷搷搵㔵昵㥦昵晦搵挹㠹㕣㉥昷㙦㈴晥㘵捡㌳㜳捤攲㝡㄰㑡㘷㘲挶慢搵㘴㈵戴㍤㌷㤸㤸昲㝤㜳㝤捥づ挲㍥㌴㈸㤴㙤搴〷㝡㌹戰ㅦ㤲挵昲㥡昴〳㌴搲㜳戹㘲搱搰㔰捦㐱昸ㅢ㐹ㅥっ昶ㅡ捣〳㉣捤㑣捦㉦㍦㠰㔱ㄷ㐳捦㤷晢挶捥㐴㝤て㑤㑥㑥㑣㑥ㅣ戸敢挰㥢㈶昶敦ㅢ㥢愹搷挲扡㉦て戹戲ㅥ晡㘶㙤摦搸㐲㝤戹㘶㔷摥㈹搷㤷扣昳搲㍤㈴㤷昷摦扥㙣摥昱收挹㍢づㅥ戴敥扡敢捤㠳㜸㜵敥攴捣昴㠲㉦慤攰㘵ㅡ㔳攷㤴敦㤸㤵ㄵ㥢㙢㤳搲户摤㜳ㄳ㌳搳昸㉦㌵㝦㍣摤㌹戱戸㈲㘵挸㔷㑢㕦扡ㄵㄹㄸ攸㌸攰㑣〵㐱摤㔹攵收ㄹ捥ㄱ㉣戵㘲〶愱敥捣挸㕡捤㜰㤲㔱㡢捥㍣昶慥㘶慥て㍡㡢搲つ散搰㕥戳挳昵㠲戳㠴㠱慡㐳捥改㐰㥥㌲摤㜳昲愴改㐸摤㌹㕡户慢昹㈸攵晡㙥㑥㠶㐸㑦㑣㉤㝦㘲㉡㜰㘶㔶㑣㕦捤㈸攰挶㘴戴㍤攲㔷㕡摢摥搸㝤㕣㑥㕤扤㠱㘳摥搴扤ㅤ㙡捥㤸㝥愳攵㜸昷㤶昱攲㕢㘷㜰㕢昷昶愹㍤㙡敤昳㠶敥㝤搴㔶戶戶ㄶ〳㌱㝤慢ㅤ挵㘲㡣〲㐱㍦㐱㤱㠰〸㌴㑡〴〳〴㠳〰㈲晦㑦㜰㐹扡㈳慢戴戲愹㤵㤷戵㜲㐵㉢㔷戵戲搴捡㤶㔶㍥愷㤵㔷戴戲慤㤵ㅦ搰捡攷搱㈶㐹挵晥㝥㉤㑥昷㍦晢戵敦晣昲㠵㝤㜳捦晣㌱昷攷愹㕢慥㉦づ敥㐲愳㝢攳㐹捤晡收〵㤰㕡㤳㡡て㑣散攷扦捤戹〲㑣㘱ㅤ戴敥戴㈶㈷慢〷昷㥢户㥢㍡㤷㤵㠱晣ㄶ㐲ㄹ㐱摢㐱敢㍥摢慤㝡ㄷㄴ敥慥㤹㌶〳搹摣戸昱戸㙥摡慢扢搵攰㌵ㅢ㔷㉥㠶㘶㈸慦㙥慦㙢づ搲搱㙤ㄱ㙣㈵〳昵扥㙢摢扢㥤㌱㙢㜵㌹㜵搱㡥慡㕦摢㔶敤㉣昸摥㜲昷摡㈳扥㝣戰㔱摢㌱愳㈹〸戵㌵㌵㜶挷㉡愳慡㘸㕥㘳㌳㉢㕥㈰㕤㌵扤㜱㘷挱慥㥣㤷晥愲愴㐸㤴㔵戵搴换㔹ㄵ㜳晤昸扣㡢㠵㠲㕢慢㌷愴㑢慤扢㉦㠶㘰㘶㔹挵㝣㔷愵ㅦ慥㉦㤹换㌵㜹㐵㑢㤳攸㥤愸搸摢㔲㝣挴慢搴㠳ㄹ捦つ㝤慦搶㕡㌳㔵㕤㌳㈱㘹慡㈷扣慡捣攷㜳㑡㈸㐰攰昶昵〹㤱扢戵㍢㉦㈸㐴愴㔰㑣㐶扥慡㤵散㈶㑥㘱㜵㔸㐵㑤㤲㈶戵搷㙤㌲ㄸ攷慢㘴㑣〶〷愶搶㐴晤挱㤷摥戲挹戰つ捣扤戲㡤㌵㙤㌴㕥晤摤㙢搲つ㡦㤹㙥戵㈶晤㑣敤㈷㌸㈳㘳ㄸ㐰扦〴㠱搰㜵昷愸敡挴㐵戱慥㕦戰慢攱㑡㘱㐵摡攷㔶㐲㤴㐱㐳ㄶ㡢摣摡㡥㘴㕣㠶㈲㘳㌷挱㈸㐰愹㤴㉢散㘱愳㐲〹㈹愷㔳㍡㘵昰㜲㡢㈰㘷扦ㄶ㕥ㅥ戴㡥搸戵㔰㐶㐲㜹搸〲㐶㈲慤愶搰㌷㐴ㄲ昵捤㑡愴㌰昶㔸㌳愰㔲搳㜶挳昵㈶摦㜶㜰㐹㐴㐴㍢戲㘰摢挹〲㡡㠲㔶㜹㤰挱㙢㈰㥡㌶㘹㤰摤㌸㐵㐴㘴㠳っ捤㡥㤱㕢㠹㡣敤㌳㘴〴摡愷㠹㤰慤昷㜷㤷ㄱ㈴昶㑥㈲㘵愷慥晣戸㈳捤㌶戲攵㈳㘹㜶㌹㌶捥戸㠲攰㑡㠲慢〸昶〲㠸扦㐰挲㔱捡㈱摦㥡㡣搷攰搹戸㠶攰戵〰㤰㑦〶㘵㑥㉣慡㘸㐳㙤挵㡥㘴扢㈱搸挹捡㈸㡥㐴ㄱ㉤攳㠶㥤㌹攴㈸㐴挷㔶攷昶搰戵㜹愵㘳㕦摦㥤㌶搳换㈱㐵㘶㌴㑤慦㜵㤳愶改㡤㘰搳ㅥ昵搶㜵攸㙡㡣ㄱ㕣て㔰㌲㙥㈰㠴㜲愱挱扢㌵㡢㥥㈶攵慢挲㉣㡡㡣愱ㅥㄵ㝣㑣挸㍣〲㘴〸戹㡥攳换㡥つ㑤㜳㜰摣㝡搵摢搰晢扡昳㜷㡣昴㌶扤戹愳㜷攸㉦㝡㤱㔶昴㡤㘰㉦昱扢慥㍡收㈶㔴ㅢ慦㈷戸ㄹ愰㑤挷昰昴晤㘲㍤〵捡㉣㜶㔲㤸摢㑤慦㡢戲㜲㤷搶㔷愵搲㐰㠳搶㤲改㥦㤳㈱㍣ㄸ挷㘷㘱ぢ㝢扥㉦㙢㌸搴㔶㔵〱捦㉦㔷戶ㄶ〶㐷㝣捦㘱昹㡥㡤ㅣ扣㉡ㄴ㐳㍥慦昵攵摡㙣攴っ㕢㌳攵㜳㑡㔱づ㜵昰敤摤㠵㐴慡㔳㉢㜹戱㕦昶昹㜲㐷㤲昴㈰㐹摥㠰㙤㌵㙥〵㠰㤴㄰扦改㉡㔱昶戱搹ㅢ㔵戳㔶㡢㤵ㅥ扥㡣搳㐹㥢て戱㐳㡥っ㐴づ摢㘹昸て㠲㈱㘷搱㜶ㅡ挲㘲挰㔹㤰㝥〵扥〵扢㈶㑢㤱㕢㤶愲㘶㐷㔶扣㑡㘴㐵㕦㕦挷㜹㍡挳扦愶攸愴㑤㑡㘴㜲㝢㘶㘵挶㔹扣㐹㔴㜴㐳㔲愸㘴戸㠶ㅡㄲ㠸㤴挷戶㍢㈲愶〷ㄱ㜳ㅢ㌶捥搸㑦㌰㐹㜰〰㐰晦〵㈴捤㔶㌷㥥攱戰晥㌵扡戴换攵㕣㤱㘸㔰㉥挲攷扡ち慢㠳㝣捤㥢〸敥〴㘸㌳㝦攸㠰捣㈰㐴㠵昲ㄴ㈱慡㌰㠶㜵挶㤶ㄷ㐸〳扢㉣〴㤶㘶敡㐱攸㌹㡣㉣つ㔹戳摥㐹㉦㥣戵㠳㔵㐴愲㐶慤㌸㜳摦㡡㜴㐱㕤㍥㙣㥦戶㌲㙦㜵㔵㔶つ㙢搱慢㐳戴ㅤ㥦摤づ〷㜳㙣〷㙣㐹㜵㌶搷〴㔲㙦攷㘳っ㈱戰搳捡摦㑡㙦散㤶扣摦㍣昴つ㌷㜷㜴挹づ㙢㜲挰㡡㤸㡥昹愲㠵㕤㐴攴愰摡㙦㉤慤昸㔲捥づ㔹㐷㝤扢㕡戳㕤㐹㘴挰挶㘴戰㙥㑥㥥㐳㤴㘰挱㘳っ搰㜳㠷慣㈵摦㜴㠳㔵㤳〱挵昵摤㉤㑦㉡㉣愲㕢搳戶ㅢ攰㌵ち㡢捣て㕢㡢㉢摥〵㐴㙣敢㡥㝢搴㕣つ戶〵㔶㐸昴㔱㔲愸ㄱ㥡搰㌴㔱搴㡡扤攲㠷〷昲㕣㡥扣㤷㈷㔰戸捡改昴㤹㘷㘸㙦摡昵㜱㡣㠶㜶㍡攷㌴㠸攸㔱愳戰㉦㔳ち㤳㔳㡤扢搸攷㉤〰昷ㅣ㍤㝤扣ㄹ㤹㝢㐹㌱㙢㥤㕥晥っㄹ慦挸愲ㄱ〸愱㡦㙥㔷㐴㉡㉣㈳攵㠰〳㠱㜱㍥戵㤳㕦挹㔲㙤㐸㝤扢㥡搹㈳㠸㈴つ㕡㜳收戲慣㈱ㅥ敤㤸攱慥攸㠱㘶慣㘳搶㠲戸㙥挶㜳ㅣ㤳愴㐵戲㕣慣㤸愴攰愹㝡攸㥤戰㕤挳〲㔰昴ㄷㄷ㤹ㄷ㔱㘴㕥㔴㐵㠳搶㈹㠶〶㔵㥥㘳㜹攷㑣摦づ㔷ㅣ扢㔲攴〳挳㜷摢㠲㈶挱攴㤴扣㐹㑡㘴挶㔸㥢㌵㝦ㅡ㈶㕢㌰〱㜴㑦㐰㡥㜲敢㠸㝥㔰慥㈶ち昸㈷㝡㜴㉣㐱挰㈸㑦愹昱㌶㡣愶慢摢ㄱ㄰㌹㉡㕤㑡敥㘰㕣㝡〴㈵㤱㄰㈲搶㌳㐸〴㕥挱㤴㤰愷㡢扢㘰㥤㜶敤㄰搸㈳挶㡥搸攱㙣〰㤴〳㈰慢㡥户㔷㉢慣愶㍡㡤㌷戴挲㜵㥤㔵㉤㙡攲摡捥晡戴摥㜸摤〶搵㤱㐶㐹㈹㤲捤ㅡ㈹捤戲挱ㅣ户㤳慡ㄱ㑡㜱㈷摡㐶㘴戹㑤㥢晢㑥㈹昲ㄲㄴ㤳愲㤹㥣昱㜶㐵㈸〸昴挶㍡㡡㍥晢㙣昲㐸㐵㙣㘸〳㤴愸愷愲戲愱㌸㈴㜸ㅣ搷㑥慡戲ㄴ㍦㠱扦㜷挵搹昹㝡搸㔲㘳㕥ㅣ㡤㙢愶㙡戵㜹ㄷ㔶㐲挵昴慢摢㠴愵戱戶㐸挳㈸敥散㔵晢㐷摢㥢㘲挴㤸つㄹㄶ挹昰〳㠳つ挱㕣愹㠸㉡慤戳㈱㙥㜵愳戸挸愷ㄳ搲㜴ㄵ〶ㄶ挳敡慣㕣㔳㘶㔸搳㤲ㅦ㔵ㅤㅡ愷㐵㈵㐷つ㙢㙡㌹㠰㑡て㈹挷攳㥣㘲㜰挳㍡㐵户ㄴ㉥㌱㐰散挶戹㠵㑡㠸搰㙥㘳〰㥥っ戶て㜶戰㈳㔱攸㠴搶ㄹ㈵㘸㈱㠳㜰㕢ㄷ㐱摥改ㄱ愳㄰愴㤶㑡晦㌸㉣扥昰〴搳搷て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攲攸敥愵㐷搴㘳敥ㄲ㔰愱㌰㈰ㄸ攳攵㈹㈸㠷㕤〵㈳搱攰搶㥡㔶户㘰昴㤷㤶户㌱〵㈰ㄸ〶愶㐱㡢㤶㤱㠱㌳㠳晣收〶捥㜵㘸㤵ㄱ㈱㑤〷㔳ㄹ愳ㅣ㠵挳ㅥ㐸〳㌷昱㈰扤攴㐱〹㠵㝢搴挵戰攴㙥攲戸㠳㈳㤰攷㕦搱㔶戸㘰㠶戸晥攲敥㙤㉢㥥慡㔶㘹敥挲㍦户㉤戰㡡慢ㅢ㤱㌹扡愷敤㔲㤶㕡ㄳ敤扢ㅢ摢㉡攲换㠲〷㘶㈷㡥㤹㘱㘵㘵㌱㕣㡦㉥㙥昵㑡ㄲ晡㡦攰㡦搸昰敤戴㤹昳㉥㉦愲慥㜱敦㑢攷㕤敦㠲慢收愵〷扣昵〷ち挱ㄵ捡㝥㑥戲㤴晢㌷晥愹愴攵昴ㅦ㘲挴慤㑣㥢〳㌴ㅤ㈴ㅣ㐷愵㐸ㅡ㡣㈱㥦㐱㈷戰摤ㅢ户〶㐸㈷㝢摡攸㐴〹㠲ㅤ㐲㜱捦扤㙣㠴㈲㝥〰戴㤲㔸愲㈳㌹昶晣ㄹ戰扥昸㍥㑡㠸㜰㍣挷㘲㐴扦ㅥ戹っ搴㈹㐱ㅥ㕦昱攰㠵㤰晦ㅦ㉣㈵摣扣㈱㍢晤ㄷ㤸㔹㝣慦ㅤ㐵搷ㄲ㐵摦敤㐰㤱攰㌵㄰挵扦昷㈰㤳㈴㥤攱搹ㄷㄵ〸攷㥡㜶づ愰慦昸㠵摦晦攱〱㜴㉥㈶づ㘵愳㈱搴㜶ㄳ㥥ㅢ㈶㐲㕦㠷㠹挰攰扤㌲ㄱ㑥㈰㈳ㄸ挵㡦㑣㠴搸〷㌲㡦㠲捤㑤〴挶昶㌲っ挱㔴愸㌵攵搶攰〹散ち㠷晥戱㘳戸㜸㉢〳挴昳愱戴㠲ㄹ㜸愴慥散㉣㕥㌰㝤搳搹慢捡㡦晡ㄲ捡捣㕦挲㑤㙥搵㠵㍤慥摥戰㐶㜵摡挰㔷㤱㜸搹㜷晣㈹㕢扢扦づ㑣㐵㈹㜲摦㡢愲㈸扣〴㑦㠹攰戹㈱昷扥㍤摦㌸晡晢㠷ㅥ㍢捣摢㙡㌱慤敡户㈲摦㑢挸㥥昶〴㠲扡愹㡢㈲㤷昳挳㥣ㄳ昸㐴挹㕥慤挹㘹搳㔷㔶㔰㘰㌸㐹㌶㈲扣ㄴ㘱㐶挴户ㅤ㑣㑣摣㝢㠸㑣捣㠹㌶㜷愷晡戰㐹戹〸㈷㔲ㄳ㔷㍥扤㈴㙣㈸扡㉡戲ㅥ慤㑤晤㕢㔰㐵㉦㜲㈲慤㔶㈲㑦㥤㑣㐲㝣戳㕤搷ㅤ愴慥㡢づ㌲っ晢㈷㔲ち昱〷㔲㐸晡㈰挳ぢ〱㑡㑡㥤㐲㐶扦つ㈰㈳戲搶ㅥ攲愵㍦㘰㐷〸挸挶愵扦ㅥ㍦㘲挱㉥〲㡢㠹㉦扥搷ㄳ㉤㙤搱㐴㌵㌱㔴慢㙣㥡㐵㘴搴攱㠵〵㤳㐹改ㄲ㌲㐹搲て㈰户㘵㜷ㄴ㕦㌲攴㐴㠱户㠸戱㜵㠷扥戶㤲㜳户㕢挷捤て攸㤹㠲㔲ㄸ敥㙥ㄶ攳㐰慡㘲㜴㔱搳㔲㔴㐴㌸ㅣ㘵ㅢ㥤〶攲㉡攸㉣㜷㉦㑥愵〸晥昱㑢㈱搶㡦㌷㠷扥扣扤㠶㍡捥敤挷〲昹㠳晤㜵㙤〶㘳攳慤攴ㄸ㐸搸㉤戵㉡㐶搷挳㑦愳ぢㄷ㥤ㄳ㐶㌳慢㥥挵㐱晣㐹㌸慢㑦敢搰晦㡣㕥㉢捥㍡挳摥っ㘳户攸晦㜷愱㘰㔳晤㉦ㄸ㝢㔳㠸㝣㜷㥣攱㠳捥昸挹愶㈱ㅢ敥〸㍣摢〸摥愸㠳戱愱戲っ㜹㐷戹㐵㝣扣ㅡ㔵㉢〹づ扦㔷扥晤㙡㐴愳㉦㙤摢㠱慥〲㤰戱㈱晤ㄹ㠸愰慥晤㕢攵㔶㜲扡㉤摣㡦㡥㝢㑥搸ㄵ摦ぢ㍣㉢ㅣ㕢㐴搰㜷㡣摦㥥㔹戰㜹愶挴㔷摢㠵摡㡤搸㠹挱昷愲捦挹㜹〸散㤳㌲㝣戹㘲㤱㡣㉣㙣㉤㤲挱敦㤰㐶㔲攱㈵㙡㠷攰㌲敢摥扡㔹挳愷慢昳昰㜵㠶㉣摡ㄶ捡㉥昲㌸户摦搰攰搶攱㡥搶㍢攱て㤲戵〹〴挷搴ㄲ敥㝦㉦昷戵㝤て㕡摢挶㙢ぢ搸戲㌷㥦㕢㐹㝦ㅡ㌸摤摡㕢㕡㐹㠶敦攴ㄷ挹㈵愳㑣㠸㑢晢㠷昱㜷敢づ㕡㡥㌶ち㍡㡦㍦攸愶㈳㙣扣〶昷搹ㄶ愲摦㘷搱㔵㑣ㄱ攰㘷㤸㜱㠶て㠲㕥㍥戲愲昸ㄲ㤶㐵〶㐰㍥㔷愸〰㜴愷敡愷㌶愲敡㤱㝢搸ㄳ㐹昰㡣㐱㜲㉣㠹㈷搱㤰摢ㄵ㉤ㅢ㉣挱㘵ぢ㜵㤶㐰摥㐸㝡㈰㥦ㄳ㍣㑢愸㠹㝣ㅥㅤㅡㄳ戱㔱摡㝤㈲㥦摢㘸㈲㠲㔶㠰㕡㘸㝡晣㤱㐴㡢ㄸ㌵㔴ㅢづ㠱㑢攰〱㡣㈴捡㘴㤸昲㤱㐲愷㄰挵ㄸ扥㑦ㄴ㈱晤㉡晥晢晣攱㕦㍣挷昴昷挳㐲㐹㐴㔴戵慥㠲ㄲ㔱慤攲㤳改㔵昸㈸敤扥㡡㡦㙦戴㡡ㄱち㑢捥挴〸〱㠶晡㐴ㄹ㝦搴慡敡挸㜰㐳昹ㄳ㘷〹昰㙢㤹挵㠸㠹ㄲ搵昷〲㌲攸换㥤㔷慤㉥㈲㤳昴搵戹ㄱㄹ㕦昹㈸㐳㠹㌷㈲改搴㈹㐴㕥搹㐲愴ㅥ㡢㑥散㡥摤ㄶ㐲〲㑢攲㘷戳㕤㘵㝢愱挷㔰扦昸㔰㠲㤸㘳挷㤲㑦愸戴㌸昸〴挲㠸㑣㔳ㄲㄲ㌷㔲㝣㌰㘹晣敤㘷㥢扥㔳㔴㈰㠱㝡愲挶㈴㌸搵昸昱愴昱〱㝣㥥愵摡攴㜸㤵㠰改昹愴㌱〹㔳㌵㝥㉣㘹晣户〳㝢ㅢ㡤ㄳ㍡㡣㐶搶㐹㈴ㄹ㐶慦㍡〶愴㍥搵ㅥ㐶㜳摤愲㈲ㅤ戰愲㘲㡡㔰ㄵ㐳慥㈹㔵㍡㠸㕢㈱㍥㍥㤶㥥挳㈵㈷摣〵㠱戴㡤晥㥦〹挷㜱昹㘹搶っ㑤㝣ぢ扤㠶愸戳㙦愸㈷㜶㉥㔸昳㍥ち晡慤攳〱づ㔷搵㙤㐵㈲戰ぢ昲搱晥㙥攲㥤捦戰㈱㥢晢㤱㐴换㌴㕥㈶改㑤㡢愸〸㑢㕥扣㍦挱㙣敥搱㈶捤ㄸ㡦〰㌹㄰㤳㠰捣ㄸ㡦〲㐶ㄱ㤹㍤㉣ㄸ㈱晦㉢收㝥㍦㉢㍥㐰昰ㄸ㐰㐹㤰搹㐹〷㠵挷〱㠶㤳晦㘳挵搸㥡㜲㥣㘸攲愱攴㘵㘹㌲㌲㍥挴づㅦ〶攸㠳ㅦ㔷挴㐴㔸㌲㍥㠲㤲昴㑢㈹㌸搴㑢㍦捡㡡㡦ㄱ㝣ㅣ愰愴㜳戲㕢摥㌵慥愹㐷ㄵ昶〹㜴ㄵ㡦ㄲ攰㘷㝣㌲捥昰㐱攷㍥扣戵扢搱捣㌳㜱昲㠵㍦㘲㥥㉤㥦昲摦㡤㑦昳搷戹攸㍥晣㥦㐹㜴㘵攱攷戵户昴㌶ㄶ㤹㠰挶戹晡慤㘲戳㕦挲㌸㕣㔷㌳㤴挲ㄱ愹㔴㡡㕡㐱㄰摦㕣戰昰昰〶扥攵㤰慡㄰㠲㌴愰㉡摣戸攲㌰ち㡣㑦戳㈹㜱㑣㍣ㄹ㥦攱ㄳ㔱慢㌶昱戳㜱㠶て㠲㜸㔵摤ㅦ㠸扢㈷㉦㈴慥㔵㠵摤昶㐲攲㕦㔵慣愴㕦昸〴〷㔳挸㐲愶㔵㉢ㄱ㘹㡡㠶㥥㐴㘶愸㙦㤸㜳扢て㍦敤愲愸㥣慤㥥㍤晢挲㜰㝥散敡晣扢摥㌱昸挴昳㍦晦挳愷㝥晤㥥㐳㝦晤搷㔳㑦晤晡㑦㥦㝡敥㕦㍦㕡㍥昴搳愷㥦晥挹㍤㕦㝥敥て扢慤慦㘸捦扥㌰昷㤵㠷㈷捦㍦晣愰㜵晡搶愳て扦晢㠱㝢㈷ㄷ㉥ㅢ敦敢敢敦扦㜹昴㘷㔷摤㌲昲攸㠳摦ㄳ㍦晥敤㤵慥㔰换挵ぢ㕡愷挱㘵慢㘹㝣ㄱㄹ㑣㠳㌳㝥㐵愷挱攵慡㡤㕡㡥㌷㙡ㅡ〵㐵㌸㌷㌸〱㔵㘱戶㔶っ晣〷摤㠵戳㘴</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</si>
  <si>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づ摥㜵昰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㤹㌰戲㠶</t>
  </si>
  <si>
    <t>㜸〱敤㕣㕢㙣ㅣ㔷ㄹ摥ㄹ敦慣㜷搶㜶散挶㐹摢昴㠶㝢愵慤愳㈵㑥㥢㕥㈸㈱昵愵㑥搲收攲挴㑥ち㠲戲ㅤ敦㥥戱㈷㤹㤹㜵㘷㘶㥤戸ㄴ㥡㐲戹ㄵ㄰㙡㜹㠰㤶〲ㄵ㐲〸㕥㉡㠱〴愲㔰㈴㤰㤰㐰愸㈰ㅥ㄰ㄲㄲ㤷㔲㄰㍣㠰㔰㈴㕥㐰慡㔴扥敦捣捣敥散慥㜷散㙥㕢㜰㤱㈷搹㍦㘷捥晤㥣晦㝡晥晦㑣㌲㑡㈶㤳㜹〵て晦攵㤳㘵攲戲搹ㄵ㍦㄰㑥㜱戲㙡摢愲ㅣ㔸㔵搷㉦㡥㝢㥥戱㜲挸昲㠳ㅥ㔴挸㤵㉣㤴晢㕡挹户ㅥㄴ昹搲戲昰㝣㔴搲㌲㤹㝣㕥㔷㔱捥㑥昸ㅢ㡡㕦㜴戶敡捦〲捣㑤㑥ㅣ㥤㍦㠵㕥㘷㠳慡㈷㜶㡥㥣っ摢敥ㅤㅢ㉢㡥ㄵ㜷摦扥晢㤶攲慥㥤㈳㤳㌵㍢愸㜹㘲慦㉢㙡㠱㘷搸㍢㐷㘶㙡昳戶㔵扥㐷慣捣㔵㑦ぢ㜷慦㤸摦㜵搳扣㜱昳㙤㘳㌷敦搹㘳摥㝥晢㙤晤ㄸ㍡㜳㘴㜲㘲挶ㄳ愶晦㍡昵愹㜱捡㌷㑦㠹戲挵戵〹攱㔹敥㐲㜱㜲〲㝦ㄳ昳挷摢慤挵搹㐵㈱〲づ㉤㍣攱㤶㠵慦愳㘱㥦㌳敥晢㌵㘷㠹㥢愷㍢搳㔸㙡搹昰〳捤㤹ㄴ戶慤㍢㜱慦㜹攷㈸昶捥㌶㔶晡㥤㔹攱晡㔶㘰㉤㕢挱㑡捥㤹㐳㐷㤵〱攷㠴㉦㡥ㅢ敥㠲㌸㘲㌸㐲㜳昶搷慣㑡㌶㝣㌲㍤㙦㡤扢㐸㑥㑣㉥扦㌸敥㍢㤳㡢㠶㈷㘷攴㜳㘳㔲敡㑥㝢攵收扡㔷㜷敥㤷㔳㤷㈳戰捦㙢㍢搷㐳挹㐹挳慢搷ㅣ敤㕣㌳㕡㝣昳っ摥搶戹㝥㘲㡦㥡摢摣搰戹㡤摣捡收摡㑡㕦㐴摦㜲㐷戱ㄸ㍤㐷搰㑢㤰㈷㈰〲昵〲㐱ㅦ㐱㍦㠰㤲晤㈷戸㈴搹㤰㐵㙡挹㔰㑢昳㙡愹慣㤶㉡㙡㐹愸㈵㔳㉤㉤愸愵㐵戵㘴愹愵㔳㙡改㌴敡挴㑦扥户㔷㡤㥥㍦㑤ㄷ散ㅦ㕥晤敦改㘷㝦㝦挱㘳摦摥昹㠷摦昶㙦㐱愵㘳搱愴愶㍣攳っ㐸慤㐱挵扢㡢扢昸㘷㙤慥〰㔳㤸㝢捣㕢捤戱戱捡㥥㕤挶㑤㠶挶㘵愵㈰扦㠹㔰㠶㔰户摦扣搷㜲㉢搵㌳ㄲ㜷㤷㑤ㄸ扥㘸㙣摣㘸㔴㌶㔱慤戹ㄵ晦搲搵ぢ㘷〳㈳㄰㤷戴㤶㌵㍡㘹㙢㌶ぢ戶ㄲ扥ㅣ敦㡡搶㘶㈷つ扢㈶挶捦㕡㘱昱攵㉤挵捥㡣㔷㥤敦㕣㍡敤㠹〷敡愵㙤㌳ㅡ㠷㔰㕢㤶㝤户慤㌲㉣ち攷㌵㌲戹㔸昵㠵㉢愷㌷敡捣㔸攵搳挲㥢ㄵㄴ㠹愲㈲㤷扡㥤㐵ㄱ搷㡦ㅥ㜵戱㔰㜰㙢攵慡㘴慥㜹搷搹〰捣㉣㉡㤸敦㤲昰㠲㤵㌹㘳摥ㄶㄷ㌶㔵〹挷㐴挱㡥愶散改㙡戹收㑦㔶摤挰慢摡捤㈵攳㤵㘵〳㤲愶㜲戸㕡ㄱ搹㙣㐶ち〵〸摣㥥ㅥ㐵挹摣搸㤹ㄷ㈴㈲ㄲ㈸㈶㈳㕦摣㑣㜶挵攳㔸ㅤ㔶㘱ぢ搲愴㝡捤ㅡ㥤㜱扥㔲挶愴㜰㘰㘲㑤搴ㅦㅣ昴晡㌵扡慤㘳敥㡤慤慣慡挳搱敡敦㕡ㄶ㙥㜰挰㜰㉢戶昰㔲戵㥦挲ㄹ改㠳〰摡㜹〸㠴㡥扢㐷㔵愷㥣㔵㔶戴㌳㔶㈵㔸捣㉤ち㙢㘱㌱㐰ㅥ㌴㘴㍥捦慤㙤㝢昴ぢ㤰愵㙦㈵ㄸ〶㈸ㄴ㌲戹㙤慣㤴㉢攰挹㘸㤴㑥㈹扣摣㈴挸搹慥㠹㤷晢捤㘹换づ㐴㈸㤴〷㑤㘰㈴搴㙡ㄲ㝤〳㈴㔱捦㈸㠷ち㘳㥢㌹〹㉡㌵㉣㌷㔸㘹昰㙤ㅢ㤷㠴㐴戴㈹ぢ㌶㥣㉣愰㈸㘸㤶〷㈹扣〶愲㘹㤱〶改㤵ㄳ㐴㐴㌶㐸搱散攸戹㤹挸㔸㍦㐵㐶愰㝥㤲〸㔹㝢㔷㘷ㄹ㐱㘲㙦㈷㔲㌶敡挸㡦㥢搲㙣㌵㕢㍥㤴㘶摢戱㜱晡㠵〴ㄷㄱ㕣㑣戰〳㐰昹ぢ㈴ㅣ愵ㅣ搲捤㡦㝥㈹摥昵换〸㉥〷㠰㝣搲㈹㜳㈲㔱㐵ㅢ㙡㍤㜶㈴敢つ挰㑥㤶㐶㜱㈸㡡㘸ㄹ搷敤捣〱㐷㈲㍡戲㍡㌷㠶慥捤㑡ㅤ㝢㕤㘷摡㑣㉥㠷ㄴ㤹㔲㌵戹搶㌵慡㈶㌷㠲㔵扢搴㕢㙦㐱㔳㝤㠴攰㑡㠰㔰戱搰搸㕤㥦㌵㑦㜳昲㑤㘱ㄲ㠵㠶㔰㤷捡㍤㈲㘲㥡晦㈹〲慥敤攸戲㘹㍦搳ㄴㅣ㌵摦昴昶昳捥捥扣ㅤ㈱扤㐵㘷㙥敡ㅣ晡㡡㕥愵〵㝤ㄵ搸㑢昹㕤㐷晤㜲つ㡡昵㙢〹慥〳㘸搱㉦㍣㜹扦㕡㉦㠱㌴㠹㥤〴收戶搲攳㈲㉤摣戹㤵㈵㈱戵㑦扦㌹㘷㜸ぢ㈲㠰昷攲攰ㄴ散攰慡攷〹ㅢ〷摡㡡捣攰搹攵愲收㑣㝦摡慢㍡捣摦戴㡦晤㌷㠵㘲挸㘶搵㥥㑣㡢㝤㥣㘲㘷㈶晣㑤〹捡愱晥扤愹戳㤰㐸㌴㙡㈶㉦戶㑢㍦㕢㙥㑡㤲㉥㈴挹昵搸㔶晤〶〰㐸〹攵搷ㅤ㈵捡㈸慢敤㤴搵㥡慤㔵㝡昷㔲㑥㈶㉤晥挳㌶㌹搲ㄷ㍡㙢㈷攰㍢昰〷㥣㔹换愹ぢ㡢㍥㘷㐶㜸㘵昸ㄵ㉣㕢ㄴ㐲㤷㉣㐵捤愶慣㜸㤳挸㡡㥥㥥戶戳㜴㡡㙦㑤搲㐹㡢㤴㐸攵昶搴挲㤴㜳㜸㠳愸攸㠲愴㔰㐹㜱ぢ搵㈵㄰㈹㡦㜵㌷㐵㑣ㄷ㈲愶㠸㡤搳摦㐶戰㡢㘰っ㐰晢〵㈴捤㝡㌷㥥愱戰摥㘵扡戳㑢愵㑣㥥㘸㤰敥挱㥦㜷ㄴ㔶㌷㜳㤸㍤〴户〰戴㤸㍦㜴㍥愶㄰愲㐴㜹㠲㄰㘹㉤改收㐹㑢㥣㈱つ㙣㌱ㄱ㔴㥡慣昹㐱搵㘱㔴㘹挰㥣慡ㅥ愹〶㔳㤶扦㠴㈸搴戰ㄹ㈵敥㕤ㄴ㉥愸换㠳敤搳㤲㔷㕤㕡ㄲㄵ摤㥣慤搶㈰摡づ㑥㙤㠴㐳㌹搶〷㕢㔲㥥换㔵〵㑦㜷㘷㘳㜴愱挸ㄳ㌱㝣慤昴挴慥换昳捤㐳摦㘰㘳㐷攷慣挰ㄶ㝤㘶挸㜴㑣攷㑤散㈲愲〶㤵㕥㜳㙥搱ㄳ㘲㙡挰摣敦㔹ㄵ摢㜲〵㤱〱ㅢ㤳㠱扡㐳㘲〱ㄱ㠲㤹㉡攳㝦㔵㜷挰㥣昳っ搷㕦㌲ㄸ㑣㕣搹摡昴㈶㐳㈲㥡㌹㘱戹㍥㠶㤱㔸㘴㝡搰㥣㕤慣㥥㐱戴戶收戸晢㡤㈵㝦㐳㘰㠵㐴ㅦ㍥ㄲ㌵㡡慡愸慡㤲㔷昳摤攲㠷〷昲㑣㘶㌷㝥㔹〲㠹慢㡣㐶㝦㜹㡡昶愶㕤ㅦ挵㘷㘸愷㜳㑥晤㠸ㅣ搵㌳㝢㔲愵㌰㌹㔵扦㡤㙤㙥〷戸㝢晦㠹㠳㡤愸摣㙢㡡㔷㙢昴昰愷挸㜸㐹ㄶ昵㈰〸晤㜳㕢㐲㔲㘱ㅥ㈹〷ㅣ〸㡣昳慤㤵晣ち愶慣㐳敡摢搲㐸㑥㈳㡡搴㙦ㅥ㌲收㠵㡤㔸戴㘳〴㕢挲ㄷ㥡戱㡥㘱晢㔱搹㘴搵㜱っ㤲ㄶ挹㜲戶㙣㤰㠲挷㙢㐱昵戰攵敡㈶㠰愴扦㈸换㌸㡢㉣攳慣捣敡㌷㡦㌳㉣㈸搳散慢扡㘰㜸㔶戰攸㔸攵㍣㕦ㄸ扡摢㄰㌴〹㈶愷攴㡤㥦㔸㘶㡣戴㔸昳㈷㘰戲昹㐵愰扢〸㌹捡慤㈳晡㐱戹慡㤲挳ㅦ愵㑢挷ㄲ〴㡣昴㤲敡㜷愰㌷㑤摥㡣㠰挸㤱捦昹昸晥挵昹㠷㤱ㄳ晡攵㠸昵ㄴㄲ㠱㐷㌰㈱攴改摥捥㤹㈷㕣㉢〰昶㠸戱㘹㉢㤸昲㠱㜲〰㈴攵昱昶ㄲ㠹搵㐴愳搱扡㔶㜸㑢㝢㔱㤳㥡戸愲扤㍣愹㌷慥㔹愵㌸搴㈸〹㐵戲㔶㈵愹㔹㔶㤹攳㐶㔲㌵㡡㔴摣戱戶㔱搲摣愶㡤㝤愷ㄴ㜹つ㡡㐹搲㑣㐶摦㉢〹〵㐱㕥㔲〷㜴ㄴ晤昵改攴㤱㠸搶搰〶㈸㔰㑦㠵㜹〳㔱㌸昰㈰慥㥣㔴㐴㈱㝡〳㝦㙦㠹㤲㐷㙢㐱㔳㠹㜱㜶㌸㉡ㄹ户敤愳㉥慣㠴戲攱㔵㌶〸㑢㘳㙤愱㠶㤱摣搹慤昶て户㌷挱㠸ㄱㅢ㌲㈴㤲攲〷〶ㅢ㠲戹ㄲ搱㔴㕡㘷〳摣敡㝡㜶㥥㙦㠷㠵攱㑡っ捣〶㤵㈹戱㉣捤戰㠶㈵㍦㉣ㅢ搴㑦㡢㔲㡥敡收昸扣て㤵ㅥ㔰㡥㐷㈹挹攰扡㜹㥣㙥㈹㕣㘰㠰搸㡤㔲㌳攵〰㘱摤㝡〷㍣ㄹ㙣ㅣ散㘰㐷挲戰〹慤㌳㑡搰㕣ち攱㌶㉦㠲扣搳㈵㐶㈱㐸㑤昹晣㘳㥦昲搴㤳㝣扥戱㉦ㄳ㈷㈲㈶㘲愸㉢挵㝡〰㜲㤳㔱㐹㜲搱㜰ㅣ㉣て㈵㥢ㄴ㕡晤㜱ㅥ㑤㡣〱㥡㝣㕥㠰ㅢ㍣㡣㘳つ㤲㙤㙣摣㜱ぢ㉣㘸㔳㝢㘵㡢㜹搰㉤摢戵㡡㤰慡㌸㤶搵㔲㈳㙦〸㝣挹敢㝦㈱㌷愵散㑢戴㈹〷㜱㤴攲㤲㠹愴敥敤㙥晤㥤㘸㉥㠵ㅣ晡〸㘵ㅢ㠳㡦㈹㙥㌹ㄹっ㙢扢愳㐰晢㜰㙢攳昲㠲扣㌸〷㤱搶㤶㐵㔹㜶〸㜷昱敡ㄱ㘴挹㙤㠹㙡㠷慡㠷慡戴搹ㄳ㔹〷慣㌰㙢㐳攰〸敢っ〵㕥㉥〷㘳愴㑢敥㘰㈷㤹昳㔱㘴昷晣挳昲㌵㜳㝥㕦㘴㝣㈸㡣敦昲ㄴ㤴挱慥㠲㤱㘸㜰慢つ慢㕢㘱攴㤷㤶户㝥㈷㠰挲㄰㌰つ㕡搴っつ㥣〹愴搷㌶㜰ㄸ㡣㑣㠹㡥㈶〳愹㡣㔱づ挳㘱て愴㠱㥢㜸㤰㥥慢㐲〹〵摢攴愵戰昸㕥攲愸㠳㈳㔰搵扢戰㈵㜳挶〸㜰昵挵摤搱㤲㍤㕥愹搰摣㠵㝦㙥㐳㘰ㄵ搷㌶㐲㜳㜴㕢换㠵㉣戹㈶摡㜷㔷户ㄴ㐴ㄷ〵㜷㑦ㄵてㄸ㐱㜹㜱㌶㔸〹㉦㙤㜵㑢ㄲ摡て攰㡦㔸㜵㜴摡捣㔹㤷㤷㔰㤷戹昷㠵搳㙥昵㡣㉢攷愵昹扣昱㐷㉢㔶敦敤攵㈴ぢ㤹㔷昰㐷㍥㙡㐶㝢ㅥ㍤慥㘷摡散愰攱㈰㘱㍦昲〹愵挱〸搲㈹㜴〲摢扤㝥㘳㠰㜴戲慤㠵㑥愴㈰搸㈴ㄴ㜷攱㜵㈳ㄴ攵晢㐰㉢㠹㈵㍣㤲㘳捦扦〶搶㔷扥㠷ㅣ㈲ㅣ敦㤱ㄸ搱慥㐴㉡〵㜵㔲㤰㐷搷㍢㜸ㄹ攴晦〷㑢㌱㌷慦捡㑥晦〵㘶㔶㥥㙢㐵搱ㄵ㐴搱㜷摢㔱挴㐰散慢ち㜹㜳昶㥢㐷捤㌷晣㕡敦晦昰愸㜹㌷㌰捣㐷㕡㘳〸慡㌱ㄸ㕦㌷〶㝡摡㡣㠱㙢㔱㉣㡤㠱㝢搸㠶昱晡搰ㄸ㠸扣ㅤ㠷㤱戱戶㌱挰㈸㕥㡡挹㤷〸慡㈶ㅣㄸ㍣㙢㕤攸搰ㄳ㜶〰搷㙢㠵㡦挸㍤搴㤳㍦〹摦搳㐵敤搹㌳㠶㘷㌸㍢㘴晥㝥㑦㐰㙤㜹㜳戸慦㉤㥢戰挵㈵慢㤶挸㐶慢㜸㈵㘲㝦晡愶攷㘴㝤户搴㠱愹昰〹ㅤ昵㑡㕥挹扤〶㥦㠸挲ㄳ㐲收晤摢㥥摤晦挷〷ㅦ摤挷㝢㘹ㄱ慤㙡っ〴㜷ㄳ㥣愷攵㠰昰㙤攲㑡挸㜶㝥㝥㜳ㄸㅦ㈲㔹㑢戶㤸㌰㍣㘹敦昸扡ㄳ㈷㐳挲㑢㄰㘶㐸㝣ㅢ挱㤸挴つ㠷搰㤸㉣戶㌸㌶攵攷㑢搲ㄹ㔸㑣㑣㕣㝡敦攲〰愱搲㔱㘵㜵㘹㔷㙡摦㠲搲㜹㤵ㄳ㘹戶〷㜹扥攴愳㈸摦㙣搵㙡㝢愸搵愴㤹愸㡣愲㐶㉣愵㄰㘹㈰㠵㈴㡦㉣っ晤㑢㈹㌵㠳㠴㔶〴㐸㠹愱戵〶㜳㜹昲摦ㄴ〲愲㝥扤慦换㑦㔵戰㡢挰㘲散㜵敦昶散㑡慢㌳㔶㑤っ捡捡搳挷㌱㈴攴㌱㠵ㄹ㡣搲捡摣攳㐸挴㡦㌶㠶搴扡ㅤ㑦ㅣ㘴挰〹㐳㙣㈱㘳㙢づ扤㙡〵攷㉥户㠶㍢ㅥ搰㌳㌹愹㌰摣慤捣挶搱㔳㐶攳挲慡㠵㌰㡢㜰㌰㑣搶ㅢ昵㐵㐵搰㔹敥づ㥣㍦ㄱ收攳昷㐰㉣ㅦ㙤㜴扤扤戵㠴㍡捥敤挵〲昹㠳晤㜵㐵ち㘳㘳㔴㜲っ㈴散扡㙡攵挳㑢攰戳㘸㈲敤㜹㐵㙦㈴㌹㤶愲㌰ㅡㅤ㜳㔶㡦摡愶晦ㄹ愷㤶㥣㌵挷摡っ㔸㌷改晦㤳挸㔸㔳晦㉢㡣戲㐹㤴摤ㅢ㈵昸愲㌱㔲戲㘶㜰㠶㍢〲ㅦ㌶挲㌴昲〸慣换㈴㠳摢㘱㙡ㄶ㥦愸㠶挵㔲㠲挳挳㤵㙤扤〴㔱㙦㑢摢戶慦愳〰㘴ㄴ㐸晢㍡㐴㔰挷昶㥣㜴晢㌹㌶昷㙥㘴㙦㍢㙣㤵扤慡㕦㌵㠳㤱㔹㠴㜷㐷昸㠵㤹〹㥢㘷㕣昹㕡慢㔰扢ㅡ㍢搱晦ㅥ戴㌹㜲ㄴ〲晢㠸〸㕥慦愸㈳㘳〸敢㡢㔹昰㙢愳愱㐴㈰㠹摡挱扦挰㍣㔶㌳㙣㝣愰㝡ㄴ㕥捤㠰㔹ㅢ㐲搹㠵扥攵搶扢ㄸ摣㍡摣挶扡〷㥥ㅦ㘱ㄷㄱ〶㤳㑢㜸捦㝤摣搷搶㍤㘸慥ㅢ慤捤㘷捤敥扣㙢〵敤慢挰改晡㐶㘹㈶ㄹ㡥挹敦㡥ぢ晡㝤㠴㠸昳搰㍢扡㝥㔷㉣㝢ㅢ〶㥤㐷㥦㙤搳攵㌵㙡挳㔱戶㡥㌸昷晢搰㔴戹㤳〰㍦扤ㄴ㈵昸愲搰㥦㜷〷ㄳ捦㘰㔹㘴〰愴㌳㌹〳愰㌳㔵㝦㘹㌵慡㔶㜸戴㈰ㄵㄶ㤴㉦愲㥣扢ㄴ慥戶挲㍣ㅣ㌵攴ㄱ〲㘹㕤〰挴㡦挲㈳㠴ㅣ晦㈹㌴愸㡦扦㠰摣捥攳㝦㝥搵昱愹晣攵晡㤲晤て挵捡㐳㍦㠵㘲晤㌴㠱㑤攰〰っ挵㍡㘴㤰㘲㤱戲㈶ㄷ〶ㄱ㥥摢㠷㌴㥥㕦㐶晦扥戸敦攷㉦昰昹晢㍥㐵ち㐲ㄴ㌵慦㠲㠲㔰慥攲昱攴㉡㤶㤰摢㜹ㄵ㥦㔹㙤ㄵ㐳㤴㤱㥣㠹敥〱っ昴㈸愴ㄵ戹㉡ㅦ〹㙥㈸㝦㡡㐴㈸ㄲ㑤戳ㄸ㈲㘲㘵摢ㅡㄲ㘸换㥤㤷㙤㤷㤱㠸摢づ挵摢愳㜱㐷㔲扥攵㤱㠶ㄲ敦㍥搲㝤㤳ぢ晤慦戹㔰㍤收㥤挸昱扡㈱㠴〴搶挶㡦㘳㍢捡昶㕣㤷㐱㝤攵ㄳ㌱㠶づㅣ㠸㍦㤴㔲愳㌰ㄳ㈸㈴㌴㑤㐹㔱摣㐸攵攳㜱攵㙦㝥愷攱㈵㐵〱ㅥ㤰㔱㔸㤹㤴㈷㉢㝦㉣慥扣ㅢㅦ㘱挹㍡ㄹ㕥ㅡ攰昳㘲㕣㤹ㄴ㉡㉢㝦㌴慥晣户摤㍢敡㤵㘳㠲っ㝢搶㐸㉤㈹㐶慦㍣〶㈴㍥挸收改㕡㌳愹㐸晢捣㌰㥢㈲㔴㐶㡢㙤愹㑡晢㜱晦挳挳㈷搱㠷㜰㥤〹户㍥㈰㙤挳晦ㄹ攱㈰慥㌹㑤ㄹ㠱㠱㉦㥥㤷ㄱ㕦昶㜴昹挶挶㌹昳愸㠷㡣㕥昳愰㡦挳㔵㘵㐳㤱〸散㠲㙣戸扦㙢昸攱㔳㙣挸挶㝥挴㜱㌱㤵搷㐶扡搳㈲㌲㤶㤲㔵ㅥ㡤㌱㥢㌹搷愰ㄹ晤〳㐰づ攴㈵㈰ㄳ晡〷〱挳搸换㌶㘶っ㔱㄰㐸㉥㍦㠷㠴晥〸挱㠷〰ちち戹㥥㜴㤰晢㌰挰㘰晣晦㔲㡣㉣㑢挷㠹慡㍣ㄴて㤶㈴㈳晤㈳㙣昰㔱㠰ㅥ㜸㙣㤵㠸〸ぢ晡挷㤰㤳ㅣ㤴ㄲ㐴づ晡〹ㄶ㍣㐶昰㐹㠰㠲挶挹慥㝢搷戸愶㉥㔵搸愷搰㔴攱㔶㐸㠱昶改㈸挱ㄷ敤ㅣ挰ㅤ㥤㡤㘶㥥㠹攳敦昸ㄱ摤㙣晡㘰晦㉥㝣㠰扦挲㐵昷攰晦ㅦ搱愴㠵㥦㔵摦摥㕤㕦㘴〲㡤昳攱捦挳㘶扦㠶㝥戸慥㠶戱挹ㅥ摦㠱㕦㕥捤㈹㡦攰摦㜳昸㈹て㘰〴㡥㐲㤵㥢㠷扦㠵㌴㈰ぢ㤶愲〲敡㉥晤㜱〰㠵㌸㈶㥥昴㈷昸㐶搴戲㝦晤戳㔱㠲㉦ち昱㝡㡥〹㍢㙡ㅥて㐸㕣换㠲搳㉤〳ㄲ晦戲攰㔴㜲挰捦㈱㔷㤱挸㐲愲㔹㍤ㄱ㘹㔹收㍥〹㌰搰㌳挸戹㔱摤愹㘷㤵昲晤㤵晢敦晦搷㘰㜶攴㤲散扢敥散㝦昲挵㥦扤昴挴慦摥扢昷慦㉦㍦晤昴慦晥晣挴ぢ㉦㍦㍦扦昷㈷㕦昹捡㡦敦晥昲ぢ㉦㙤㌵㥦㔱扦昳慦㐳捦㍣㌴㜶晡愱〷捣ㄳ㌷敥㝦攸摤愷㡥㡤捤㕣㌰摡搳搳摢晢搶攱㥦㕥㝣晤搰戹〷扥慢晣攸㌷ㄷ戹㡡㕣㉥〷ㄴ〰昱㌳挴㘵换㘹㝣〱〹㑣㠳㌳㝥㐳愷挱攵㥥挳㑦愹㐴ㅢ㌵㠱㤷㍣㥣ㅢ㥣㠰㉣㈸㌷ㄷ昴晤〷〱摦戳捡</t>
  </si>
  <si>
    <t>No calculated!</t>
  </si>
  <si>
    <t>㜸〱捤㕣ぢ㤴ㅣ㔵㤹敥㍢㌳㕤㌳户㘷㤲㘹㐸〲㠹㈸㑥㌰㉦㐸㤸昴晢愱㠶捣㉢㤳っ攴㐵㈶㈴〸〹㐳㜵㜷㔵愶㐹㍦㘲㜷㑦ㅥ㈰てㄵ〱㐱㝣攱慥扣〵㍤㍥㔸㜵捦〲㠲㠲㡢㡢ち㉡㉥戸攷慣慦㜵㐵〴㠴ㄵ㔶㐱昶㉣〲㉥㈰晢㝤户慡㝡慡㝢慡昳㘰摤㜳慣愴晦扡昷扦摦㝦敢摥敦摥扡㜵晦㕢户挶㈷㝣㍥摦ㅢ㌸㜸收搱挱挰㕢挷て㔴㙢㐶戱㝦戸㕣㈸ㄸ搹㕡扥㕣慡昶て㔶㉡晡㠱昵昹㙡慤ㅤ〰㙤㈲㡦昴慡㝦愲㥡㍦摦攸㥡搸㙢㔴慡〰昹㝤扥慥㉥搹㠶昴㠰晤ぢ㍡ㄱ㐹㉢搹㐱〱㤴㑦㙡ㄴ㥤ㄴ㕤ㄴ㤲㠲㐶戲㥢愲〷愲㘷ㄶ挴搶攱愱㑤㤹昳㔰㠴昱㕡戹㘲慣攸摢㘶㕤㘸㔵㌸摣ㅦ敥㡦愴㈳㠹晥搰㡡扥攱愹㐲㙤慡㘲慣㉡ㄹ㔳戵㡡㕥㔸搱户㜹㉡㔳挸㘷㑦㌳づ㙣㉤敦㌶㑡慢㡣㑣㈸㥡搱㘳愹㜰㉣ㅥ㌷搳改㔴捦㙣攴扣㜱㜸㘸㜳挵㌰慢㝦愹㍣㝢㤹攷愶攱愱晥㡤㐶敤㉦㤵㘷㄰㜹㈲换㤱㜲㔱捦㤷晥㐲㤹晡搹㄰昱ㄱ㈳㥢㘷㡢ㄹ㐶㈵㕦摡搵㡦㘲㌷㄰㡤㔸戲㝦戰㕡㥤㉡敥㘱攳てㅢ㠵挲ㄶ挳㔴㉤㔵ㅣ愹搶㌶敢㤵㘲戵愷㐸晥㡣㡡㔱捡ㅡ搵搹挵㌵晢戳㐶挱〶㔶扢㡡摢昴捡㐶扤㘸㜴㌰搰㕢戴摡㜰㉣㘷㤴㙡昹摡㠱㔹挵㌳慡挶ㄶ扤戴换㈰挴㕦㕣㍢㤵捦㠹㡥づ晣昷戵㉦昵㉡㤹㙡㈸㤴愷㌸㍣愹㔷㙡㉡挶㈶っ㝢㘱㕤摤㐵搵愲愱㕣散㔲㝤㑤㔶㙣戳昱㝣昱㌴愳㔲㌲ち扣〸㕢㜲㜹ㄳ㐸ㄱ㘴戵㐳㥤㈹愷㍡㙣㈵搱㙤摦㌱慣ぢ慦愲ㅤ〵㜱搲晡昲慥㡤攵㑡ㄱ㝤㜲㔵㘸挵慡㜰㈸戴㈲ㅣ㕡扣㉡ㄶ㕡㤱挶㈹ㄱ㕡戱扥㥣搵㐹昰慡㤰㍣ㅡ㜸㌹㠷㤶㜳㈱㘶慦搵慢㝤攳㍡扡戵㑡㤷昳㤸㝡っ㠴攸㜸ㄶ㌷慢晢㙡扣㘱摡㈶昴戶㠹㑣摢㐴戶㙤㈲搷㌶㘱戴㑤㤸㙤ㄳ扢摡㈶㈶摢㈶昲㙤ㄳ攷戵㑤散〶挶㌹扡㍡㍢摢散攳㡣ㄷ㡣晢扦昰㡤㙢㑥扤敢㠵て敥晢改敤晦戲㔴昰晥㔴户昷㝣〴〶户㔶昲㘸愴愹㠲㕥㐱㐱㠷愷㙡慢㈲昱搰㡡㜵㜹㠶挲愱㘴㈴扡㘲㐳扥愴㜴敢昳扢㡤㐲摥愸搶㔶㐵㔳昱挸㡡つ晡㝥ぢ㈰ㄷ㈰ㅢ昹ㄶ〸敤㌸㠸敥㉤攵散敥扥㙤攵挲㔴搱㤰㙦㘵搲摢㈰㠴㜸ㄲ㌵㘲慤搲摢户敢慢ㅦ㝢㘹敤㘵慦㥣㜰挳愷㙦捦㍣㈶㌸㔲愸攲扣ㅤ㠱愵㡤㘴愲㈸㡡㑢㡢㑡㌷㤳㝤〰换㠵㄰摡〹㄰㕤㥢换㤵㜲ㄵ扤㑥扥㠳晡㐵㄰㐲晣搲扥攲敥㍢㔶㔵㍥戸昶敥搱扢慦扤昸ㅢ晡㌱扦改ㄴㅣ㤶搴ㄵ㤷㈰搰愲昹㈲㔶昳愵ㅡ㥡㙦㈹㌳㕦〶愱㥤〸㌱ㅦ㠳㐰㕦慤摣户ㄶ㤷慥昶㙤㘱ㅢ昶㥤扤㜱攵摡㥤昲㈴攲㤶㐳〸昱ㄳ扢㄰㘳㡦㕣戳㈸㜳摢㐵㥢扥㔲搸㝣戴昸㑣攴㌹挱㘱㔱ㄵ攲㘴〴挶捥㈸攵㑤昴㈱扢〹愶ㅢ㈰㠴摥挴〶㠸㠶㐳晤戱㘴㉣ㄱ㑥愴挳昱㔸㌲ㅣ㐷扢愰〱㘲戱㔰㝦㌴ㅤ㠹㐷ㄳ昱㘴㍡㤱㑡愷㤲戲㥦搷㕥〹愱㠵㈰ㄶ戰㡢慤搹扦㐷㉦㜱㈰攸ㅢ搵戳ㄸ㘲㔷昴慤搹㤵㤷㘱〲㈳㄰㐲㍣㘲ㄷ戲昰敡㝦晥㕢攲㕦㥦ㅤ扢敦戶攷晦晢㤷㥢攷晦愷攰㘰愰ちㄹ㐳㘰㤹㜷㈱㈳㑥ㄹ㐳晤㜱㔵愸㠸㡣㌳敢〴㠴㤶㘴〶挳㙢户挸ㄴ㔵㘹〸㈱扥㘷㕦㉤㜳敤㍦㝥晣㠹㤵㝦ㅥ扥攵捣㘷㙦敥慦摤昵㠴㥦捦㠷㠸搷㍤搹㝣扢て㤷㉢ㄵ愳愰㙥ㅡ㡣㔸㌴㕢㔰㥣ㅥ挸挲摢换㤵摤搵㐹挳愸昱㍥つ扡㔳愸㜰㐳㈳㉤愱ㄱ㐲㝢㡡挳㘵挳㌴昳搹㍣挶戴㜹㜶〴㠳㉡㘲戸㉥㥥㔲㕢换㑤㘳愲搷愸搷㡥挳搷㠶㘱慦攱㠶㜶つ㈵慤昴摡㥢ㅢ晢㘶っ㔳攲㐱㥢昱挵挵摤㌷摣昰㘲搷㥡捦ㅥ晤㠵㝢㍦㜳㘰昵㔱攲〱㍢㘱挶㉤昲摤㔶ㄶ摦戱ㄳ㥡㐷ㄵ戴〱㡥㘷㔶〷攴㙡〶挴晤㌶敥敥㈵搵挷ㅦㅤ㝣㘵攳㔷㝥昴㠵㡤㠳攷摦晢㠲攰昳㕦㜵愹㐱〴㑥昴敥㔲㘱搵攷搱攳慤づ㠵㡥ㄵ㤷㐳㠰换㘱〸㙤〴㘲捥愶㝣愱㙦㡢㤱㉤㘳㔲㜲挰敥搶㜲つ㈱愳㄰㐲摣㘳㕦晥㑦㡢㑥て㙣扡昳愹㠱捦晢慦晦昲㌷㉢昷扥㈸㌸㤰慡换慦㐳攰〸㉥㍦挶扣㑦㠵搰㑥㠳㤸挳摢慡昹昲敢〹搹〰㈱挴ㅤ昶攵慦捣㕥搵搷㘳㍥㌳㜰晢㕢㙥晡搶㠲㠷㥥㤸㄰㥣昳愸换㙦㐲攰㄰㤷㑦㈷搵敤ㄴ敡㑦愷攴㘶收㝤㍡㠴戶〵㘲㤶㝡㜰㑣攲愹扥㕢摦㘵挸㜱㈶㙥㠵㄰攲换昶㠵㥦ㅣ㕥戶攴晤挷㉦ㄸ昹㐰攴摢挳㜷㝤慢㝤㙦捦㌶㈴㥦㙥昷戹㤱㡡扥てㄳ㠲改戹㐶愴㍦挴㝦㠷㥥㘴㘱㡥㘵挶捤愴ㄹづ攷攲㈱㍤慡晢昹㐰㍢摣愷㌹ㅦ愱㍤收昶㝣㈹㔷摥愷ㅥ敦㙦ㅤ搲慢挶昴搳㝥戹㥤㌶㔴㥥㉡攵慡挷㜹㈷㡥搷昴㥡昱㤶收戴改㑣㘶㤸㡤㘳昲㘳㔴搵昵㡥㙦㌶摢愶ㄷ愶㡣挱晤㜹㉢昹㙤㑤挹㤸晡㤴㌳慤㔳㐷㉢挶㝢敢愹㌳㑡㌴㠸〹昵㕥㤵昷㡣㕡㕡㐹㔶戹晡㠶㈷换㔵愳愴㡡户扣戸㌹㥦摤㙤㔴挶つ㑥挷㡤㥣慡敡㍣㈶搹昳慦攵㥢㑡愸㈸㘶㔴戹ㄳ摣㕡㜳捤晥㥡㔱捡ㄹ㌹㤴㜷㡦㔱愹ㅤ搸慡㘷ち挶㌱つ㄰敢㥡㐸㔸搰愰ㅥ㉤㘷愷慡挳攵㔲慤㔲㉥㌴愶っ收昶敡㤸昳攵㌶㤴㜳〶愶㙣ㅤ㍣㝣挲搷摥㉥㠴敦㈴慦㌱㥡昹㔶晢㔵㐳戸㥡㤸㌳戸昹㡤摤慥ㅦ昷㑤つ戵㈸ㄸ散㤳㙤㡢づ㤱㤹捡㤷搹㥣搸ㅡ攸慡ㄳ㝤ㄷ愲㤷戵㐶慢㌲搶㕢敥晦ㄷ摣搶㌶挷慥晤㥡扤㜸㙡慣搳㑢戹㠲㔱㌹愸攷㈵㔸㈲戹ㅤ挲晦㈵摣捤㉤搹攳㌴㑥散ㄷ〷晣晢昲戹摡愴㌶㘹攴㜷㑤搶愰㠳㜷搶搵㐵㙡㘷ㅣ昲㍤㔰挹戳㈸捥㠶〸〴㝣摡づ㠲戴㠰摣挹搳㌹ㄴ㔶攳〵㝣㝥㑥㔳㡦晣〱㐴㔷㔰慡挹㍥㍣戳慡扦㌸㕡慥㔴摢摢扤㉡扣㑥慦㑥搶搸㔳て㥡挸㘹戶㥣愰㌸ㄷ挲捦㈹昲㘱捤敤㍢攸挲捣㉡㡥ㄸ愶づ挷㔱摤攸㐲昷ㄷ㉤㕦㘴挴愸㘶㈵㥤㤶㌱摣㌶晢㌵㠴㌰づ昰㘱㕦慡ㄹ晢㙢㈳㝡㑤敦㉣挲晤㐱㠳㐹㠰㤶㉢㉢㉢㐴换㔹㑡攷㔸〷散ㄸ㜲〸慡愰㉢㤷㙥愵戰㜲挲㍤㠴㕢挷搷㙥换㠳㔷〲㘵愷㠳愲㌵昷昹㐶㌷〶摥㔵㙥慤㔱摡㝡㘰㡦㔱㈵扣㑢㍢㈸㤵捤㜷ㅡ㌳摢㤴捤㥣㔱换ㄷ慡晤㈸㈹收戱㔳㝢晥㤲昹㌰㉦愹㐳㌸㠷晦㘶㜴攸挳慦ㄳ攸昲㜵敥㘵摢㑣㑣昸扡㤸ㅢ㌵㤲慥㤳㘴挷㐵㘶㙦攰愴づ㘹攰ㄴ㌸㔸㥡晦ㄸ㈰㡥挴攵愳㘳搲㔳〴㐳㕢㉢㠶㜲㘲扢㔴〴㙣捦㉡㜲摥㤸㈹㤷㜷戳㍦捤㔶戱晡㠴戳摢㜶㠴㌹㠱ㄴ㐲戴户㥣昶昱㜹愸攵㈱㘶つㄶち㝤㑥㡥㔵敤㍣愸摡攱愲㙡㜴攸㔲愱㜴㝦摦愶戵㘳㥢㈷㐶昳㐶㈱㌷㘲散㥤㔸㤳㉤愳挳昶㉤㡢㠴㈶㌶攸㤵昳换ㄳ㤱㔰㈴㝡㘲㕦戱㥣敢摢㤳ㅤㅤㅤㅦ散摦㕦愸ㄶ挵愷挰づㅤ慥ㄹ㤳扥㙢散㠴收㈹㥣愰㈳愷㍣搴ㄲ〲攲ㄳ㠰㜱〰㐲戸昱㤰㝢㄰㤷敦愵愸㐰㘰ㄸ㔱慤㠱㔱㠴挳て愲㠲捥㈰㠷て㌹㐵戱ㄷ㐲搰ㄳ㔴晥敤㍥〴㥣㐳㕣㠱晣搹㈷㔴扢搲㝢㥣搹慥ㄷ㐰ㅢ㤰〷㐹ㄳ昴㉦搹戶㤲㕣㑡戲㈷挹㥣戸〸ㄹ㝢ㄲ㜰愱㥤㌰挳ㄵ敤㠳㤹㈲攰㔲摡㕦〰㤸㌷〱㤷㈱㔹㕥㑥㜱〵㠴㡢㠰㉢慤愸㔸㠸戳㈲攰㉡㠲㍥〲㈱摥〱愱〸戸ㅡ〱攷㄰ㄵ㕣愳㑥〰㍤搹㤹〴㝣〲摡㠰㍣㐸㥡愰扢敢㐵挰㘴㉢〲㜶搹〹㌳愶晤㜴㜰ㄵ〱搷㈳㈰㡣㤶〴摣㠸㘴㜹ㄳ挵捤㄰㉥〲㙥戱愲㠲㑥戲㈲攰㔶〴攴㘷㈱挴㐹㄰㡡㠰捦㈱攰ㅣ㘲㠷㥢㠰ㄳ愱㥥㐹挰ㄷ愱つ挸㠳愴㠹攵㐰㜸ㄱ戰愵ㄵ〱愷摢〹㌳扣昲㝥攴愴〸昸〷〴挴愶㤶〴摣㠱㘴㜹㈷挵搷㈰㕣〴摣㙤㐵挵㑡㥣ㄵ〱㕦㈷攸ㅢ㄰㠲づ户㈲攰ㅥ〴㥣㐳㡣扡〹〸㐱㍤㤳㠰晢愰つ挸㠳愴㠹〸㄰㕥〴扣扢ㄵ〱敦戲ㄳ㘶㜸晣㜱攴愴〸昸ㅥ〲㈲摤㤲㠰ㅦ㈰㔹㍥㐴昱㐳〸ㄷ〱て㕢㔱㤱挰㔹ㄱ昰〸㐱㍦㠲㄰㕣〳㔰〴晣ぢ〲捥㈱㐲㙥〲戸㕥㌰㤳㠰ㅦ㐳ㅢ㤰〷㐹ㄳ㕣㔹昰㈲㘰㐹㉢〲ㄶ摢〹捤㡢㄰㠲敥慢㉡昷愳㉣捡慦㈰挴㄰㠴攲攴㌱挶ㄶ戶攴攴㜱㈴换㈷㈸㥥㠴㜰㜱昲㤴ㄵㄵ挳㌸慢扣㥦㈶攸㍦㈰〴㝤㔶挵挹㙦ㄱ㜰づ㌱摦捤挹〸搴㌳㌹昹ㅤ戴〱㜹㤰㌴㐱㑦搸㡢㤳搹慤㌸㤹㘵㈷捣㜰㥡挷㤰㤳㈲攰㐵〴㐴㜷㑢〲㕥㐲戲㝣㤹攲ㄵ〸ㄷ〱晦㘳㐵挵愹㌸㉢〲㕥㈵攸㌵〸㐱慦㔹ㄱ昰㍡〲捥㈱摡摣〴㥣〶昵㑣〲㌸㥢ち挸㠳愴〹晡攲㕥〴扣昲攷ㄶて㠶㤷敤㠴ㄹ㙥晢㘶攴愴〸〸攰愲攲㡦㠰㜹㍦ㄸ㝡㤰㉣㘷㔱捣㘶改愶㥦㡣㐱㉢㉡攸挲㉢〲㡥㈲攸㘸〸㌱づ㤵㈲㘰づ㘲捥㈱㝥㡦㙢摣っㄲ愸㤳㕢㈸㜶㐰㐰㔱㝦ㅥ换㘳㤱ㄶ㌸㔸㥡搸ちㄳ㉦〲㥥戴敢㌹㘳㙡昰㠴㥤搰扣㝣攰摦㡥㥣㡥挰敤敢㘶㠱捤㙤㜹㘳ㅦ㈷愷戳㑤扣ちㄸ㥥慡搶捡㙡㈶㍤换ㅣ㈹㙦㉣搷㐶昲搵㍤〵晤挰ㅣ搳づ㙣㥦㌴㑡㜰㜹㉢昰㝣㥢㜴攵㍤㝢㡣㥣㌴挷换㔳㤵慣㌱㌶昲搷攰ㄲ愳㝥㘸㍡攵つ户㘱㤲㈷摥㥣㤷㠷〵ㅢ㠱㕥㠲挳攷愷㙦搶㍣㐳㔷㉦㈴㕣㡥戵ち〶〱散㥤㘶㜴㙢扥㔶㌰扡㑤攵搴慡㜰㤷〹ㄶ戱㡥㤰敢㌴户㑥㘲收㍡㌲换㕣㕢挹攷ち昹㤲挱挶㤸㙢㐱搷ㅢ扢戰㘶戰㤹㡢收㔸ㄸ㥥㘵㙥慤㘰㠹㜸て㝤㥥散㠱愳ㅢ㘲捡㌹昲㥢㐳昹㔲ㄵ㤷㔱慤挸㜰慦㌹㍥㔹摥㠷㜷㠷㔳挵搲㕡㝤㑦昵慦愲㔵愶敦㈰搵㌴愲㑤戴戵㠹慥戶慥㌷摢㍥㕡ㅦ㜲㍣〶敦㈴㑡敡〵㑦ㅦ扡㙡慤㤲捦㑣㤱㌳昶〰㕦〴扦づち搵㡣㍥㍦㥤敢㘶〷挷搵㡡㑤ぢㄵ㉣㙥挳ㅢ㌶㑦㐷戹晥㑥㜶㌶攰㜲㈱㡣㝡㑥㠰㌸㜵敤ㄹ㘳搳㑢㜸晦愷㜷愵晥戳㤱昳㘱慦㤸㜰戰㥡㙤昵㈲慥愲戰㔳攱收㐴㘷㘰慣戹㘷〶㑣㠵㘱㈷㥤㍤ㅤㅣ㠵愷摤㘳慥搷㌳㐶〱ぢ〴㐵扤㌶摢㡡㜰搱〶㉦搲慡㜶摡㜰戹㔸搴搹敢昸㐶㜰㍣慢ㄷ㡣㉥㜳㜰慡㔶挶ㅢㄱ㘹㐲愸慥㘹慢昴晤㔰改晢㤵慡挷摣挲㌵㐴ㄵ㘶㕥攵㕤㝡㈵㕦㥢㉣收戳㕤㡣㜰㥤敦慦愲扢㘲〸改〰㤹捥攱っ㈷捤㙢〳㤶㠷㡥收敥挷攲っ愹㘳昳愳㔳户〹つ晦挴㥢㕣㘲挲攰愳㥥㈹㜲ㄱ㜲昳户愱㄰ㅣ㡤搴昱㠲戳㔱攰㠵㡢愱㔱攳㤳搸㐹〰㝥㜲㌱㈴〳晣㜵㑣㐰ㅣ㜴搱愱ㄳ㠰挰晡戲㥥戳㕥㍤㜵摡敦昶扢搰戴ㅣ㙤㉡㐱㉥〳つ㘳㤱ㄱ㡢㤷㝢昳㌹愳搲㐵挵㌸㌶ㅣ㜴㜰〱㐹戳摡㄰づ㜱扢捦敦敦敥昲扡搶㤸㤳搷㈲㝢愹捤扤愱㘱㙣㐶晥扦㍦㍤戵㥡戵つ〴搴㔳㙡〹敡㈱㤷戲㑥攷㐲挹晡㌴〱㤶ㄱ㜰㈲㠴㕦㐷㘲㜳摢㌴慥挸㘰摤㐶〲搴愱摥㡡㜳慤愸ぢ敢㉡㙡㤱挹慦㉡搲敤㕡ㅣ搲慣㜵愱㉥攷㔵扢㌶㡥㕥㙥攴〲搶㄰换㐵㈸㌶㐷ㅢ㕥ㅣ戵㜵㘹捤㙢散㌳㉥㡢捣㡡攳㠶㕡㌵ㄲ㕣㈹搱㑥㠲昱㌱扣㔹㤰晦㐴搳㡢收收愹㐴㈰㈰㔷〰敥ぢ〸慥愲㌸ㅣ㜰戲㘶㤳㜴㌲㔲㘵㍦㠴攰戰挷挹㠰敢搱㈵昶㈰捡挷㤷㑦㕢〹挸戱搳㙦㤴て㌹㕥ち慥㈲㜰捣㤴㈱㘶㕥㐱㠸㐳㔱扤㙢㐶愰㍤㜴搷攴戲〳㠰㍥ㄹ㘵㈶㜶㐴㑣㈱攰㔴㠵㑢㌹㜶㔵㘲〰挸㌸㠱㝢扤〱〹〲㤲〴散〳㐰挷㑦㑢㈱㌶挷攱搲晤㝥摢㠳挸㜷〲ぢ㈲㉦㜰㘵㑥捥散慢扦ぢ愹昲摤㄰攲㔲㈸㥢㠹攴扡㠲㐵攴㉡㐰㡥攰戹㈳㉥㠷愵攲昱ㄴ收捤㔵㠹〶ㅥ〷愰㍤㌴㡦㔷挲っ㐰㥦ㅣ㘴㈶㜶㐴㕣㠵㠰挳㈳㥦㐰㜶㑤㠶〰㤰挳〴㜲㜹挳〳㌰㐲挰ㅡ〲戸攲愱攳愷㡤㈲ㄶ㜴㜸慣扦戲昷㈰㜱ㅤ㠰㈰㤱㑢ㅦ㑥捥散㈹昶愵挷㤰㉡㑦㠵㄰搷㐳搹㑣攲㡤搰㔹㈴㥥〶挸㤱㤰㜸ㄳ㉣ㄵ㠹敢㤹㌷㔷㌶ㅡ㐸摣〸敤愱㐹扣〵㘶〰晡攴㈶㘶㘲㐷挴慤〸㌸㌵㤹㡢戰㕤㤳捤〰挸搳〹晣慣㌷㘰ぢ〱攳〴㜰搵㐴挷㑦摢㡡㔸㥦㐳㘲换㉤〸ㅥ愴㙥㠳㈱㐸攵㜲㡡㔳㤴〳搴㔸攳攰㜶愴捡㌳㈱挴㍦㐰搹㑣敡ㅤ搰㔹愴扥〷㤰戹昶㙢摢㐳摦摦㜷挲㑥㔱㝡ㄶ㜳晥ㅡ㘲つ㤴敥㠰昶搰㤴摥つ㌳〰㝤㜲㈷㌳戱㈳攲敢〸㌸昵㜰㡤攷攷〰㈰㈷〸攴愲㡢〷攰㕣〲㜴〲敥〱㐰挷㑦换㈰戶搰愱戴昵㡥〹て㑥㜳戰〴愷昷戹㉥挵ち摡㥣ㅡ㐸㤵㈶㠴攰㙡㑡㌳愷㕣㐲戱㌸摤〵挸攱㜳捡㔵ㄷ挵改㈴㜳收昲㑢〳愷攷㐱㝢㘸㑥戹㑣〳㈰㤶㑡㤹㠹ㅤㄱ㕣慢昱愰慣〰㠰㉣ㄲ昸㈳㙦㐰㠹㠰㌲〱㕣摡搱昱搳昶㈰搶敤㜰捡ㅤ㈰ㅥ散㔵㠰〱㝢㍦㜶㘵㑡㤴捤㕥ㄵ愹戲〶㈱ㅥ㜵〱㄰㜴〰㔳〴散㈵攰㔷摥㠰㝤〴散㈷㠰㉢㌷捤晣㍦づ㥤挵晦〱㐰づ㥦晦㈷㘰愷昸㍦㥦㌹㍦㠹㔸〳晦敦㠳昶搰晣㍦〵㌳〰㝤昲㐲㘶㘲㐷〴搷㠵㍣昸扦〸〰挹愹㤸攰㥡㤱〷攰ㄲ〲摥㑦〰㤷㤱㜴晣戴て㈰㜶㥣挳扦搷㙥〹㡦昶戸ㄴ㌶㘸㡦摦戹㉥㜲づ㌵搶〸昱㈱愴捡换㈰挴㡢㔰㌶戳昹ㄲ㜴ㄶ㥢㤷〳㜲昸㙣扥っ㍢挵收ㄵ捣㤹敢㐶つ㙣㕥〹敤愱搹晣ㅦ㤸〱攸㤳㔷㌱ㄳ㍢㈲㕥㐵挰㠳慣㡦〰㈰慦㈶昰㌵㙦挰㐷〹昸ㄸ〱慦〳愰攳愷㝤ㅣ戱㍡㥢㕥㥢㍦㍣搸晣㈴㙣挰㈶㘷㜱㑥㈹㔸㔱㥢捤㙢愰㤶㥦㠲㄰〱㠸㘶㌶㝢愰戳搸晣ㅢ㠴づ㥦㑤慥㍤㈹㌶晦ㄶ〱㌱ㅢ愲㠱捤㙢愱㌸㌴㥢㐱摡愲愴昲㍡㍢挰㠸攰㡡㤵㔳て搷㜸㝢㍤搴昲〶〲㡦昶〶摣㐸挰㑤〴捣㠱搰㤱㤵㜶㌳〲昳㥣扥搹戸㤷挵㠳挷㕢㠰〶㡦㕣敥㜲慥㑦扡㙣ㅥ㙦㠵㕡㝥ㄶ㐲㉣愴㐰㠲晣㥣ㅤ㘰挴扦〸戲㜹搲㍥挳愱愲ㄷㄶ㌰改㕡㡤搷づㄴ攰捥㌲挸㐹扣ㄵ愲㍢㘲㈵挳戵㈸㔷㍡㠴慦愳昹戵㝣摤㜶ㅢ戲敡㥥摢戴攵㐱㤹㌱攵〴㤴挶扦〳慢㙣㉤敤㔹攸改㤷㥥戴攱愱㝤ㅥ晡戹ㅢ昲㔹散㌵㉣㥢㌵散ㅡ㉤㘱敢㈸戶戶㤸㍥㕦㘸搰㝦ㄶ㜲昴扣㈶㉢搶㔱攲〶摣扤㝣㡦ㅡ搸㕤㉡敦㉢愹搲昸慢摣㐹挳慢挹捥㑥㕥㈶㠰㥦㍡摥〱ㄶ㠳㡢㤱㐲㘳昹㐵〴㘶戵〷㤷攰挴㔶搷扥㠴挰攲攱愱攱㉤ㄳ扡㥥㑤㐴㜳㐹ㄳ㥢ㄲ攳戱戴ㄱ㑤ㄹ愹㜴㈸ㅡ㡤攵戲搹㑣㉡㤲づ㘹户搵愱愶㥥㠸ㅢ昱㘴挴㠸㠴昴㔸㌶ㅢ搶㜳戱㘴㌶㤹㠸㈶ㄲ愱㘴㉣㥤㡡〷改㠰㌱㝢昹㜷〸挸㉦㐳〴㤷㌹慡慦㔰昵㔵慡攸㠵㈹ㄴ〱ち敡㕦㠱搰攱㍡㐷慣㡦挸㠸慣挸〹愳愳戳㔳㉣㙥摡㈳㌲挳愹慡扦㔹搷㌴晡㔴晥捤愰昹昰㡣㔰㉡㔷㉢搲㔸㤱㜹㍢换㝤〷㐴㈰㜸㌲㈴㜵摡㥤〸捣ㅥㅥ㥡㜰慤つ㘹㕦㠳敥㘸攸昰ㄶ搸㜹㉦捣摥愸摤〵㝤て昴捡㤹挴ㄶ挴慡㜶㌷㌴㐷㐱搳戸昹㍡搸て戵扡攲搱扣挴㌷㄰㍢㌹㤴㙣昵㈲㌹㥣㜴扦㐸㔶㙦㡦搵㈶㘵㜹㉦散㐴㠸〲戹挸㙦摡〱㐶㐴〴㤲户㤶ㄸ〱㈷散搰㔰晡戴晢愰㘹搹㑢挵㄰㘰散愹㡤㍤㉤ちㅢ㔵搴㝦㐲〰㍤㉤㠶ㄳ晤㌵敤㝥〴慣㥥㤶ちㄹ搱㘸㈸㤲挸㜰㠷㝦㈲愹愷搲愶㘱挶搳㤱㘴〲㍢㘲㜳㔱㕤晢㜶ㅤ㙡㐶昵戰㤹捤㈵㈲㌱晣㡦愴ㄳ㤹㘴㈸㤶㌴㤳㈹㍤㥥捤㤹戹㔰㐴晢㑥ㅤㅡて愵愳戹㑣㌲㤷㡣收㘲戱㜰挸㑣㐵㈳㐶㈲㘳㤸挹戴愹愷挲㘹㐳晢㙥ㅤ㥡㑣㘴㐳愱㜰㌶ㄳ㑥敡㘶㉣㤱㐹敢㤹㐴㌴ㄳ㑡愴ㄳ㝡挶㑣敡戱愸昶㐰ㅤㅡ㑤ㅡ搹㜸㔴挷搲㔶㈸ㅢ㡢挷㜲㘹㈳㤱㡡收㔲愹㜴㈴ㄲ㌳㔲搹㔴㤰扥㈷敢㈷ㅦ㐴㐰㝥㡦攲晢ㄴ㍦愰㜸〸㈲㤸㠰㔰㠸ㅦ㔲昵捦ㄴて㔳㍣㐲昱㈳㠸㈰摤㔳㠵㔰㤶㉡て㕡㕡㔹㌲㈳昱㑥〸摥ㅢ㘲〵〸㘷扦㔵昷捤㑦〹晡ㄹ㐴㈰㐸㑦㔴昵扦㥦㈳搰搴晦㈴晢㥦昶ぢ㠸挶捥昶敦搰㜸㜴㌶晡戳慡〵ㄷ戰㕡散㙣㙡㍢戸㝣っ㈱㜱ち〵昵扦戶〳㡣㠸〱㐸搵㝤晡㔰㌴愷晢㐸㜶ㅦ㡥㘷攲㜸㘸㘷昶㤴㐱㈴慢敢晣〶〱昴㤴㈱㥣搴㤸昴ㄴ〲㔶㑦㠹攰搳て戴㔰㌴ㄱ㌲愳戱㙣㈶㤷挹㠶搳㤹㜸搲㌰搳ㄹ㈳㡡㘶搵㥥慥㐳㡤㐸搲挸挴捣㘴㈶㘳敡戱㜴㈶㠱㉦㐷愲ㄸ㤵㔲〸㘵昵㔴㉡ㄹㅣ戶戳㤷晦㠱㠰晣㉤㐴㜰挴㔱㍤㐳搵戳㔴慤㜱㔴〴㈸愸㔸㠷㤰攲㝥慥捤扤㉡昴㜳㑣㝦ㅥ㈲㄰ㅣ㠳㔴㍡㜲慦挸㤶㈴㕢㤲摦攰愹㑥㘲ㅦ戸戰搸㕣挸搰㑢搰㡢昵ㄴ㡣扤㙣〷ㄸㄱㅢ㈱ㄵ㥢㕤㥥㙣㙡㥥㙣搲㍦㔵㠵㜸ㄵ〱戰戹ㄹ㈷挵收㙢〸搸㙣㘶㜱挷㘴㤲愹㜸㈲ㅤ㡤挵㘲㠹㜴㈴㤵㡢㘷愲攱㑣㈴ㄶ㑥㠵㤲〹敤昵㍡㌴㥥㌰搳㠹㘴㍣ㄷ搳㡤〴ㅥ〶愱㔴㈸㘱㤸搹㜴㉣㤲㡢攰㑥〹㠷㠲昴㜲㔵ㅦ晣㌳〲昲つ㠸攰ㄶ㐷挵〴㈹㈰㠲攳㡥慡㡥ㄲ摢愰㔲㙣扥昶扡搵㤳㔵愱㌹㡢㤱ㅡ㐴㈰戸ㅤ㠰㤶㙣㥥改㈴㉥慤戳挹扤〹㜲㌶㑣挵㔹㐸挴㝦㥦散㘵㡣㑣昲户〳㔲戱昹〲㉥攸昴㑤敤㈸㐰㕡て㙤捦〳㍡戳挳敥㐴㑥慡㘴㜳㘰っ㡡捦㐱ㅣ㈱㝣晤〱㘹㔱ㅣ㡢㠴ㄲ搱㔰㌴㤶〹㠷昵ㄸ㠶ㄵっ㔴戱㜴捥挴㜰ㄵち㐵搳戹戰㌶慦づ捤㈶㜳㘰㌶㡥攱㉤㥤挴搰愶敢㘱㈳ㅤ㡥ㅡ㜱㈳ㅡ㐹愶捣㔰㌴㌸㘱㘷㉦㡦㠱㡤㍣ㄶ㈲㜸慥愳㥡㑦搵〲慡㜴㐷㔵㐷攱㜹㘸㔳晣㤴㑤㌱攲昸㙥㠳㈶挷㐳〴㠲〶ㄴ慣㠸昶㜶㐴㍤〷㡢㠵㐸㘸ㅣ㉣㑥㠰挶㘳戰㌰敤慣慣てㄵ搴㘰戱㤲㔷㕢〲戸㤸㐴愲扡昶㔲挶愰㙥挷㑦㥣㠷㤰㙡㤰㝦㜳㌵㠸㘴㠳愸挱攲㘷㥥摣敦㠶㤱攲㝥㌹㜰攰扥㠰㌸㉤戴ㄵ㤰㑥昷㑥挶愲㐶㌲愳㜳ㄶㄲ搷挳改㤴ㄹ㑥㤸㠹㔸㉥慣愷ㄳ㐶㍡愲㥤㕣㠷㈶攲攱㑣捥㠸攴昰㕣〸挷㌰愸愷㈲ㄱ摤捣㤸㘱㌳㤲捥挵挳㌱㈳㔸戴戳㤷晤戰㤱㉢㈱㠲㈵㐷ㄵ愲㉡㑣ㄵ㕤㘴㥣戱㤶㑡ㄵ㔱愲〲㤵敡摥て扢戹㡦㌳㍤〱ㄱ〸㔶〱㔰ㄵ㈱昷搶㘰㐱戲㈵昹つ搶㥣挴㌸㜳㔵㙣㈶ㄸ㍡㠵㠹㔳㐸攴ㄱ摣敢〴昶㌹㠱晤㜶㐰㥣㡦〰挳㤲㙢攲っ愸摦晢㈰ㄵ攳昷㝢㌲晥㉤㑦挶㉦㠴㤱㉡攸㌰戲〲攳ㄷ㈱㡥㄰㌶散㐳㕡㡣愷㐲ㄸ㡥ㄳ昱㔴㉥㤶挲搰㥢搳昱㈴㡤挴昵㔰〶〳㐶㍡㥤捣收戴㌵㜵㘸㌸ㅡ㌳㡤㔸㉥㘵㐶㌰㌰㘷㤳㐶摡㐸㠵㈳扡ㅥぢ㠵㤳㤱㤴ㅥ㡤〴㉦戶戳㤷愳戰㤱㙢㈱㠲㤷㌸慡㜵㔴㡤㔱昵㝥㐷㔵㐷㠹㑢愱㔲㡣㝦捤捤昸〶㥡㙣㠴〸〴㍦〴㐰㑢挶㉦㜳ㄲ㠷挸㥡㘲㥣摢㍡攴㌶㤸㡡㉢㤰㠸晦搸扥换ㄸ〲敡㜷㈵愴㘲昳㑢㥥㙣㝥挱㤳捤慢㘰愴ち㜱㌶戲〲㥢ㅦ㐱ㅣ㈱㙣搹㠵戴搸捣㠵㜳挹㜴㉣㤵㡢㈴攳㠹㔸㈸ㅥ捦㘴㜲ㄱ㔳㑦㠷㔲㤹㐸㈶㥤㡡㐵戴㥤㜵㘸㌴㥥㑤㘵㌳扡ㅥ㑦挵攳戱戰ㄱ㑥㥢㤱㘸㌸㘵㐶㤳㤸慥㠷㘲㐶㉥㜸戵㥤扤㍣〷㌶㜲〲㈲昸㔱㐷㜵㉥㔵㍡㔵㜴㡡㜱昶㑤愳挴㈷愱㔲㙣摥攸㘶搳愰㠹〹ㄱ〸㕥〳㐰㑢㌶㍦攵㈴㜲㡢㠹挵收愹っ㤵㘰㉡晥ㄶ㠹昸㡦㤵㈵挶㄰㔰愳挱戵〸㈹㌶㍦敥挹收㐷㍤搹愴㈷慢ち㔱㐵㔶㘰昳㝡挴ㄱ昲㘹㌵㐸㡢捤㜴㉣ㅤ挱愷つ搱戴㤱㑤挵㌰㙢㑣愱捦愵㌰戹挳㍤㥥㐸㠶㐲㐹㙤慡づ㡤攷捣㔸㈶㠲㘹ㅥ扥㠴㠸攱㈳戹㜴㉣慣㥢愹㌴㘶㥣㈱㍣㉣挳搹㈰晤㘱㘶㉦昷㐲捡㝤㄰挱ㅢㅤ搵㝥慡づ㔰㜵㤳愳㈲㐰㐱挵㉤㔰㈹㌶㉦㜵戳㜹㈱搳㉦㠲〸〴㙦〵愰㈵㥢㜴㠳㔵㈲昷慢㔸㙣㜲挳㠹扣㡣㔷愳㔷慣ㄲ㉦㐷㙣㔶扢晦㡢㠸扦慢挹〳昲㝥㔵扤扣昹〳㠳㌵昸㘰㠰㌵昰戵攳ㅤ㥤昵㘶慢愳敤㥤㙦㉥㉦戵㐱〴㔹昱搵㠲㝦㍦㙡晤㝦挸〷㌵㜲㜹㕤捣昱敤昸挹て愳愸晥扦㐳㘲挸慢㠸捤ㅦ㤷戹扦㈵搵㘰㍥慦㌸㔶㜵扥昶ㅡ慣㝦搰㝡㤴攳㠲㉤㜷㌶扢㉦㥥搶っ㘶慡搸ㄷ㔱㌳ㅣ戳㑤㤵扡ㅤ㌶㡦挳て㐷挲㜲㙥㡤㥦㌷ㅤ㜳扤ㄹ㍣㙥㕡㍢㔶慡攲㡢づ㈳攷攴㔸昵〹搱搱搶㉥㍣㕦搶摢㥦慥昲㔵㈰㜳挳㌷ㅤ㘳㌹敥ㄶ㌹捥攳扤攸㔰扥愶昶ㄵ捣㐲扡㤰㕦〲㌹摡㔵愰㐹㕢戵㘸㜴㔱㌸攱慦愱㈱づ晢ㅡ㡤戴昳㡡散ㅢ〱㜹㌵㑥㠲慥㍡戹ㄷ昲㌶㕥攴㘳搶㐵㐶㜰ㄱ戱〷ㄷ攱㠵㜸㕢〷攴㈷㠸晥ち㌰㡥㑡㝣搵㡥㌰户㕥扡捥捡㉤㐴挴㜵扣戰摡㡥っ㕣㝦ㅤ㡦㝢㔶㍦昲㌰㡦摦慦敥扤挳摢挲㌱㝥捦㠰ㄵㅡ戱捦ㅢ〷挴扤戰㌸〶摡收㥤挴扢㔱㐸捦㥤挴攷搹〹捤㕢愹㠳昴㤵搵捤昶㘹ㄴ㝥㔶扢昸㈷挴㜹挳㠹㐹㔸戰㤷慢㡥㜹ㅤ慢晣㈰搴ㄶ㐱昷㈳愴摤〰㥤㝦搵愲㤱㐵㌱㤱〳㡥㘴㐰つ㝥㙥㈲㤸慥㥥〵晥㌶挱㥦戱挰㙢〰㍥搷〶㕢㘴摥㑡昰昷敢㘰㍡扤摡攷愶㜳摥㘱㠳㔹挴㠰晣㍣挱㍦愸㠳改昶㙡㕦戴挰愳挸昹㑣ㅢっ㉣挰户ㄱ㑣㘷搳㉡挶〳〴㝦㜹ㅡ扣搵〶㐳〳昰㔷〹晥㈱㈰慣〶㉦㈶攸捤搶ㅢ昸㘱㍢㐲戰㜸挴㡥攰㠴昷っ㜶〴㘱㕦㉦扤㔶摥㠹晣戹㡥改愶户㤴㕤〳搶㌹㘸㥦攷づ昴晥捣戱摣㈹ㄶ㝥㜲搰晦昸挵ち㌱㔰㔶㠸㑢晥敢〱ぢ㘹挷㝤昳晦扥慥ㄷ㡦挱搲慢㉢㙣㐲㐵㍣扢挲㐶㍢愱㜹㔳㜹昰搷挸㐹㜵㠵㍢㔱㑤㜴〵㍡慦慡㉢慣㠷㐵扤㉢摣㐵愶攸㘸㕡戴㍥㠵㤰昶㜵攸慣ㅢ㌲㉥搶〱㑣摥㐸㔵㐰摥㐳昴㙦敢攸愷㠹晥愶㠵挶㥤ㄵㄷ㈳㌶摡敡っ昷ㄱ晤っ㌰㜵攲改戹㍡戹昵㍥㠷挸㤱摤㔹捦㝢㕢愰㘸敡ㄸㅢ戰捥㑥㐳捣ㅦ㄰㉦挱挲㡢捥搵㈸愸㈷㥤愷搸〹捤㕢搴㠳㜴㝣ㄵ㥤摦㐵慤㐰㈷扤㔷㐵攷扢㘱㔱愷昳㐱㔶㤹㍥愴㐵㈷㕤㕡敤晢㜵㠲㘲㈲搵㐰搰㐳㐴昳㌶戳搰昴㙡戵㝦戶搰ㄸつ㘳㈲㘶愳愱〲昹㡦㄰捤㈱慥㑥愷戰㈳㑣敦昵㐳ㅥㄹ㥤㥡户㠵㐵㈲摥〳っ㔸愱㤸㝤摥㍡㈰㘶挳挲㡢捥㤵㌶㙢㌳㌶㜶昶摢〹捤ㅢ摥㠳扤挸㐹搱昹㘳〴㐰㈷㍤㔵㐵攷ち㔸搴改晣㈹戴㠲晥愲㐵㄰摤㔷敤攷ㄴㅣ愸㈲ㄱ戱捣㈶㠸㌹〵攴㉦㠸㍥戶㡥㥥㐷攰㉦㉤昴㈸搱㡢㙣㌴㔴㐰晦ち㈷㐱昷㤴㜴㌲〳戱挰㡥㌰扤昷㙤㤰〷愵ㄳ㈰ㅣ搳㌷㝦㉦㕤㔶㘵搱㜰搳㕢㌰㥦敦㡡敦づっ㉤㝣愶昳摡㕤搵㠱捥〷捡㍦㔹㝢搹〵〳㘲〹㉣扣攸㝣㍢㑡攴搹㍢㡦户ㄳ㥡户捦〷㤷㈲㈷㐵攷㙦㄰〰㥤㜴㍥ㄵ㥤㙦㠵㐵㥤捥愷愱ㄵ㜴〱㉤㍡改㤱㙡扦愵㔰㜴㐶挵㝣㠰ㅤ㌶〲昲㔹愲改㉢㕡攸㤳〹晣㥤㠵〶㥤㔱㌱搷㐶㐳〵㍡㥦挳㐹搰攳㜴㌲㄰昴㍣ㄹ㘱㝡㙦ㅣ昲挸攸愴ㄷ摡㥡捥㠱捦っ㔸捣㍥㕥㝦㄰ぢ㍡㥦㕥㜴昶愲㄰㥥㜴捥戶ㄳ㥡㌷攳〷㔷㈳㈷㐵攷㝦㈳〰㍡改㔹㉡㍡㝢㘰㔱愷昳㡦搰㡡㔱〸㡢㈰扡㥢摡换ㄴ㡡捥愴攸〲搸㘱㈳㈰晦㐴昴摡㍡㝡つ㠱慦㕡㘸搰㤹ㄴㅤ㌶ㅡ㉡搰昹㍡㑥㠲敥愴㤳㠱ㄸ戳㈳㑣敦摤〰㜹㘴㜴搲挵㙣㑤愷敦〵㝢晥昲攸㙡㙢㍥昳挴㙡㐱捦搲㡢捥㌷㕥㙢㐱攷㥦敤㠴收㝤晣挱敤挸㐹搱㠹摤㜴愴昳㙣挴ㄵ㥤慦挱愲㑥㈷晦㜸㡣愰ㅢ㘸搱㐹㝦㔳敢㠴㑥搱ㄹつ㠹㔷〰㜶搸〸㐸晥捤ㅦ㌱㔱㐷敦㈴扡摢㐲㡦㉥〲晡㐵ㅢつ㍤攸㥣㐵昴戹〸㍢ㄹ〸晡㤵㡣㌰扤搷㠰㍣㌲㍡㑤挷挲昳㘶昷愲㤳慥愵ㄷ㥤㝦戰㔹㥢㌱㜶㍥㙦㈷㌴㝦ㄵ㄰愴㕢慡攸㥣㠳㕡㠱捥㉡攲㡡捥摦挳愲㑥攷㍣㔶㤹㝥愰㐵㈷ㅤ㑥敤㔸㠷愰㐸㑡㍣搳㐰搰〲愲昷搵搱㔳㐴ㅦ㘷愱㌱搲愶挴㔳㌶㥡搷つ挸户ㄱ㑤㠷戲㑥攷〱㍢㠲㤳慦昷㐲挸㈳愳㤳㑥收㐱㝢㘷攰攷㥦摢戳㉡昰㠷搵㍢㍥昶㥤㍦㉥摢昱㠷搵攲㌲㔸㜸搱昹㙢㥢戵ㄹ㜴㍥㘶㈷㍣搹昴㈷ち晣㤷㈳愷㐳㝤㘳攰晡㥡㕦扤㤱㌳昹㕡慣摢戴搴㜴㈵昱㥡㌶㕦㈸愸㌷㥣㍤搸て㕣挱昷昴敢戱昳ㅤ扢㠰昱攷㝦散㤷㘴搸ㄱ捦敤㤵捥㡥㔳愹㘲㌴搶捣㑤ㄵ㙣㐱敤㌴挷慡昸㘲㈱搷㠵㡦㠰㙢㌵晣挹愰扦㠶捤挲㜸攷摣〱㠲㜰㔸摢㠴㍤㕦昷㙥㐳戲愷摢㘶㝤㐴㌰捤㠷昳㤹㝣ㅢ户ㄱ扦戹㡦ㄷ戴㜷愰昳戹戶搷攵㕣㝢攳㍢挴愳㘸㘵㙢㐱晣ㄲ摦ㅢ慡搸㤸㌱挹挵散挹㑢㈰昸㝤慢㕡搲㠱〸挸愵搰㔸㝢㤱昹晡摦攷晦㌰㉡摡㕣㍦扥㠳攷ㄸ敦㙢晡摥扤扢㥢㤵㜶㡥㡥慢〱㌹㤸扦㡢㉢昹㍡㡢ㄳ㍡晦捥㔹㔷㜱愲㘰㤴㜶搵㈶敢㝦摢慣㔳㝤㍤㉦㑦〴㡡㤷攲㑦搰㉦㘵慥昲㈴户昶搳搰戰挳㙡换愱㜵㙦㜹㙤愴攱㈷㥥㌴㥣っㅢ㐹ㅡ愶㈹㔸㐹ㄵ㙢慦㠴㑦㕣㠷扣㐹㠳㜳㠸㥢㄰㔱挵〸〳挹〴晥〴晤㍣愵㡤搸㕡攲挵攷ㅤ㙤搴慤扤捤搱挶摣㌹㝣搵搱挶摤搸㍢愱㔵搵㑢㐰摢戲㤱ㅦ昲慣㕤ち㈶㑤戵㝢㈷㔵慥摡摤㠵散ㅢ㙡㜷㡦㔳㡡㜷摢愵㐰摣㈷敥㜳戴慢摣㕡㑥晣㔵搹㑥㠱戶㘵搹扥敤㔹戶〱ㄶ愴㤱昹㈱慡㕣㘵㝢㄰搹㌷㤴敤㈱愷ㄴ㈳敥㔲㍣攲㘸搷戸戵㍦㜶捡㌶ち㙤㝤摢㑥㘳㥦戸挷戳㘴敢㘰愰㡤㐱㌴摥ㅡ愷㐲攳㉥摤㑦㥢㑢昷ぢ愷ㅣ敢㠱㐴搸敡ㄷ扦㜲戴ㅢ摣㕡㑥㑡ㄵ㜳ㅢ愱㙤㔱扡摢㍤㑢户ㄹ〶摡改㄰㡤愵摢〲㡤扢㜴㑦攳〲つ摣㍤敢㤴㘳㉢㤰〸㕢愵㝢捥搱㥥攱搶㜲㡥愷㑡户つ摡ㄶ愵扢捤戳㜴㘷戲ㄸ㉣摤昴晤㜴ㄶ㔵慥㔶攵ㅣ戱愱㘴㝦㜲捡戰〳㐸㠴慤㤲扤敥㘸㜷扡戵㥣㉥愹㤲㥤㠳㐰㡢㤲摤敡㔹戲㜳㘱搰㔴戲っ㔵慥㤲㜱扡搵㔰㌲捥愸搴㍤㥤㐳愰㕥㌲捥㥣㤴搶㜰㙢㌹昳㔰㈵㌳ㄱ㘸㔱戲敢㍣㑢㌶〹㠳愶㤲㥤㐷㤵慢㘴㥣戹㌴㤴㡣㤳ㄳ㔵㠶〲〲昵㤲㜱ㄲ愲戴㐵㤷搶捦愱晥戰ㅦ㐵㜰戸㝤㜳昰搰戶晦づ攵㄰㍥搰㔹㕥攰㕦愱昴晡摥愳昱㝢愸ㄲ慥㈳昸〰㘱ㅥ戲㙣〷ㄸ改攵㌰捥㐰ㄷ捥扥㕥づ摦昵㤸攰㄰捣㈲捡㍤㔴㜳昴㔵昶敦戵〳捡㥥㈳㙤摤愲㤷㈳慣㡡㈱㌳㕦㉦㐷搶改ㄸ㐷搴㘹㈴㐷搲㝡㥡攰㜰愸慥㔴愱㥡㈳㈱搳㘴搵づ㌰搲换㔱㙦摡㥥愳㕤㍤㈶㌸㘴㈹㝢晥㑤㑥挱搱㑡搹㑦搹〱㘵捦㤱愹㙥搱扢挶ㅤㄳㅣ㔸㤴晤㕥慡㌹㥥㈸晢㝤㜶㐰搹㜳散㤸戶攷㤸㔱㡦〹摥晡捡㝥㍦搵扣攳㤵晤〱㍢愰散㜹㜷搷㉤㝡㜹㔷搷㘳㠲㌷愷戲㍦㥦㙡摥㤷捡晥〲㍢愰散㜹て搶㉤㝡㜹敦搵㘳㠲户㤰戲㝦ㅦ搵扣㝢㤴晤㠵㜶㐰搹昳㑥愹㕢昴ㅡ敥㤸㘰㐷㔷昶ㄷ㔱捤㍥慥散㉦戶〳捡㥥晤㜹摡㥥晤戸ㅥㄳ慡㠳戱挵㉥㠱摡㌹㠲散㘸㙡敥晦㝥〴㌰昷㔷摤㠸愸て戸㔱散㑥ち昵㐱ぢ愵扡〰㔱㤷扡㔱散ちち昵㈱ぢ愵ㅡ㥡愸换摣㈸㌶戸㐲㕤㙥愱㔴㜳ㄲ㜵㠵ㅢ挵㘶㔵愸て㕢㈸搵㘸㐴㕤改㐶戱昱ㄴ敡㉡ぢ愵㥡㠶愸㡦戸㔱㙣㈲㠵扡摡㐲愹〶㈰慡愱㡥㙣〸㠵晡㤸㠵㔲㌴捦戸㈲改㔶愸㑦㈸㔴搰㈱㔳㤰㍦攵㌴㤵㌰㑣搱㘹ㅡ㠲㙤ㄷ㜶㈰㍡ㄷㄱ攴㑥㈱㡡㑤〸㠷㐴㐱摥ㄴ愲搰㠴㜰〸ㄴ攴㑣㈱㜶㌷㈱ㅣ昲〴昹㔲㠸昳㥡㄰づ㜱㠲㕣㈹㐴扥〹攱㤰㈶挸㤳㐲㑣㌶㈲〴愹㔱〹扢㥡ㄲ挸㠶㑡㌰ㅢㄳ扡晦ㄷ㡤ㄹ愹戵</t>
  </si>
  <si>
    <t>㜸〱捤㝤〷㜸ㅣ㐵搲昶戶挲㑡扤㤶慣〵㘳っ㤸㈰㠳㑤㌲搸捡〱㌰挶㤶㜱〰㘷㌹晣〴㝦昲㠶㔹㕢㔸挱散慥ㅣ㐸戶㐹㜷㘰㌸搲㤱㌱改攰㌸㠲挹㌹㜳摣㤱㤳挹昰挱ㅤ㌹ㅣ㤹㍢㌲〷晦晢搶㑣捦捥㈶㔹挷㜷㝡ㅥ㔶扢愵慥敡户慢慢慢扡㝢㝡㘶㝡㘷㝤捡攷昳晤㡣ㄷ晦昳㔵挴挴搶慤㉢ㄳ㐹慢㜳㔴㑢㜷㐷㠷ㄵ㐹戶㜷㜷㈵㐶㡤㡢挷㐳㉢愷戶㈷㤲㠵〰昸摢摡㤱㥦㈸㙥㑢戴ㅦ㘶㤵戶㉤戳攲〹㠰㡡㝤扥搲㔲㕤㠰晣愰昹ㄸ㐶戳㤴㉥㈲〱捡愷晤㈴㈵㈴愵㈴㥡㈴㐰㌲㠰愴㡣愴㥣㘴㈰㐹〵〹㔵敡㑤㐸㌶〵㈹ㅢ〴㌲愷㘵晣㡣昰㈱㌰戰㌵搹ㅤ户㜶慢㥣㘷㥢㌱愶扡㝡㔴昵愸㥡收㥡㠶㔱㔵扢㔵戶昴㜴㈴㝢攲搶㤸㉥慢㈷ㄹて㜵散㔶㌹戳㈷摣搱ㅥ搹摦㕡㌹愷㝢㠹搵㌵挶ち㔷搵㠶㐳㜵㑤搵㜵昵昵戱收收愶戲捤愰㜹㝡换昸㤹㜱㉢㤶昸㙦改ㅣ㑣㥤㌳㕡挶㡦㥡㙥㈵晦㕢㍡㌷㠷㑥愸㥣搰摤ㄹ㙡敦晡㉦㈹㉤㘶㤸㙡㈷㔸㤱㜶挶搳戲攲敤㕤㡢㐶挱散㌴㐷㠳㙢ㅣ㌵ㄱㅥ㡦㠴ㄲ挹ㄶ慢愳㘳戶ㄵ㘳㈸换㍡改㌳㉢㙥㜵㐵慣挴挰捥㝤㔷㐴慣づ㈷㍢㔱摡㌹㉦ㄴ㥦ㅥ敡戴㡡㤸愸攸戴攳㌶㈵㙡㜵㈵摢㤳㉢换㍢攷㈶慣搹愱慥㐵ㄶ㈱挵㥤㤳㝡摡愳㐵㐵慡愸挸㔷戸㔳㉥㘳㈴㌶愳㈶挶㈳㉤㡢㐳昱愴㜰㡣㕡㜵㉥慣愷㠷㠸攱㘹㘶戱ㄷ㔵㘶㤴㘲㤸㕡摢㍢昷户攲㕤㔶〷㉢㘱昰㐶㘶㠰挴㈷戶敢㕤攷㤸搶㌰㌰㙡㠰㌳㠴搸ㄴ搶愲㠷㤰㙣〱攲摦ㄲ愴㘸㑣㑢㜵戳摥㡡戲愱㈰慡攸ㅤ㡣㐱㙦ㄹ㡥㠳㠲戶㔰㐱㕢戸愰㉤㔲搰ㄶ㉤㘸戳ち摡㘲〵㙤㡢ち摡ㄶㄷ戴戵ㄷ戴ㅤ㔲搰戶〴ㄸ昳㉡㉤㈹㈹㜰㕥㝢摤晦攴㈶攳捥摡㙣晦敢㑥㝢散㤱慦扥晦扥㔵㜱搸挹昸摢〶〹扤㉤㠸㝦㍢㤰搲㤹摤昱敥〴摣慦㉢㈹ㅦ〶愲搴摦㘰〷㙤㌹㝡攴搲ぢ摦㝢㘹昳昱㙢摦ㅢ㍣㙢收晢换敥㔱ㅣ戶愲㘴〷㠲㠷㠳昸㐷㤰㡣ㄹ摥㌲扣愶㔱敦㐸改㑥㈰㑡扤散愸㌸攳晣㕢㜷扥㜰慦㔷㘷㥣昴搳搹㌷㕣㝢搷摢搷㉢づ㝡㔱戱ぢ挱扢㠲昸㐷㤲㠸㡡㕡扤ㅢ愵扢㠳㈸昵慣愳㈲㍥㜴㤷㑢ㅦ戸昷搵昱㔷㡤㔸昵挹㠱捦捥敢㔶散㘷愲㘲㌴挱㔵㈰晥㙡ㄲ㔱㔱慦㙢㈸慤〵㔱敡〹㐷㐵散改捤ㅥ昸㙡攲慡㤶㍦摤晢摤㔳摢㉣扡敡ち挵〹㐷㔴搴ㄳ摣〰攲㙦〴ㄹ㌰扢㍢戲愴㜲㕥㜷㐷㑦愷愵㥢㤸搵っ愲搴㐳㡥ㅥ㕤戶㘱㥦㠳捦っ戵㕣昵昸㠶攴〳㌳愶ㅦ愰㌸㘷㠹㥥㍤〹摥ぢ挴㍦〶愴㙣㔲㈸㔱㌹㌱ㅥ㤲㘹㔳敦捤扣戱㈰㑡摤敦㈸慡扥收㡤搳扥㍣㜸晤昸摦摥㜸㡡慦昰昹改㉦㈸捥㝢愲㘸ㅣ挱攳㐱晣㉤㈴搲愶㍡㍤㠱搲㝤㐱㤴扡搳㔱戱昹晡㠲㉢摥㜸晢挶愹敢昶扡晡扢㕢㘷摥戳㐰戱户㠸㡡㐹〴㑦〶昱㑦〱㘱㉦㙢搴晢㔱戶㍦㠸㔲㌷㍢ち〶っ扢昹㌹敢㠰敡㈹㤷扦昲搵ㄱ㌷慤㝢晡㌶挵ㄹ㔷ㄴ㑣㈳㜸㍡㠸㝦〶㐸㌹ㅢ搳扡ㄸ搳挰㤲搰㈲㑢捦㘴收㉣㄰愵慥㜵㌴㑤㕡㝡攲㤵敦ㄶ㝤㌵昱㤴摦㔶戶ㄴっ晣㌱愴㌸㙤㡢愶㔶㠲攷㠰昸攷㠲搰㤴㝡㍤㡦戲昹㈰㑡晤挹㔱㜰㜴㜸昲㝤㑦㍣㌲㜹攲〵㈳㠳戳㈳捦散昲㤸攲㤴㉦ちづ㈰昸㐰㄰晦㐱㈰㔴搰愴て愶㙣〱㠸㔲㤷㍡ち㉥㝡㝡㘵㙤㜲敤愳ㄳ慦扥㙥捥昴㝤㉥㝤晢つ挵挳㠵㈸㘸㈳㜸㈱㠸㍦〴〲〵㌵㑤㍡㑣㔹〴㐴愹ぢㅣ〵㥢搵㉡晦慥㍢㍤㌹晤散㈹㥤㜷㉤昸愹㘵㤰攲愱㐶ㄴ㔸〴挷㐰晣㡢㤸挲攴㍤㝡ㄲ㠶㑣㐲㉦㈶摢づ愲搴㔹㡥㤶慤㈶摦扦㝣收㤰攵㔳㡥ㅥㅡ㌹晥㥣〳㠷㌴㉢ㅥ慢㐴ぢ㠷愹敥〰昱㜷㠲〴攷㠷㤲㔶扣戲㌵㠴愳㔲㠸㠷㔶摤挵晣㙥㄰愵㑥㜵㤴㕤㕤昵捤挸搱㉤ㅦ㑤扥㜵晤搸戳㍦㥥晢搹㠷㡡挷㍣㔱㜶㈸挱㜱㄰㝦㠲㐴晡㐸㠳㑥㔲摡〳愲搴㠹㡥㡡摢慦晤㘹摤ㄳㅢ攲㔳敥㜹攵昹㙤晦扥晤敤㑢捡㤶㈳㝢㤶㌳㉢㑤㠸㠷㤶㘳㙡㑦ㅤ㌵㙡㐶㔵昱㙦攳㠷㑢ㅣ㉤㘳昵戱挶㔸㜵㜵戴扥㉡㔴ㅢ㉡收扣昶㥦㑣搲㘵戱昹敤㕤搱敥攵㌲㙢㤷挵㈶戶㜷挰ㅤ挲㔴挴昰捦㍥昲〸㕦ㅥ摢㜷〵づ搹ㄱ㘷㠲㡦戵㔸昱㈴づ㜵挹㤵愹㔹㝦敢昱愱㠴㤵㘲㐷㍡扡挷㜷昷㜴㐵ㄳ㐳㜳㘷戶㈶ㄱ㠰慤㌲昳㔲㑡戲㡡戵攲㌰㘸㈵挴愴㙤㌳㡢捤ぢ㜵昴㔸攳㔶戴摢搹摢㘴㘴攳㠰搸ㅤ捥㥦㍢㌱㙥ㅤ敡收㘶㔹㌴づ㌳挸㌲搱㥤搵㑡㍢换戶慢戲㘵㜱㜷挲敡ㄲ昳㐶㜶捥㙣㡦㉣戱攲慤ㄶ㤷㙤㔶㔴㥡㍡㤸㔹捥㔱㜹攴㡣㉥㌴ㄴ挷搹攸昶㕥㈹ㅤ㙤㜵㐵慤㈸散㕤ち㉦慦㥣ㄳち㜷㔸㥢愷㐱散㍡㤱戱㘵㥡㜸㘲㜷愴㈷搱搲摤㤵㡣㜷㜷愴攷㡣㡢㉥ぢ㘱㈵㄰㥤搶ㅤ戵㡡攴攵戳愹昲ㄵㄶ㉡攵摢㌹搷㈱㤵扡ㄳ㍣攸㝡㍡〹て敤扤㠳㍤㥤㠸攰㥣〷㙢㔷㌳ㄲ㥥㑥㐶晣㉥扤㕡㤲搶〹㠱慥敡ㄵ㥤愳㤳戲㡡㉤搲〷摥愸搹㠸て攲搰㘱㜱㔴ㄶっ捦慦㌲搵㉦㌷㘲愹㈷㉡㕣愵ㄳ摤㡢搳㐴慤摢昷晡ㄷ㕣㔰㌰挸㘹晤扥换戰摥㥢ㅣ敡㡡㜶㔸昱㕥捦㌱ㄴ㉤搲㉢㐸㔶㤲ㅣ㐶㜲㌸挹ㄱ㈰挵挷㘰㡥换敢㔱慥㜶搴ち戵戲㜸㜹㝢㌴戹搸扦搸㙡㕦戴㌸〹ㄹ捥㑤㑡㑢改敥㌹㌸挵㤹㠵ㄳ㤳〷昱㜹ぢ㘹㥦㍥㡡㘴ㄵ挹㙡㤰㐰挰攷㕦㠳晦㍥㝦㐰ㅦ捤㝦挷㠰㔴㤸〵㙦愵摤㌳〳慡㤸㡢戹晦㝣挹㠹㑡㝤㕡㔶戸㌸〵㐹ㄴ㜷㐲㙦愲戰㌰㤷㌷㈶㠷ㄲ㡢㤳ㅣ㠸扤㘶捡攲昲㔸㉡㍤づ愴散㜸㤰改㤳慤づっ攳晦搶搹㑢㌱㤷愹ㅢ㕤㈵昳〸戵㜹㘷敢捡慥挸攲㜸㜷ㄷ㑥ぢ㈷㠴㤲愱㜱ㄱ㥣ち㈴㔴挸摦㌹戵扢愵㈷改敦㥣摣㡥㝦㘵㥤戳慤愵㔶㈸搹㠲㘹㍡㔹摥㌹ㄵ愷ㄱ㌲㡦㑥㠹慥㈸敥戴捦〰㈶㔸㠹㠸收愹挲ㄴ㑣㑢㉢晣㐸㘱㥥㉤敢攴㐴㘳慤㐸㔲㜵㐹攷捣㄰㑥㌵㤲ㅡ愰㤱㔲捡㑥戱㘴戹挸㑣改㠰挳㐱㐳㔰㤲ㅥ㉤〳㐴㘰㙢昲戱攷攰〸㡡㈳㙤㤱㐳㌳㐷搰摣㘴㝢㐷㘲㤴攳摥㔱ㄳ扡㜱㉡㘹挹㠹㌱摤敥昷愳㠳昹㝢つ㔶收㐰攷戹挶㡣㐸搸㔶ぢ㔳戰扡攸㔹捡昳㡤晦㤶ㅥ敡昲改摦㠰㕣昴挵㔵㝢㡥㔸㜷摤捦捥晦㔵ㄸ㐲昲搲㍣ㅤ搱散敦㘴昱㑦㕥晡㐴晣ぢ昴㤶㔷捣昳㤶㥣㌳㙤㥥搳愲㘲攰换㍡搱摡㌹㜱㑢捥昳㑡㠵㔹戹搴㉡敦㥣摦ㅤ㕦ㄲ敥敥㕥挲攰てㄴ㉥戱搸戲㤲㍣㜹ㅡ攰㥣㉢㌲慤㤴㉡㉣㑣㍢㑢昲㥣㘵昱戴换晦㍢㤰昲㜱ㅤㅤ㤵㐶㘳挲㝦ち㐴㠵㌸愲昸㑦㐵愲愹慡㜹㔴攵㡣㐹㔳㘶戶㑤㙣户㍡愲ㄳ慣㘵㙤晢㐶扡搱扢㉡㜷慥愹㙡㥢ㄶ㡡ㅦ搶摤㔶㔳㔵㔳扢㑢㘵㘷㜷戴㜲㘹㘴攲挴搶㜱愳㔶㜴㈴㍡㔵㌷扣挳ㄳ愳搹挱㌳慥摥㉥昱攰昴㤳捦ㅢ昶搵㈳㤱挷ㅥ㔷㕤㑥㐶搶㘹ㄷ捦戶戸㍡搲㘷㤰晣㥥攴㑣㤲戳㐸捥〶㔱㡢㔱㤴㜳ㄹ㔷昷㐱昴扢㕢戱挴㍢㕡㈶㠸㜳㠹㌹㡦攴㝣㄰捣㐸ㄲ㈱㑣㐸敢㈸攳㠴ㄴ㔰㡡㘷㜲㥣㠴昴㐵㈴ㄷ㠳愸㑡㄰づ㔷㥦扥〴㈴㙦捣户㈳㈲㉢收㤷㐱ㅡ搰扤攴愹㘱㐰㌰敥㥡㝥搶昴慣愶㔷搵㕣挷〷㔹捥㤹攳㘴㘴㥤㑥敥㠰㘲攲㥣昵㔴㜲㉤挹㜵㈴搷㤳摣〰愲愶㍢捥攱㔰ㅣ〲愷㝣㡣晦㥦攲攳搳㌷㤱摣㑣㜲ぢ㠸挷㌹户㠱昵摦㑥㤹ㅣ摦㉡攷愰㜳挱㑦挳㈱ㄱ㍦摤㠱㠴扥ㄳ㐴敤〸㘲晢改㉥愴昲晡㘹〴ぢ慣〱㠱㉤愹戱㜱㉦〴〱摤㑢㥥摡〹㠸㕣㝥摡搳㜱㐷㤶㥦昶㜰㌲戲捥㤹㜹慡㉣㝥㝡ㄸ〹晤〸挹愳㈴㡦㤱㍣づ愲敡㔰㤴㥤攸㔸昸㠶愷搰昴㔱戹㜴愲㈷㠹㜹㡡攴㘹㄰㡦㥦㌶㠰昵㍦ぢ㔲㌲挹敡戲㜰㔵っ㑥摡ㄵ慣㌸改㌹㈴昴昳㈰㡡摡㙣㈷扤㠰㔴㕥㈷㡤㘴㠱㉣㈷扤っ㘹㐰昷㤲愷㜶〷㈲㤷㤳㠶攵㜳㔲愵㤳㤱㜵㔵㘰㌴㌴㠹㤳摥愴㈹㙦㤱扣㑤昲づ挹扢㈰㙡㉢挷㐹㕦㘳㠴昱㌵ㄴ晦〷㡢㤳摥〷愷㍦㈰昹㄰挴攳愴㡦㈸㍢㠶㌲愵慡昰㑦㥣昳〹㠵㥦㠲愸ㅡ㄰摢㌹㥦㈱㤵搷㌹搵㉣㤰攵㥣㉦㈱つ攸㕥昲㔴㉤㄰戹㥣㔳㤲捦㌹㝥㈷㈳敢㝡㐷㍤㌴㠹㜳㝥愰㈹㍦㤲晣㥢攴㈷ㄲ㜶㙡挵摥㙤愶愱づ昴㥥搴㌴挴戱愷ぢ㐸ち㐱㍣捥㈹愶捣㜱づ㉦愱㠸㜳㑡㈸㉣〵㔱㑤㄰搹捥搱㘰昳㍡愷㤱㈶慣〱㠱〱愹攱㔵㠶㈲〱摤㑢㥥㙡㐶㤱㕣捥昹攴愷㍣㜳昴挷㑥㐶搶㐵㥣㍤愱㐹㥣㌳ㄸ㤵敡捤㐹㠶㤰㙣㐱戲㈵㠸㝡て㐵改㥣昵㘰㑥挳㈷戵㙡ㅣ㑡捣搶㈴摢㠰㜸㥣戳ㅤ㘵㡥㜳㜸㕤㐸㥣㌳㡣挲敤㐱搴摥㄰搹捥搹〱㙣㕥攷㡣〱㉣摢㌹㍢愲㐸㐰昷㤲愷挶愲㕣㉥攷㍣㤷捦㌹捦㍡ㄹ㔹ㄷ愶挶㐱㤳㌸㘷㌴㉡搵㔵㈴搵㈴㌵㈴戵㈰敡〹挷㌹㑦㠲攱㘸ㅡ〵戲愹っ慢㝡㘲ㅡ㐸ㅡ㐱㍣捥㘹愶捣㜱捥㜸ㄴㄱ攷散㐹攱㕥㈰㙡〲㐴戶㜳挶㠰捤敢㥣ㄶ挰戲㥤戳て㡡〴㜴㉦㜹㡡㐷摡㕣捥戹㈳㥦㜳㙥㜷㌲戲㉥戹㑤㠲㈶㜱捥ㄴ摡扥ㅦ挹晥㈴㔳㐹愶㠱愸ㅢㅤ攷㌴㠱㜹ㄹ㥦㔴捦㤹㐱捣㑣㤲㔹㈰ㅥ攷戴㔲收㌸㠷㔷昱挴㌹㜳㈹㥣〷愲昶㠳挸㜶捥㝣戰㜹㥤㌳〵戰㙣攷ㅣ㠸㈲〱摤㑢㥥摡ㅦ攵㜲㌹攷愲㝣捥戹搰挹挸扡㥣㌸つ㥡挴㌹ㄱ摡ㅥ㈵戱㐸㘲㈴㡢㐰搴㌹㡥㜳㜶㉥昲昹昶㐷㡦㐹㌹愷㥤㤸㐳㐸㤶㠰㜸㥣搳㐹㤹攳㥣改愸㐰㥣搳㑤攱㔲㄰㌵ㄳ㈲摢㌹㠷㠲捤敢㥣ㄹ㠰㘵㍢㈷㠹㈲〱摤㑢㥥㥡㠵㜲戹㥣㜳㕣㍥攷ㅣ敢㘴㘴㕤㈱㙤㠵㈶㜱捥㤱戴晤㈸㤲㔵㈴慢㐹搶㠰愸愳ㅣ攷戰户愶慦ぢ㡦㈱㠶㐷㝡㝤ㅣ㠸挷㌹扦愱捣㜱捥ㅣㄴㄳ攷㥣㐰攱㠹㈰㡡ㄷ㕥㙤攷慣〵㥢搷㌹㜳〱换㜶捥敦㔰㈴愰㝢挹㔳昳㔱㉥㤷㜳㤶攴㜳捥㈱㑥㐶搶搵摦〳愰㐹㥣㜳㌶㙤㍦㠷攴㕣㤲昳㐸捥〷㔱㔱挷㌹ㄷ㠳戹〱㥦搴搱㙡ㅤ㌱ㄷ㤲㕣〴攲㜱捥㈵㤴㌹捥㌹㄰ㄵ㠸㜳晥㐰攱㘵㈰㡡ㄷ㤵㙤攷㕣づ㌶慦㜳づ〲㉣摢㌹㝦㐲㤱㠰敥㈵㑦㉤㐰戹㕣捥㤹㤵捦㌹㌳㥤㡣慣㉢摢㙤搰㈴捥㘱扢昵㡤㈴㌷㤱摣㑣㜲ぢ㠸摡捦㜱捥昳㘰戸㘸摥〹㥦捦㤱昶改摢㠸戹㥤攴づ㄰㡦㜳敥〲敢扦㥢戲戴㐵昳㐲ㄴㄲ㍦摤挳㌲昷㠲愸㌰㐴戶㥦敥〳㥢搷㑦㈱㔶户〶㈴敤愸晥㘷ㄴ〹攸㕥昲㔴〴㐵㜲昹愹㌱㥦㥦ㅡ㥣㡣慣ぢ昸ㄶ㌴㠹㥦ㅥ㐷愵晡〹㤲㈷㐹㥥㈲㜹ㅡ㐴㔵㌹㝥攲㈴㝢づ㍥愹㑥戴㠱㤸㘷㐹㥥〳昱昸改〵捡㥣㑥挴㝢〲攲㥣㤷㈸攴攴慥ㄶ㐳㘴㍢攷ㄵ戰㜹㥤戳〸戰㙣攷扣㠶㈲〱摤㑢㥥㙡㐷戹㕣捥搹㈶㥦㜳戶㜶㌲戲敥㑢㉣㠱㈶㜱捥扢戴晤㍤㤲昷㐹㍥㈰昹㄰㐴㙤敥㌸㠷搳捦摤昸愴㥣昳ㄱ㌱ㅦ㤳㝣〲攲㜱捥㘷㤴㌹捥攱慤づ㜱捥ㄷㄴ㝥〹愲扡㈰戲㥤昳㑦戰㜹㥤搳〹㔸戶㜳扥㐶㤱㠰敥㈵㑦㜵愳㕣㉥攷ㄴ收㜳㑥㠱㤳㤱㜵㥦攵㔰㘸ㄲ攷晣㑣摢戹愶搱㡡愴㠰愴㄰㐴晤昸㙦㝢㍤昸㑤愱捦㌷〸㠲敤昰晦ㅢ㠰戱戱㠱ㄸ㍦㐹〹㠸挷㌹摣ㄲ愱㜹扡㠵㌳㠹㌸晥㠹㜳〶㔰㔸〶愲㤲㄰搹捥攱㘹㕢㕥攷㈴㔸挷ㅡ㤰戴㘱ㄵ㐴㤱㠰敥㈵㑦昵愰㐸㉥攷㝣㠸㠶攴扣愰昱㠱㤳㤱㜹〷愹㜸〵㌴㘵㕥ㄱ㤳ㅢ攱敥戵㜵捦㔵晢㠱〰晢㘳㜳扢摡㤳㠹〱戱㜱㍤挹敥㠹敤挹〹㠹㘴㔹っ〴㐹㈹戲㤵捣㌸㥥㐲㈳㘳昳摡慤攵㍣㙤摦㉥㍢ぢ㝢〴㕡㝡ㄲ挹㙥戹搸户㙤㜶晥㠴敥改摤挹〹敤㠹愵ㅤ愱㤵挳㜳㘴摢㌹昳ㄷ㕢㕤戸㉦ㄲ挷敤㤱㡤㠱扡㤷㉥戵愲㌹㙣㙣敤敥㠹㐷慣㈹ㄳ㝥つ㜷㔶㤴㝤搵搲㠷ぢ㘳㌸㔹㔳㈳昲摦㐹昰昸㝤㌳挴愶〰ㄷ搳搴㉦扢㌰敦摦㤲㝤昷愰㈸敥愳㜴㠶㍡ㄶ昸昴㔶攰㜹攱㔴〵〲㝡㈸㍢㘴挰㔷扣㜲愳㥤挵㜳搷㘶〰挰㠱ㄸ〲㙣换捡㥤摢㠲㔳扡ㄲ敤㔱㉢攰㜰搳摡扢〶㍡挹ㄹ㍤挹戴㥣搰㡡㐱㑥づ慥晤捤攸㐲㈷㠸㠴攲搱㕦㐳㝣搰㌰扣散攰㈸㍦晥㝥㤹换㙤㌵㌸㤶㜳㕥攲敢昳㔵ㄸ昶㕢㍢扥㍥っ㠲㥣㤷㘲摤㠱㠹㠴攷愶㔷〵昰攵㜴户㉢㉥㈵㌷捤ち㜵㐹ㄴ㕡㤳扣㌲㍡㔰㄰ㄶ扡㍡㌶改㜴㔸㠳搲㔹戹㈲慦㘳攳挲〹㙣㤹㐸㕡〳摤㤴っ㜹ㅤ㥢㙤㜵攰昶昶㌲慢捣㑤捤㡣㈴㜱㡢搷搵挷㥢㤳扦㥥〸挱㈳㐵㑥㤴㤴挴挹摦换㑣㤷摥〸㡥愶㕦ㄸ㔵〴㌳㈶慦㑦挷慡昳捥攵敢捡戱㍥㤳〸昰攵㉢㍥ㅣ敡晢㝥㠷㤲㈳㘹㤰戹㜱㙥捦㜵㌲㡤㤵ㄹㄹ㙦づ㤶挷㘴〶挴づ〰敥捦慡攰搰改挰收戹㘴㝢㈴搴搱戱㜲㘰㙣㑡㔷愴愳㈷㙡㑤つ㠵慤づ㌳㝢㜷挷㍢㝦㈵昱㉡攲㄰戰㘳搵㡢㕦㥣摢戶㔳戰㑦搱摣て晤挵ㄳㅥ慥昰㜰挶攳挱ㄷ㍡㜰㠹摣ㄹ㜷㐷㐰昰ㅦ摦づづ愰搰愶愹捤っ戲敤つ㔳㕢㤶㠸㜳ㅡ㙦㡤戹㜷㤴㘵挴㜹㘰㔳扢愷㘲换㤲ㄵ昵㠸㈶户摢愲㕦捤戸㤲㌰昹晤晥㕦㝡愸㠱慦昰晡摣戹㌸㠸㐹捦收㜱㡤换ㅥㅣ㐷㠱捦扣愹收㔹㤲挸㉡㐰㈶挱㈰㠰ㄵ㥣挱散㈵挴㥣昶㘴㠷㌵㈰㈶昹㤲㉥攵㤰愰㌷㑢㘲㜳ㄶ攳〶搵㠴昲搸愴㜸㝢戴愳扤换攲㜲㘴㌳ㅢ㍡搵㕡㠴㝤ㄲ㌳戹㙢づ㍢㜷捡㘳㜳攲愱慥挴㔲摥㠷㡣慣摣㌴㡤㤳㘰ㄵ挷挶户㜷㘱〰搹㜵㌲㕤ㄱ㙢㕤摣扤ㅣ晢㙡㝢㍡扢㈶㠵㤶㈶㝥ㄵ㠱㜲づ㈹昰㤰㍤慡ち㔴㐱㠱㉡㉤㈸晤愵挷㉡㝦㈵挶挷㤰ㄹ敤ㅤ㤵搸收搰㡤捤挱㉢㉢㈷㘲ㅢ㑦㜷㝣户捡搹ㄳ㌱㠴㝣㍥㕥㍣㉦㈰㜱挲挸戸昶㌲㤶ㄹ㐱㘷〷ぢ挷㌲敤㑤摢㙣㥡昳昶戹扢㘱㤹昳戳ㅥ〶㤳捡戶〷搹㙦搲摣㈹愹㝤㑦晦愷慤挲挵慢愱戹㤷挳㠴昴㉥㜷㤳挵㘰㠰〷摡摤㠸㌲昶㉡㉤扤㠱㕣㘶搷っ挴〴挳㕥㡡㈳㉢攱㑣㑥挴敤敦㌲㑣ち㤸㤶戱㙤〰昳昱㐰㥢攱愲て㉢戱㠴㤳搷搲摤搹ㄹ㘲户攳敥搸㔶捣改㔶愹慣挰㌱换攸ㄸ㠸昴㑤㐷ㄴ㕡〱㔱㘸㠵㠸㜰愸收挶㈹㐹㔳㔷昷愲㔰扣㍤戹戸戳㍤㔲㑡㠶㥢㥢㝥ㄵ晤ㄵ㕤〸㔷つ摤㤷㜴㕡㉣㘷㌳户㈸搸㜷搵ㄱ敥㔱㌸挳愰敢ㄸ㝥昴敡〲㌹扥慢㕦戸㉢〵㐷〰晦づ㔰㤴㕡晦敡攱㘰㜹昲挷㠳㠳㙤㤵㘷㤹〶㠹㑣㔵敡㘸〲昰搱㈳〰㘵㠲㥦愲㘳㐱㝡摤㌲㔰〲㐰㘰㙡㜷㈸㙡て愱ㄲ㘷㤳㝢㈹㠲捣㠹㈷ㅥ攴㌶㤱ㄶ散戱挲摥慤㘵㔸㉤挷㑢㈹㘸挵〶㡣㈲㙥㌰昱摢搱攴搰昶ㄵㄷて㈸捤㔵搷ㄴ愳㙢戸㜳㍢摤扢敦㝦㑡㤶晥㡦㘷㌵㡤愵敤㠱〰ㄷㅢ㝡㐷㌴㐷昳㍡㤳㍡づ㉣摢㤳〱搸㤹㠰㕤㐰㡡㝦㠳捣捣昱㤲㜷㑢〵捥慢㝤挵㥤摣敡㔱摡挹收㘰㔱攲挷〶㄰㙣ㄹ㠱㑢晣〳㑡戹攵㐲敦ち戵㑦㍥昱〴敦㠷昸搴㠹㈰愶晥㘵㐸㍢〶㡥㘴晤扢㠱愸㌳㈰攴㐹慣㝦㜷㡡㍣㈷㌰扣㙦㘱㑥㘰㐶㈳㡤㜵㤷晡㍤㐴㍣㠹㌱㉦㑦㑣戱昴慥㜲㔰㘷㈲㥢换㙦㐶㜳㘳㑢㌹挵㍢晦㕣捥攱㍥ちつ㔸挳㘲㕣㑦搴㍡捡捥㠶㠰㙢ち晢㤵昷愸愷捥〵㠰㐷㍥㥦摣慣㘷摤㙡㑢㜰㥥ㄹ㔵㥤〷㥥戳慡慥㠷㙥㜵㍥㔲慢昱㘱攷㙤㘰搵㙥摢㜵㈳搸㡤㜷摥㜵㉣㡢㡦㙥愲㍡㠷㔱ㄷ㈱㘱ㅣ㡥愴㜱㜸㌳㙢搸㠳挰㡢㜳〳昶㈴㘰㉦〲㉥〱㠰扤㐲㡦〱攷〶昲㌲㑦㌱挶换〹攴摥㉣㌶㤶挵搶㐳㈸㠱摣〷㕣挹㐱搳愶戵捥ㄹ㡦昳搰㜱攰攸っㄴ搰攳㤱㘶ㄸ慦㠵㐸挲㐸慢昱㌲㕥戵捦愰㕡ㅣ搴㜵挸改㜳ㄸ戹㐷挱づ攳〴ㄴ㑦㠵㜱愲愳散〶攴昷㈵㡣㌷〱㈷㘱昴㑦㐲挹挱㌳攲敤㡢摡扢戰ㄵ㠵㐷捥㈹㕤扢捦散〸㐵㜰㈵ㄳ敤挹㌸㕣慡㥢㔱㔰㠲㍢ㄹ攵搴㉤攰㔶攳〳愴愶㍦昴㝥㈰ㅢて改㙤㔲〲㜰摥㝥㜱㐳㝡〷愴㈶愴㤰ㅢ搷㑦愵摥㘹〴摥㤹ㅢ㌰㥤㠰ㄹ〴摣〵㠰㠴㜴㈶㌸㌷愴昷㝡㡡慤㐹改攵㍥㍣㍤㥢挵ㅥ㠶㔰㐲摡ち慥昸愰昱㉤ㄳㄱ搰㌹㐸搳〱っ攸㕣愴ㄹ搰㐷㈰㤲㠰攲㍦㕦改攳㜲㥥㠳㝡ㄴ㌹㝤づ攸㘳〰摢〱㥤㡦攲愹㠰ㅥ攰㈸㝢ㅣ昹㝤〹攸㤳挰搹〱㍤㄰㈵㌷㥤扣㌲ㅡ敦挶㠵㠸㜰㜷㤷昳挵〲㘹㑣㘶㌴㥦㐲㈹㠹收㐱㈸愴㥥〶户ㅡㅦ㐶㤳慥搰ぢ㐰㌶ㅥ捤つ㔲〲昰晦愱ㄲ㠷㔱捦㈱㤱㈳㥡㙤搴扢㤰挰攷㜳〳㐲〴㠴〹㜸〱〰㠹㘶〴㥣ㅢ捤㤷㍤挵㐶㈰敤っ搰㈸㡢㔹㉣昶㈶㠴ㄲ捤ㄸ㌸ㄳ捤㐵㐸㥢㘸㉥㐶㥡搱㝣ぢ㈲敦昰㍣攰㝥晢晣户㌹扣て㘶搹㜶〷昵㌶㔰㝤㡥收㍢〰摢搱㍣〴挵㔳搱散㜰㤴扤㡢晣㔴㌴挱挸㉢㜵㙥挱摥㐶搳摥㠷摣㡥㘶㈷㑡㙥挱慦㐲攰ㄸㅢ敤挱㥥收捡㥤㕢㉤ㅣ㝤㐳㔸搳敥㈲㑤捡㡣改〷㈸㉢㌱敤㐲㔱昵㈱戸搵昸㌰愶㜴㠸㕥ち戲昱㤸㝥㈴㈵〰㍦㤴㑡ㅣ㐶㝤㠲㐴㡥㤸挶愹㌷㐱攰愷戹〱㐹〲㝡〸昸っ〰㠹改㌲㜰㙥㑣扦昴ㄴ昳㡣搰攵㉣戶㠲挵㝥〰㐰㘲扡ㄲㅣ㈷摤捡捥㕡㡣搱挳挰㤹㘳攷攱㐸搳㜵㍦㐲㤴㝦㡣ㅥ攱愰晥つ㔴㥦愳晡ㄳ挰㜶㔴㡦㐴昱㔴㔴㔷㌹捡㝥㐶㝥㉡慡㘶㤶㑦㐵㤵㠶搱㌴㉥搱㈴慡戲挳〴㤶㘷ㅦ㍢戹攱㐵㠲户〶扡㔵㈱戸搵㔰捥㘳攷搱㄰㤸㤶敢㘳挰㙣㍣㠸挵㈸㡥㌷敥摡㔲ㄹ搵昰挳慤㌲㈶㠸攰㘱㥢慣愵㡥〳㐶ㅦ㑦㈰户搱攴〰晣㠶㠰摦ㄲ愰〱㤰㈰㥥〰捥つ㈲昷捥㤸㘲㡣㤵愳昷㐴ㄶ㕢换㘲㠳〱㤰㈰㥥〴慥昴愰㐴㈴㌶㍡ㄲ㐳ㄴ㑦〶㙢愲昸㍢愴改㉡㙥㠷挹ㅦ挵㔳ㅣ搴㄰愰晡ㅣ挵㉤〰戶愳㜸㉡㡡愷愲㜸扡愳㙣㑢攴昷㈵㡡摣㝢㘳㐷㔱㤶㝥㜴㙡收㄰攴捥ㅣ㠹攲敦愱㕢㙤〳㙥㌵㥡挸㈸㥥挹慡㔳㉢愰戳挰㙥㍣㡥摢㐱〱摥搸戹㐹㜵㔴挴捦㌰㔰攳㙦ちㅣ㝦㥦挳ㅡ捥㈵㤰㍢㝥㜲〰捥㈳攰㝣〲㜶〰㐰攲㜸〱㌸㌷㡥摣收㘳㡡昵愴昴慥㘳戱ぢ㔹㙣㌴〰ㄲ挷㡢㈸攲摣攴ㅣ㌲㉦〶て摢攴㤰㜹〹搲っ㘴ㄵ挰摥㐹搶㡣づ㈰㌱挹㕥敡愰慡㠱敡㜳㈰戹〷挸づ攴ㅦ㘸挰ㅡ㔶捡愵散攵㡥戲㕡攴昷㈵㤰昵挰搹㤳散ㅦ㔱㌲戵〶㘲㡢搲搶㐰㕢愲〶敦〲㤷㝢㡢㈴扣㔷愰㥣㙡〴户ㅡ〸㠶昷㑦㌴挸昵㠸扥ㄲ散挶挳摢っ〵㜸晢昴㔵㔴㐷㐵晣㜰㕦㤲〹〳捦㐷㥣昰㕥捤ㅡ慥㈱㤰㝢㤶㜲〰搶ㄳ㜰㉤〱㘳〰㤰昰㕥〷捥つ敦㍥㥥㘲慢㔳㝡慦㘷戱ㅢ㔸㙣ち〰ㄲ摥ㅢ挱つ㌸㈸ㅣ敥ㄸ摤搹㠹挱㡡㤱㝡ㄳ㈴㘸愶摣㙣戹ㄹ㘹〶㤸摢㡦昲㡦搴㕢ㅣ搴晥㐰昵㌹挰摣挷㘴〷昸㔶ㄴ㑦〵昸㜶㐷搹㌴攴昷㈵挰㌳㠰戳〳㝣〷㑡ㄶ戶㑣㥡つ敢戳㐷敢㑣挸㈴㥣㜷〲愵㘶㠱愳㕦ㄸ捥扢㈰昰㝡㐰摦つ挱挶〳摡ちㄵ㜸晢昴㍤㔴㐸㔵晣捣〵㌵昱愲挰〹攸扤挰攸晢〸攴㍥慢ㅣ㠰晢〹㜸㠰㠰昹〰㐸㐰晦っ捥つ㈸㌷㔷㤹㘲㥥昱晡㈰㡢晤㠵挵㈲〰㐸㐰晦㑡㤱㍢昹昸昴㐳攰㑤㌸ㅦ㐶㥡攱㡣〲㥣㍦㥣㡦㌸㈸ぢ愸㍥㠷㤳㍢慦散㜰㍥㑡〳搶㐸愵ㄸ慦㡦㍢捡戸㈹慢㉦攱㙣〷捥㥥㜸㘷㐰〵㉣捦づ㈵昷㙥㐹㈸㥦㠴㙥戵〴摣㙡㐱㉡晦㔳慣摡㙤扢㝥ㅡ散挶〳搹〹〵㜸晢昴㌳㔴㘷㔷改㔳摤㐸ㄹ㠷㔳扢ㄳ挸つ慣攱㔹〲㤷收〶㍣㐷挰昳〴ㅣち㠰〴昲〵㜰㙥㈰㜹㜱搱攸昵〴昲㐵ㄶ㝢㠹挵㡥〴㐰〲昹㌲戸搲㠳攲攱搱㠹㘴ㄸ挳昲ㄵ戰㈶㡥慦㈲捤㌸㜲㙦㔷晥㌸晥慦㠳㕡〵㔴㥦攳戸ㅡ㘰㍢㡥慦愱㜸㉡㡥㝦㜳㤴慤㐱㝥㕦攲㜸っ㜰昶戰晣㍢㑡㙥捥改搲晥敥戳㝢愹㜶晣㈲散㌹挱㌴㤳㜹㕣㍤ㄶ㈵㈵扣㙦愰愰㍡づ摣㙡〶〰㈳昵㑤〸㕣㡦攸户挰㙤㍣扡摣户㠶㌷㌶㙣㔳ㅢ昵昰㜳〲愸㠹㠲㘷摥㝤〷ㄸ晤㉥㠱摣搴㤶〳昰ㅥ〱敦ㄳ戰ㄶ〰㠹敥〷攰摣攸㜲㈷㥢㈹挶㍤ㄳ㑥慦昹㤰挵晥挱㘲㘷〳㈰搱晤㠸㈲户慢㘲搳ぢ㜸ㄳ摥㑦㤰㘶㜸戹㍢㉤㝦㜸㍦㜵㔰攷〲搵攷昰㜲㥢㥢ㅤ摥捦㘸挰ㅡ愹ㄴ挳昴ぢ㐷ㄹ㜷挰昵㈵扣敢㠰戳挳晢㈵㑡づ㘱㜸昳㕣㡢捦㡡㉦㌷搰㐹㝣晦㠹㤲敡㈲㜰慢㘱〵攳晢㉦㥡攴晡㐴㝦〵㜶攳〱扥〴ち昰昶改慦愹㡥㡡昸昹〳愸〹〴〵㑥㈰扥㘱つ摦ㄲ㜸㔹㙥挰㜷〴㝣㑦挰攵〰㐸㠰㝦〰攷〶㤸扢昱㡣摥㘴㑡敦㡦㉣昶㙦ㄶ扢〱〰〹昰㑦攰㔲㔷㡥㝥〶〷换㘴搵挴㉦㕡㌳扣摣㕦㤷㍦扣捡㐱摤〴㔴㥦挳换㡤㝡㜶㜸ぢ㔰㍣ㄵ摥㈲㐷搹㉤挸敦㑢㜸㙦〳捥づ㉦㥦搸㔱㘶摦㙡㐹㔸昱㘵ㄶ㝡㌵昲㌲挷㉣昷晤㐹㑣晤㠰慢㍢挰慤㐶㝢㠱搴㜴㠳㉥㠵㜴攳㤱攴㐶㐱扣昱戴ㄶ㉡㤱攲昸㝦て㔲挶攳㜴愲ㄳ挹〰㌰㝡〰㠱摣㍡㤸〳㔰㐶㐰㌹〱昷〱㈰㤱ㅣ〸捥㡤㈴昷ぢ㥡㘲挳㔳㝡㉢㔸㉣挸㘲㡦〳㈰㤱摣㠴㈲户㕢攲昹㌰攰捤㔰ㅤ㠴㌴㘳挹㍤㠰昹㘳戹㤹㠳㝡ㄲ愸㍥挷㤲㥢〹敤㔸づ愶〱㙢愴㔲っ搵㈱㡥戲愷㤱摦㤷㔸㙥〰捥㍥愲㉥㠲ち㔸㥥㍤攵㜲㍢愲㠴㙦㑢攸㔶捦㠱㕢㉤㐸攵摦㡡㔵扢㙤搷晣㕡换挶〳昹〲ㄴ攰㡤㉦㉦㔰㥤㔴㠹晦㉦㈱㘵ㅣ㑥敤㑥㈰户㘱つ摢ㄲ挸㙤㡥㌹〰摣〰愷㉢〹㜸〵〰〹攴㌰㜰㙥㈰戹户搱ㄴ㘳〸ㅣ扤摢戳搸づ㉣昶㉥〰ㄲ挸攱ㄴ戹㡤挱㡤ㄲ昰㈶㤰㍢㈲捤㐰㜲扦㘲晥㐰敥攴愰戸愱戱捦㠱攴挶㐷㍢㤰㍢搳㠰㌵㔲㈹〲戹慢愳散㐳攴昷㈵㤰ㅦ〱㘷〷㤲㝢ㄵ㘱㜹㜶㈰戹㜵㔲〲戹ㅢ㜴慢㑦挰慤ㄶ愴昲敦捥慡摤戶敢㔱㘰㌷ㅥ挸捦愰〰㙦㥦ㅥ㑤㜵㔲㈵晥㝦㠱㤴㜱㌸戵㍢づ慦㘲つ搵〴㜲㑢㘶づ㐰つ〱戵〴晣ㄳ〰〹㘴ㅤ㌸㌷㤰摣㠷㘹㡡㜹〲㔹捦㘲つ㉣昶㌳〰ㄲ挸㐶㜰收愲㕦ㄳ搲戸愰㈲㌳㙢㌳搲っ愲てㄳ㠵〴ㄱ〵昸㜲捦㐷㘵㔷搳ㅥづ㑡〱搵攷㈰ㄶ〰㙣〷㜱㑦ㄴ㑦〵㜱㡣愳慣㄰昹㝤〹㈲㥤㙥捦慣㝢愳愴㍣捣㘵戶㤵㥡㔹戳敥戳昸㠱㤷㠸㡥〵㕣㤵㠰㕢捤ㄶ㘱㘶愵ㄳ昴㌸㤰㡤挷㔱愳ㄸ㕤愱挷㔳㠹ㄴ挷晦〱㤰ㅡ㝦㈳㘹攲搸㐲扤ㄳ〸㉣换つ搸㤷㠰㠹〴㤴〳㈰㜱㥣〴捥㡤㘳搰㔳散挸㤴摥挹㉣㌶〵愴㜸㉢〰晡戶㤱戰〴挵㠳㥥摤㥤扣愹㥤搸㈴㌶慢㈷搴㠱攷ち捤挰挶愲㈴㐵扦㠶扢挶㐵昶昶慥捣㐷㤵愴㍦敤〹㝢㈴愵〹〷㉤ㄸ㡣㤶㘵晡㈰ㅤ敢戴㉤㐱攴㉦摢晥ㄵ㈸扥昵挷㥦㝦敥㕢㉤散ㄵ㈵换昸㉤昸戶㌶㕦㈹敢㐴愴㜰昱㘶㝦晣攳㤰ㅡ㡡㤸㐹ㄷ㥡㑡戹昳㔲㕢ㅢ改㌴㡦戴㜸ㅢ㐸㝢搹㙤㤱戱㜳㡡㕡〷愵敥〸㜳ㄷ挰挸づ㍥〷㉥搷慤攴昴㑤ㄷ搳㔱慢摡捥搸㤰㘶搹㌰㈳㥤㐹っ慡愰㠱挵挳㈱摤攸㙤晣㈲㈰戱㈷ㄴ㌷昴㕢㤳㉢㍢戰㠹㠲㐹㝥㜳摣㑥昱㕥戱㥤つ愳扢攳㐵搸㈱㥢昹慣〸户散㜲愸ㅡ戰㔹挶戳㌹愴ㄸ㜳戶㠷㌵挵搷㈱㐴㜹换愷㐷㠵㘵昸昲捦㐶㘳㌶㥢搶ㅥ挱戳㠲扡㘳㐹㍣敢愷ぢ㑦㔱挲㔳㘴昰戵㠱慡㜱挵敢愱㌱㘷㥤㙣㔸㔱ㄷ㥦㠰㈶㠱づ㉣改敡㕥摥㈵搶ㄴ㈷昸搰ㅡ㠹㙦㐹〹慢攱㈶㌲㜹敤〰攷〵㐷挰㔰ㄶ搶㜳㔰㜱㜹㘱㜰㐷挷戹晥戹攰㐷戴㡣㙦㤹摤㔶㔵㔳㕦㔵㔵ㄷ㠹搶搷㠶ㅡ敡挲攱敡㜰㈸ㄶ慢㙡挴ㅤ敢愶摡㔰㥤㔵ㅤぢ敥攴㤴搱昳㔰㈶戸戳攱收㤳摢挵㜰捣慢搸ㄵㅣ敢昷摢ㄶ晣昷㘸㜰㈴㌴愳〶㥦晦〰搰㠱㉤攳摢㍣ㅢ㝦晣〷㐲戶〹㘴改㡦㡥昳ㅦ〴㜱ㄹ挴戲捦㘱㌶㥥ㅥㄳ摣捤搱㘲㍦㜲㙤〱昲攵戹㙢㙡ㄴ攴㥣摡〲敡ㄲ㐴㠰㐳て㔹ㄸ㐲ぢ昱㡦㐳㘸㌴昲挴挵㈱〸㤰㤶㡦慡㌲搲㌰搱捥㑢㔵㐳捡㘱愴㈳㤰慡㕡㠳㠹㝡㌱昵㐶㙡ㄱ㠳㤲っ㤱㙡㠴㤴摤㕣㥤〷〳搸戹愸搲扦〸㤰扣㍤㐶㥤〳ㄸ㝢㑤㝡搴㥢愰㐵愲摥㡥挲㠸㝡㌳㜸扥㠲㝢㤸挴㥥㈶戱㤷㤳愸ㄸ㠳㐴晦挴㙥㙦㘸㘶敢晤㠷㠰㘶挶㙥〹㘴㌹㘲搷〱㜱㝡散挶㍡㕡昴㌶㔰愵扢㤰㉦捦慢㔳攳㈰户㘳㜷㉡晣㤰㡡摤愱㐰㌰㜶攳㤱㉦戱㡢㐳㘰㕥慡㈵愷㜴〲愴ㄲ扢〴戰㙡㘲㑥捣㘴㈳敤㈱〶ち㈵㜶晢㐱㉡戱㍢ㄱ㐶戸戱㕢づ㐸晥搸晤㌶㘷散昶㠷㈶㠹摤㑡ㄴ㐶散愶㠲挷摢攷㍦っ扣㍤㘲ㅢ㐲戵㤱愶㔸㕤㔵戴戱慥扡慥戹㍡ㄲ㡡搴㌷㐵慢㐲昵戵㔶㜳㝤㑤㜵慣挶㝦㜸ち摡ㅣち㌷挵㐲つ搱㠶㔰愸慥扡慡愱愹扡愱扥愶愹愹㈹ㅡ㡡搵㌷㠵慤㔸㜰㥡愳㕥ㅦ㠱㌲晡㐸㤰攰㜴㈳㍡㡡愲㔵ㄴ捤㌰㈲〲〴㕡㌱ㄳ愲晥改㉦戳愰ㄹ搵昸晣㐷㠳㘶昶㤷㘳㈰换搱㕦㡥㠵㌸扤扦捣㜶戴攸ㅤ愰㑡ㅦ㡦㝣㜹㌴愱㥡〳戹摤㕦㔶愴昵㤷ㄳ㠰㘰㝦㤹㡢㝣改㉦㘹愳㝡㕥㑥改㝣㐸愵扦慣㐵㘱㜵㐰㑥捣㐱㐶㝡㌲㌱愶扦㉣㠰㔴晡㑢摣摢㕦㑥〱㈴㝦㝦㔹㥡戳扦晣て㌴㐹㝦㌹つ㠵搱㕦摡挰攳敤昳㥦づ摥敥㉦㜵戵搵捤㔶㐳㙤㜵戸戱扡慥慥愶㈹ㅣ㡡挴愲戱挶㥡慡挶晡㐸㑤戸㌹摡攰㍦挳㠵㕡㑤戱收扡㜰㑤㑤㑤戴㍥㔲㘷㠵㥡挲㌵㔵昵㤱挶收㘸㜳㕤㔵㌸㕡㔷㙤〵ㄷ㍡敡昵敦㔱㐶㥦〹ㄲっㄹ搱㔹ㄴ㥤㑤㔱搸㠸〸㄰㘸㐵〴愲晥改㉦㔱㘸㐶㌵㍥晦㜹愰㤹晤攵㝣挸㜲昴㤷ぢ㈰㑥敦㉦㤶愳㐵攳戶㍤敥愴㈱㕦㥥㐳愹ㄶ㐱㙥昷㤷㠵㘹晤攵ㄲ㈰搸㕦ㄶ㈳㕦晡换愵㄰攰㉤ㅦ搵㙥愴㘹戳捥㈱㤰㑡㝦戹っ㐰搵㤱ㄳ搳㘵愴㝦㈴㠶捤挲㐷㉤㠵㔴晡换〱㥥晥愲㌹扦㜰攱愰收攷散ㅡ㠷愲㤰㜴㡤慢㠰㐳搷㠸㠳挷摢攷扦ㅡ扣摤㌵慣收㔰㔵戸搶慡慥つ㔹搵㜵搵㡤昵㑤戱㐸㙤㝤戴愶扡㈱ㄶ㡤㌶㌶㐴㙢晣搷戸搰㘶㑣㈳㜵つ捤㑤昸ぢ搷㐵ㅢ敡㐲攱㔰戸㌹ㄲ慢愹㙥慥愹慢㙢㡡搴〶ㄳ㡥㝡扤ㅥ㘵昴戵㈰挱愴ㄱ㕤㐷搱昵ㄴ昵ㄸㄱ〱〲慤㔸〶㔱晦㜴㡤攵搰㡣㙡㝣㥡㔳㠹收摣愱㌹㔳〴㔷ㄸ昹㘸㘶摥㐶㌹ㅦ攴愱づ㠳摣づ昶愴戴㘰摦〹〴㠳㝤㌸昲㈵搸㜷㐱㠰戴㝣搴ㄱ㐶㥡戶㡥㍤ㄲ㔲〹昶㍤挰慡㔵〶㤳戶㄰㔸㘳愴昷ㄱ〳㝤挵戴攲ㄸ㐸㈵搸晢㜸㠳捤㠵㠰〴㝢敦㥣挱㍥ㄶ㠵㈴搸て〲㠷㘰ㅦ〷㥥慦攰昱㈶昱ㅢ㤳昸慤㤳愸㌸〱㠹晥㜱晣㠹搰㑣㝢㌵㡦昹㥡〷㜹捤㐳㝡㜰慤㤱搷㌳昳ㄱ捡昹㤰㄰㜵㌲攴戶攳ㅢ搲ㅣ晦㌸㄰㜴晣敦㤰㉦㡥㑦㜳昱㈹㐶㥡㌶㔷㥦ち愹㌸晥㈹ㄴ㔶愷ㅢ㑣㕡挹摦ㅢ改㌳挴挰〲晣昳愹戳㈰ㄵ挷㡦昶㍡㥥㙢㜶㜱晣敥㌹ㅤ㝦㌶ち㠹攳㥦〷づ㡥㍦挷㔱敤㝦〱扣㍤捡愲㜵㔵ㄶㄶ搵㑤㔶㜵〸㐳愵戶愹㌹搴㔰摦㔴㕢㔳摤㘴㠵ㅡ㐳㤸㙣㠳攷ㅡ㜳㕥㐴㤹攰㜹㠶㝢㠹摣昹㠶㘳㕥挵〵攰晡㈷㘴敢愰ㄹ㌵昸㌴㤷搸㥡㙢㙡捤ㄵ㜴昰㐲㈳摦㤳㤹慦㔳扥ㄷ㔲敡㘲挸敤㤰つ㑢ぢ搹ㅢ㐰㌰㘴㤷㈰㕦㐲昶㈶〴慥㡢㉦㌵搲戴㠹昱て㤰㑡挸摥㈶昶昲㥣㤸㉢㡣昴㕤㐷㥦㑣㡣㔷㐲㉡㈱摢捡ㅢ㌲㜷㘲摣㈲㘷挸慥㐲㈱〹搹㠷㔰㠵㤰㕤敤愸昶晦〳扣ㅤ戲慡㔰愸㍡搴㔰ㅢ〹㌵㘰戶慢愹㙤〸搵㘰㠱ㄵ㙤㡡㐵㥢愳㌸ㄸ㐶敡㠲搷ㄸ㜳㍥㐲㤹攰㝡挳㝤㑣敥㕡挳㌱慦攲㍡㜰晤ㄳ戲敢愱ㄹ㌵㘴㑤㙦㌷ㄸ昹㌸㘶㝥〹㠸ㅥ捦㤰摤〴戹ㅤ戲戲戴㤰㝤〵〴㐳㜶㌳昲㈵㘴㘹㘳攵ㄶ㈳昵㕥㉡㔰户㐲㉡㈱晢ㄶ㠵搵敤〶㤳㔶昲㑥㈳晤㥥ㄸ㔸㠰㝦㍥㜵㌷愴ㄲ戲㘲㙦挸摣㔱㔶㤸㌳㘴昷愰㤰㠴散㈷攸㐰挸敥㜵㔴晢㜹慡㘶㠷慣戶㍥㕣ㄳ慢つ㔷搵㐷愳攱扡挶晡㌰ㄶ㉦愱㐸愸㍥㔴㔵ㅢ愹挱ㄳ摣挳挱晢㡣㌹搴ㄴ扣摦㜰晣捡㐰昰〱挳㌱慦攲捦攰晡㈷㘴て㐲㌳扤㤰㌹捡晥㘲攴㤳㤸㔹〲㈳攴㘱捤敡㈱挸敤㤰㝤昳㠳昷昴㈶〰〴㐳昶㌰昲戳㐳昶㠸㤱愶㠵散㔱㐸㈵㘴攵㈸慣ㅥ㌷㤸戴㤰㍤㘹愴ㄵ挴㤸㤰㍤つ愹㠴散㜳ㄸ㘱㑥㙦戴ㅢ戲㑦㈱捤㍥ぢ㝤〶㠵愰挴愷〷㠱㈲㘴ㅢ挰昳ㄵ㝣搶㈴㥥㌳㠹攷㥤㐴挵ぢ㐸昴㡦攳㕦㠴收㕣㡥㝦挹挸愷挱㌴扤〵㑣㤵㠷㕣慢㔷㈰户ㅤ晦㕥㥡攳㠷〲㐱挷扦㡡㝣㜱晣搶㄰㈰㙤㉦〵晥搷㐸搳ㅣ晦ㅡ愴攲昸㙤㠱㔵㝦㌳㤸㌴挷扦㘱愴㤵挴㐰ㅦ晥㘱ㄳ㉣愴攲昸扦攷㜴晣敢㌹ㅤ晦㌶ち戱戴ㅥづち挷扦攳愸昶㡦〰㙦㡦㤵㘶㥣㐰搶㠷敡㐲㑤戵㤱㐸㕤㡤㘵㠵㈳戱〸㑥〶㈲㑤つ搱㘸㐳㔵㔳㌸昸慥㌱㘷㐷㤴〹扥㘷戸㥤挸扤㙦㌸收㔵㝣〰慥㝦㐲昶㈱㌴攷ち搹㍦㡣扣㤵㡤摣ㅤ㐶挸搳挴搵挷㤰摢㈱摢㤰ㄶ戲㉡㈰ㄸ戲㑦㤰㉦㈱慢㠶〰㘹㍢㘴㥦ㅡ㘹㕡挸㍥㠳㔴㐲㔶ぢ慣晡挲㘰搲㐲昶㑦㈳慤㈷〶晡昰捦愷扥㠲㔴㐲昶㔸捥㤰㍤㤲㌳㘴㕦愳㄰㑢敢㘶㔰㠴散ㅢ㐷戵㝦て昰㜶挸敡ㅢ敢慢㘲㤱㘸㘳㔵慣㍥㕡搷㠴慢㜵㔶㘳㜵㜵㔳慣〱攷晤㈱慣㈴ㅡ㠳摦ㅡ㜳昶㐴㤹攰㜷㠶摢㡢摣昷㠶㘳㕥挵て攰晡㈷㘴㍦㐲㜳慥㤰晤摢㤵戳㤱攳㘱㠴㍣扦㕤晤っ戹ㅤ戲扢搳㐲戶㉦㄰っㄹ㤵㐹挸搲㔶㜸㉡愷戴〰㔲〹搹㈴ㄴ㔶㐵㌹㌱㝥㈳㥤㐲㡣〹㔹㈹愴ㄲ戲㕢扤㈱攳搹戸慣晢㙥捥ㄹ㌲㡤㙣㈸挱㤷ㅦ㐰ㄱ戲〰㜸戴挶攷㥦づ摥づ㔹愸扡ㄹ㙢扥㥡㐸㙤㈸ㄴ愹㙢挲慦㘲㌴搴搴挷敡慣挶晡㘸㙤㈴ㅡ㙢㡡昹㘷戸搰㔸㑤㉤㤶㠶㜵㡤㜵㔵㔵ㄶ愲摢搸ㄴづ㌷㌴搵搴㌷㠷㜰敥ㅥ慤㙤慡ちづ㜰搴敢㤹㈸愳㘷㠱〴换㡣㘸㌶㐵慤ㄴ㤵ㅢ㤱㡢慡ㄸ〸㔱晦〴扢〲㥡昱挶㈳㤸㐰㌵捦戴㌵捦慢㠳㐱㄰扣㝤扡㡤攴㐰ㅡ户㄰㈹戵㈹㠴㜶戰㉦㑢ぢ昶〲㈰ㄸ㙣摥㤲㤷㘰晦て〴㔴挰㡦摡捣㐸搳扡挰㘰㐸㈵搸ぢ㠱㔵㐳っ㈶敤散㙡㑢㈳つㄳ〳㕤昸㠷晢㈱㤰㑡戰搷㜹㠳敤㥥㕤㥤㥦㌳搸扣ㅦ捥搲㍡〶㡡㘰㙦〳㥥慦攰戶㈶戱㥤㐹㔴㍡㠹㡡㘱㐸昴㡦攳户㠷㘶搶㤲㜹㜶戵㠳㤱攳换㐱㌸敢㠲愹昲ㅢ〵㡡户换㙤挷㥦㤱收昸㉥㈰攸昸ㅤ㤱㉦㡥敦㠶㠰㝤㤸ㅦ戵㤳㤱愶㌹㝥㘷㐸挵昱㠷〲慢㜶㌵㤸㌸㌸昳㔲扢ㄹ㘹㠲ㄸ㠸攵戴㜶ㄴ愴攲昸㤳㍣㡥昷昷〰㤲晦㥡搷㠹㌹愳㌱ㅡ㥡㔸㥦㕥づ㡡㘸㔴㠱攷㉢挸㥢搸㤲愸㌱〹摥戵收慢愲づ㠹晥㠹㐶㍤㌴戳ㄶ晦ち㔸㤳㜹晤㘹㈵㘴㌹慥㍦ㅤ〶㜱晡昵愷〶㐷㡢㕥〲㔵晡〸攴换㉦㐳㈸摥㈵户㘳㜷㜴㕡散㔶〱挱搸㌵㈳㕦㘲户ㅡ〲㌷㜶㝢ㄸ㘹ㅣ〹昳㔲㝢㠲㤱搸ㅤつ慣ㅡ㤳ㄳ㌳搶㐸㡦㈵〶㐵㈵㜶攳㈰㤵搸ㅤ敥㠹㕤敡晡搳捡㥣㘱ㅡ㡦㐲㔰㠲慦㈵㠰㈲㑣㉤攰㘵㠶㍣〱扣㍤㐳㘲扤搱搴ㄴ〹搵㠵慢㥡㜱㈹ㅢぢ昷㘸㕤㝤㙤㑤戸ㅥ敢㤳㜰愳ㄵ㡥昹㑦㑣㐱㥢慡慣㜰扤㔵搵㠴换㑤㜵㔵㌸攴㔵㠵挲搵愱愶㐸戸慡愹愱戶愱扡㍥㌸挱㔱慦搷愲㡣㍥〹㈴挸ㅢ摥慣㔱㥦㑣搱敦㈸㥡㘸㐴〴〸戴㘲ㄲ㐴晤搳㌵㈶㐳㌳摥㔹㈷㘸㔳㡣㥣㑦㤵搲㘷搲㤲㌸㔲㙡㝦挸㈵㤸㘷㐳挴㠲晣〴捤愲㈳㘸㔶㈸㙡扡挱㤹㉣㌶㌲㌸ㄳ㔲㤴挳昷ぢ㐰换ぢ㡢攷㠰摦㌳晦㘳㝦㍣户搰㐶攲捥㙥摡捦㍣散㡢㥦㙤㔸㐹愵㠵昸慡㜰戱摣㐱㉢㉡搸攳㤷改攲㝤昳捤愰㡡㥦攲ㄸ㝡捡晦㐱て㥤㤳扡搹㑤㡤摢攱愳捦㐷㠳㡢攷愱戹㌹㥦戹搱摢て㍤昱㈲挲攰捥㈹〹摣ㅦ挴㜳昱攷㜴㡦㜳㝦㙣㙡ㄳ㜳摦㜰愴㜹㈶晦㠸㤴挴㍣摣挶ㄴ㥢ㄱ㜷换攱ㄱ昳戸ㄷ㡦㡣㤱㝣㠲晦攰ㄴ攷㜹戸晣搰㤴ㄴ㑦㌲挲昳㔵慣愸搱㤸挰扥愶愲㠲㐲戵㙢㉥㘷㍢て㔰挷㌳换㡤㠲㝤扢㝡㍡㌷㐷ㅢ㠶收昸㠲昶昸昶愴摣㜵ㅦ㠴㝣愵攷挲㍤晥㜵㜰㤴晣㌴㑣㜵㜳㜱ㄸ愱昸て㙡㐹㜷㍤敢攴㉢愰㉦㠲㑡㌵ㅦ捡愹㡦㈲戵〰捣㔰㈴㌲㥦〵扥〰㠰㥣捦ㄵ㍢搸挹挸㝡㔰晡㐲㘸㤲昱㜰㌹㉡㐱摡ㅥて㈱愴挰晢昴ㅦ㐱昵ㄵ㈰攵〵㐱㜳㤰㔲ㄱ㔳挶慣〵愸㈰㘸㤸㈰㙦戹㑡攱㉢㔹慥㔰戵㠳攷㐰㔱昳㘰〴㝢愷㜴愸慢㤱愹扡㈰捥搵㡥㔹昹摡㌱搳挹挸㝡愶㌹㙦㐶㑡㍢㙥㠰㕥愴敤㜶㤸戹㔹挹敤㐶㌶挸㐸㘴㌸昷〰㈸㤶摥㘴㕢捡ㅢ㠲㘲改㔴慦愵户搰㔲摥扣㘳昷㔷晡㌰㔰晦㙤㤰搹㍦〰搴愸㈶〳㙣㈲ㄳ搰㜷㄰㝤愴㡢㍥㥣攸扢㙣昴〴晣㔸㤷㥡攰愰㘹㙣㐰摦㐳㌴敦〲㔲〱㐵㙡㤵挳㈰敤㔳挷㠳挹攵㥦戱㐰攷㡣昳摥㑥㐶搶戳捣㑦㠰㈶昱捦㠳愸ㄱ㘹昹愸戵㐶敡挶ㄶ㌹挱㤳㈱〵捡愷晦ち㡡〰昲扥㤷戸㘵て㘸㜷〳昸㌰㑤晦㍤戲㙣户㥣㡥㤴晦㔱挸㙣户搴慡〶㠰㔳㙥㜹㥣攸㌳㕤㌴敦㠷昹㥦戴搱㜰㑢慤慡㜱搰戶㕢㥥㈶晡㉣㘰㕣户㥣敤㌰㌰换愷㜸敦㈸㤷㕢㜶㜷㕡㥦昵㠸昷摤㥣㡣慣愷㤷㕦〲㑤攲㤶ㄷ㔰㈳搲㜶户戹ㄴ㈹昰㍥晤㈲愸㝥㠹攴㘵㤰㠰扡捣挰㑤㌷㘲㤱攰ㅦつ晣㔵㠰攰慦慢挰㡢扦㐶愰㕡搷㕦慦㈱㔳慤㐷㤶敤慦慢㤱昲晦つ㌲摢㕦昵㙡㤸攳〱㘸㐴挷㜸㠳攸㙢㕤昴㌵㐴扦㘵愳攱慦㝡戵㡤㠳戶晤昵づ搱扣〳攴晡敢㝡㠷愱㌶㜵ㅢ㤸㕣晥摡挲㜱㑢㤶扦㠶㌸ㄹ㔹て㌴扦ㄳ㥡挴㕦晦㐰㡤㐸摢晥扡ぢ㈹昰㍥晤ㄱ愸晥ㄸ愴扣㐰摤㘳愰㘶㘲㘰戹攰㝤〶晡㈹㔱㠵敡㐱昰攲慢㑤㔰愵敢慢捦㤱愹㜸敦㈲㤷搵㘵昹慣ㅥ攰㘴㘴㍤㘹晣㜱㘳捡搷搰㡢戴㝣搴㔳㐶㙡づ昱㘲攰㌳㤰〲㠵慤昰戶㠱捦㠳ㄷ〳㑢扣〶㝥㑦〳㕦㐴㤶ㅤ捣ㄷ㤰昲晦〸ㄹ㠲㌹㘱㜸㜵㠳㉡〴搸挴㈲愰㝦㈲晡㈵㘰㡣㐸扤づ㈶㔷摢㝥晡㍥捦挰晥户㤳㤱昵愰昰㌷愰㐹㈲㔲㠴㘵㈴搲昲〹扥㠹ㄴ㉡挵㠳㌱㈱㠵㥢摦㌶愸戴㡥换敢晣㠲㉡戱㔱ㅦ㠲㤷戶㝥㡢摡摣㘰昰㔷㐳搵㐷挸戲摢捡㉢昸晥〱㤰搹ㅤ户㑥晤ぢ㘰㌶っ搵愱攳㤶ㄳ晤㌱㌰㐶愴扥〴㤳慢慤㥦攵㙢敢愷㑥㐶搶㜳扦扦㠲㈶㘹敢㈰㔴㠲戴㝣㤴㕣ㅥ㘷㕢㑤ㅣ㘵㙥晦ㅥ昹搲戶挱挰挲〳扣慡㉤㙤晢㠷户㙤㐳㘸㉤㜱㜶摢㝥〶挸扦㈵㘴搲戶敡㐶昵㕥㕡摢㠶ㄲ捤㡢搹㙥摢㑡挰攴㙡摢㥢昹摡昶㠶㤳㤱昵搸㙥㕥㙥㤶戶つ㐳㈵㙥摢捡㡤㌴慤㙤扣㜲㡣㌷昶㜰〳㡢戶つ〲㈳㙤㝢捤摢戶ㄱ戴㤶㤷㕢㜳ㄹ昸㔲㍥〳㕦㜴㌲戲ㅥ㥤㍤ㄴ㥡挴挰㤱ㅥ〳㠳㕢㐳㡡㌷ㅥ昲〲愹摥㥤昶ㄴ㈸戹〸敢㡤〸摢ㄳ慣㌴搰搱㐴ㄵ㉡㕥㍢ㄵ慢㥦昱㕡㕤㡤㑣挵换㥥㜶㐴㜸㐱搵㕦ぢ㤹ㅤ㤱㝡昵〴挰挶晤〱㕤㑦昴㑥挰ㄸ㤱摡ㅤ㑣慥〶㍦㥣慦挱て㌹ㄹ㔹㡦挳收㐵㑤㘹昰㥥愸挴㐴㈴挸㉢㥢㜸攳ㄶㅤ愴㝡っ〸ㅡ㕣㙢愰㘹㘱慡㌷搰戱㐴ㄵ㉡㕥㜹㤴〶摦敦㙤昰㌸㘴㉡㕥㌴戴ㅢ扣〷㔲晥ㄶ挸散〶㌷愹扢搳ㅡ扣㉦搱㝢〱攳㌶㤸㤷晡㜲㌵昸戶㝣つ扥搵挹挸㝡挴㌵㉦〹㑡㠳昷㐷㈵愶挱㙡㤲㤱愶慤ㄱ㜸㜵て㙦㕣㥢〳ㄶ㙤㥢〶㐶摡㜶愳户㙤㌳㘸㉤㉦㤴搹㙤攳㜵㍢晦㉣挸搰㌶ㅣ挵㥡搴戵㑥摢㔸㙢㐰户ㄲ捤敢㙥㌶㥡㤷敥晣㜳㙤㌴㝥攷戴㐹㕤攵愰〱〶㝡㍥搱扣㉥㐷㑦㔰㠱㙡㜵ㄸ收慢〳挱攴㜲换攵㑥敢戳㡥㜹㤷㌹ㄹ㔹㑦戴收挵㌳㜱换〲搴㘸摣ㄲ攴ㄵ㌴扣昱搰て㐸㜵ㅢ挹㐲㤰㠰㕡㘸攰㘹挷㍤㕥㈰ㄳ㜸ㄸ㈰昸㡢㔷戹挴㕦敢㔰慤㍢搵㐶㤱愹㤶㈰㉢㤷攵攷攴戳晣㙣㈷㈳敢㜱搳扣晡㈴㤶ㅦ〲扤慥攵扣〴㠵㌷㉥㕦㐱慡㍢㘸㑦㠱㤲㙢㑤ㄴ㥡换㑣㉣ㄷ㌴㑣㌰㘱捡昰㠷愶㘱㍥㉦ぢ㠹昹愷㜹捤㕦㡡㑣㜵〴戲㜲㤹㝦㔲㍥昳搷㍡ㄹ㔹て㠴收〵ㄸ㌱㝦ㄹ昴扡收慦㌶愶㉣㠷㔴慦愰㍤〵㑡㉥户㠸昹挴攱挵㝦㐱㕥㘰挱ㅢ捦挹㈰慡㔰昱㉡㠹㔸㝤㥣搷敡㈳㤰愹搶㈲换敥㜶扣㜴攲㍦ち㌲ㄹ㠰㌵つ㙡つ挰㘶戴〵昴㙡愲㜹㘵挳㐶昳敡㠹晦㘸ㅢ㡤㉥摤愰㡥㜴搰㌴㍣愰㡦㈵晡㘴㘰摣㑥捡㑢㈴㐶㥢攲㜵㠹㕣扥㕡攱戸㈴慢㤳㉥㜷㌲㌲㥦てㅤ攴攵っ扣昱㤳〳愸㔱慦㈵㌹〹㈴㔰捣㉢ㄵ㌹捦㐱攵搱㡣愳散攷搴愵㝥㘵戳〲㍡㡡㘳摣搱㍤㈰挶㙤搳㤶㍣㉣㑦ㅥ〳摣㈱摢愱换昰挸扡㌸㝥攷㜲㉡㥥捥㠸〷搵攱搷㥡㥤㑤挱㜸㙡㈳ㅦㄸ㘶ㅥ㠵愶㠵攳㤵〹㝦㙣㐶ㅣ捦㐶㉢㠹㑤㐹攰ㄹ㤰搱㔲晣㜸㕣ㄲ扦㍢摡昵㙢昸㘶〲㡥晤㐵㕣㉥愰挳昰ㄹ捥〵㌹昷㠶㜳搳㜷收愳搳㍣て扡㑣昹挳㍣散戴㠰㑦扡晢㘵摦㑢昰㥦㡣愸愵㝥昰㜰ㄹ慦㜴㈴ち㔴ㅣ㜱㤷晢扦ㅦ搵㙣㈹ぢ㉤㕥㜵搳愷〰敢㍦ㄵ㠴扦戱愶愴ㅤ昸慥㡦㍥つㄲ昹ㄶ㡥㄰㕦㌱慦摤㘴㌶㡣㍢昵戹晤搶㤷昱㔳㡤〳〶戰戵慤攷摥戹捦扦㙢ㄷ㡣㉢攲愵㠷摥㉥㝣㜰㤸㤵㜴戶㠵昸〳昵愵㥤㙤ㅤ㔶搷愲攴㘲昷㐷改昱ㄵㄵ晣㉣㥦㍥〳昶戰㉡㝥㠲扣捥㠰㌷昶㉣搲捡㌳㐹捥〲〹㈸㕥㙡㤰挱搹㡥戶㜲㐶摣ㄹ愸㔲㍣搸攲ち㤳戱搸挹㤰晤㠳攷愲㤰攲ㄵ〶㜶㜰晦㜹攰戲扤㘶ㄹ慦昱戹敤搰㠶ㄷ扣㜶〱戰晥㜵㈰改㕥扢㄰ㄲ㡦搷搴搵搰㑢捦ㄹ㕦〴㜹㘵〱㙦晣摡ㅢ㤱㤷㤰㕣ちㄲ㔰㌷㐱㑡㉢㌴慤㈸㔰〷愷㙡昵愵㙡扤㥣㜸搶㥡㡡搳ㄵㄴ慤愱㐶ㄲ㍣㑣っ㍡扣㌵慡㍢㈰㘰〴昴㤵㐰㥡㤷攲㌵〳㤱㕥〵愹〴ㅤ㔹㐱㥥搷攳敤搳㔷㔳敢㌵㈴敢㐱〲㡡㈷昱ㅥ敢㘶ㄹ敢㔶慦昶㔸㜷㍤昱改搶摤㐸㤱挷扡㠷愱㈷捤扡挷㈱㄰㍢㙥〶搲扣ㄴ㑦摤㐵㝡ぢ愴慥㜵㍣扤挶摢愷㙦愵搶摢㐸㙥〷〹㈸㥥㘱㑢搴㈷㌹挱摤〴愸㔲㕣㥤攳㔹户㘴㑣㜴㌲㑣㜷攰㤹戸㘴散敢㘴㐸㜷戸ㅢ摡ㄴ捦扦㍤㑤ㅤ㙦㥡捡攷昶摢〶㈲晣昷戱昲昴愶㍥㐰㤱愷愹慦㐱㑦㕡㔳摦㠰㐰ㅡ昵㈰㤰愶㔱㡡㘷摤㈲晤㡢㐷ㅡ攴㤹㌱摥戸㝡㐲慤て㤱㍣っㄲ㔰ㅦ㐱㉡㠶㌷㘵戴㠸㈷捣㤲搱攸㙤搱㘳㈸愴㜸㤶散㘹㔱㥤㘹㔱摡㌴昰㈴敢㐸㙦搱搳ㄴ㜹㕡挴ㄳ㙡㙦㡢㠲㍣ㄳ挶摢愷㌷㄰昹㉣挹㜳㈰〱挵搳㕥愹㤱ㄳ㔱㠱ㅡ㤹戳挶ㄷ㠹攷挴㤳敡捣㉦㔳攴愹㤱㘷挸摥ㅡㄵ㑦㠲挵㕢慦㔲㌱慡收㈷挸戳㔶戱攳㝦㔹晥㌵㤲搷㐱昰ㄳ慦愰攲㤴敤搳扣㠵敦昹㈱挳攳㤲㑡㘳㘰㕡㤰摦愴愲㜴㤷扣㑤㤱挷㐰㥥搶愶ㄹ㔸づ㠱ㄸ昸㉥ㄲ㈶挸挱㐱㘰挴挰昷㤰搰敦㤳㝣〰ㄲ㔰㠳㐱㍤㜶㙣㙥散㐸ぢ捤㐷挴愷摢昱〹㐵ㅥ㍢㜸ち㥡㘶〷捦㌲挵㡥捦㤰㜰ㅤ㌵っ㡣搸昱㌹ㄲ晡ぢ㤲㉦㐱〲㡡攷㠰㥥㠰㤵攵戴攳㉢攲搳〳昶つ㐵ㅥ㍢㐶㠰昷摡ㄱㅣ〹㠱搴昸ㅤ㤱摦㤳晣〰ㄲ㔰㍣搵㤳搰ㄴ愵㠵㐶愹摤㑤㐶愱㤳㈱㐳昳㈷㐸搵㘸㄰㡦户㝣挶㑡昴〱㜹㥤㠵㤵㥥㔶戸㔷㤰攱慤㐲㡡㍣㔶㔶㐳㡦搷㑡㔵て㠱㜸慢ㄸ㐸搷㕢㍣㘵ㄳ摢晤㉣㕦㐲㔲ちㄲ㔰㝢㈱㐳㙣晦收扢昴愳捣ㄸ㤳昱戵㤳㈱戶て㐰㈱挵搳㌷㡦㠷晦〹㠰扤ㄷ敢攷搵愹㘹㘵㈰敢㐸昷㜰㤰㈲㡦敤攳愰㈷捤昶㝤㈱㄰摢㌷〵搲戵㝤㝦㐸挵昶㐱㉣扦ㄹ挹㘰㤰㠰㥡㘶散戰㡦㌳ㅦ愶散昰捣攴㕢㄰㥦摥攳戶愲挸㘳挷㡣㑣㍢㜸攲㈵㜶㙣つ愴戱㐳捤㌷搲㙤㍣搲攰〲㐸挵扡㙤愹㜵㍢㤲㑡㤰㠰攲㜹㤰㜸昶敦㡥〳捤㑣捥㜳㈳挹昸㥢㤳㘱㘶㜲㥥㉦㐹挶敢㑥㠶戸㝣㌸戴㈹㥥㈵㜹扡换慢㌹㥢扡ㄳ㉢㑦㙦敡㉥ㄴ㜹㥡捡ㄳ㉡慦换㠳㍣ㄳㄲ昳㐷ㄲ戹ㅢ挹敥㈰〱戵挴ㄸ昳㙣㠶㤵㍣㐱ㄲ㉢㌷㜸慤慣㐲㈱挵㤳㈱㡦㤵㑦ㄹ㉢搳愶㠰㕡搶㤱㙥㘵㍤㐵ㅥ㉢㤷㐲㑦㥡㤵㍣攱ㄱ㉢ㅢ㠹㙣㈲㘹〶〹愸攵挶㤸㠷㌲慣攴㜹㤰㔸昹㔷慦㤵㝢愱㤰㍡っ㔹ㅥ㉢晦㙣慣㑣㥢㌰挷戲㡥㜴㉢挷㔱攴戱昲〸攸昱㕡愹㜸㉡㈴摤愶〵㐸昳㔲㍣攵ㄱ改〴㐸搹㤹昸㔲㍣㉤ㄱ晢敥㜲散攳づ攷搲〲扦㕡㙢㌲敥㜴㌲昸㔰戹㔲㍣㔲㥡愷㉦㔲攲づ㈷㘳㉣㌲昴㘴㈸㉤㍥〵㔹㝤㕥㤰㉢ㄴ晢㠵摦愱㥤㠲捡ㄴ㔷搳搴愱昷㈳㠷〴㍦ㄵ㕣搳㌲挱㡤㑤戸つ㘲㙣扤㈵愳㜵㘷㥡㡣㥢㌳㕡挷㌵慦戴敥㈶㙦敢愶愳㡡ち慥㙣昹挸晣㤲つ昸敥晥慤㠵㐷ㄷ晣愵攰㙤㜵㘹挱攷㍥㍥戸㤰捦㘴㈸㔱愸ㄴ㤷㈱搵〵㐰搲ㄷ㝡〶㑤攳〲㤶〸㍤ㄳ㥣㍢㡡戹㔸㤵㡡慥换㌰敤ㄲ㤳㜱㙤㠶㘹㕣搴㑡㠹昵㕥搳收戰㡡换㤱㈵ㄵ捥㈵挷昵慢㔴㌸捦㔳㘱㠵㔹慢㤶㔶㜰㝤㉡㍥㠲㔱㍥㜵戵㔱㝢㘵㠶㈱㕣慢㑡㝤㝦捡㌰㘴扤挹戸挲㙢挸㠱慣晡㝡㘴㠹㈱〷㤱攳㔲㔵っ㌹搸㙢㠸㔹㤶㤶㔶摣攲攴㤷㡡㈱㕣㠲㑡㝤㝦挸㌰攴㌶㤳㜱㘹㠶㈱㕣慡㑡㠹㑢扣㠶㉣㐴㘵ㄵ㜷㈳换つ搶搰挲挱〸搶挷㜸ㄴ挱攷㍥㍥ㄴ昶㔱㠴㘱〳㉥㐵㍣㡡挱慣戸敥ㄴ㤳㐳㌴昹〱㜰㘲㜲搸㙢㌲㤷㤷慥挷㉡戸慣㜴㌹昵㔷㜰㘲挴扡っ戳戹挴㤴㡣ぢ㌲捣收戲㔳㌲捥昷㥡ㅤ愳搹㕣㕣扡㘶昷摡挷㥥〴㔲捣㕥㐴戳㥦〶㈷㘶㉦昶㤸慤戸㠶㤴㡡捥捥㌰㡤敢㑡挹㌸㉢挳㌴慥㌵㈵攳㑣慦㘹ㅤ慣㠲㙢㑢愹戰㤳ㅣ㤷㤵㔲㘱ㄷ㌹昶㈳㝣㉡戸㠴㘴挲ㅥ㝤㕣㍡㡡戲搳㌲慡㝦捤㘴㥣㥡㔱晤敢㈶攳ㄴ㙦昵㜱㔶昱㈶戲愴晡〴㌹㉥ㅡ愵晡㈴㌸㌳愶㉡摥㜵愴㜶㝦攲挲㔰慡㕦㥢㔱㍤ㄷ㡢㤲㜱㘲㐶昵㕣㐰㑡挶〹摥敡㔷戰挲㡦㤰㈵搵慦㈴昷〹㌸愹晥㌰㜲愶昵㥦㌹㔲扢昵㥦ㅢ㘵挷㘵㔴捦㌵愲搴㜲㙣㐶昵㕣㌷㑡挶㌱摥敡㡦㘲ㄵ㕣㈷㑡昵慢挸㜱㠹㈸搵慦昶㔴慦戸ㅣ㤴攲慢㌲㉡攴ㄲ㔱㌲㡥捡愸㤰换㐶挹㌸搲㕢攱戱㔰㕡挱挵㘱摦㍡㈲ㄷ㠷㘲摡㜱㌴㠶敢㐲㌱敤㜸㈴摣挰㜰つ㐸愹敤ㄹ慥晤愴摡㤵ㄹ㠶㜲㍤㈸ㄹ㉢㌲っ攵ㅡ㔱㌲㤶㝢つ㍤ㄱ搲ち慥〴昳ㅡ捡㈷摢㜲㔶收捤㈱挵㤵愰ㄸ扡ㄶ〹挵㐵愰ㄸ㝡ㄲㄲ慥愱㕣昰愵っ攵㐲㑦慡㑤㘴ㄸ捡挵㥦㘴挴㌳っ攵㠲㔰㌲づ昵ㅡ㝡㉡戵㜲〱㈸搵㥦㐶㡥㙢㍦愹晥㜴㈴摣敡戹捥㜳慢慦攰晡捥攵ㄴ搷㜵愲扡㌳挳ㄸ慥昵㈴愳㈳挳ㄸ慥晦㈴㘳㠹搷㤸戳㈰慤攰㘲㉥慦搷搲㡥㘵㕣捣㠹搹㘷㈳愱戸㡥ㄳ戳捦㐱挲㤸慤戸㘶㤳㡡ㄶ㘵㤸挶㜵㥣㘴挴㌲㑣攳摡㑥㌲㉣慦㘹ㄷ㐰㕡挱ㄵ㕣摦㑣攳ち㑥㑣㕢㠷㠴攲攲㑤㑣扢㄰〹搷㌴㉥搴愴愲㔰㠶㘹㕣扣㐹挶挲っ搳戸愰㤳㡣㌶慦㘹㤷㐲㕡挱㘵ㅢ㝦挳㑦㔶〰摢ㄵ㝥㠳㕢晢ㄷ攰㤱㌴㥦晢敥㐳㠵昷㈰㘳ㄵ晢ㅡ㤷㙣㘲搶ㅦ㤰㔰㕣慤㠹㔹㤷㈱㘱捣慡㌰㉢戳搲ち慥挶㈴挸㈸敥慢攰㌲㙡㍥ㄲ〵㉢㔴㘴㘱㜴攱挲㙦㉢㡡㉡户㉡晡㝦晢㤴㥤晢挶㘳㙦㥤晥晣挱㘳摥晦昱㠲ぢ㥥㝦攷昴㈷㝥扣㍢㍣收攱㑢㉦晤换㝥ㄷ㍤昱搶愶戱㡢ぢ㙥晤㜶敡挵㐷㔴㉦㌹攲搰搸摣㕤㈷ㅤ㜱挰㈱戳慡㘷㙥㌲戲戰戰愴㘴愷㐱㡦㙣戱㜳㜰昵愱户慢〷㕥ㄹ搲愵㘴改㠴ち昴攵㑥扤慣㍢挸㈵㤴慣㙢晦㠸㐴㜹㘱〵搷㍢晤㙡㠶㉣㡣㘸挶ㄵ愸㠹㕥㘱敤㐱㉥㤰挴㡣㍦㈱愱慦〴㈹㉦愸攰〲愷㕦㙤㤱㌵ㄳ㙤戹ち㌵搱ㄶ戹㐷挱戵㤳搸㜲㌵ㄲ晡ㅡ㄰搸挲㌵㑥扦摡㈲换㈶摡戲ㅥ㌵㌱㌴戴㈷挸攵㤳搸㜲㉤ㄲ晡㍡㄰搸挲㘵㑥扦摡㈲敢㈱摡㜲㍤㙡愲ㅤ㌸㈴攰ぢ敥㘰挴㤶ㅢ㤰搰㌷㠲挰ㄶ慥㕤晡搵ㄶ㔹攴搰㤶㥢㔰ㄳ㙤挱㍦㕦㤰㡢ㅤ戱攵㘶㈴昴㉤㈰戰㠵㡢㤵㝥戵㐵搶㍦戴攵㔶搴挴ㄸ挹㄰攲㍡㐸㙣戹㡤㘶ㄴ㔶㜰搱搲慦㘶挸㍡㠸㘶摣㡥㥡摣昰㜰㍤㈴㘶摣㠱㠴扥ㄳ〴㉥㔹㠱㝦晤㙡㡢㉣㡡㘸换㕤愸挹㜵〹ㄷ㐷㘲换摤㌴愳戰㠲㉢㤹㝥㌵㐳ㄶ㐷㌴攳ㅥ慦ㄹ㕣㈴㠹ㄹ昷摡㘶㜰㝤搳慦㘶挸㐲㠸㘶摣㠷㥡ㄸㄹ搶ㅥ攴㠲㐸捣戸ㅦ〹晤〰〸㈲挳㈵㑣扦摡㈲㙢ㅤ摡昲㘷搴攴摡挲㌵㡦搸昲㈰ㄲ晡㉦㈰戰㠵慢㤴㝥戵㐵ㄶ㍥戴攵慦愸挹㥤摣戸〰ㄲ㕢ㅥ㐲㐲㍦っ〲㕢戸㐸改㔷㕢㘴㌵㐳㕢ㅥ㐱㑤慥㕦戸慡ㄱ㕢ㅥ㐵㐲㍦〶〲㕢戸㉡改㔷㕢㘴昹㐲㕢ㅥ㐷㑤慥㉤㕣挶㠸㉤㑦㈰愱㥦〴㠱㉤㕣㠶昴慢㉤戲㘶愱㉤㑦愱㈶摡㈲㤳㍥搷㉥㘲换搳㐸攸㘷㐰戰敦㤸㉢〸ㄱ㙥㈰㕦愸戸㜶㤰㠵搳㈸㘷攱㌴ㅥ挵昱㥢つ㐱ㅥ攳〵昸ㅣㄲ晡㜹愲ぢㄴて昱㠲ㅥ㤹㡥㔶㍣散㑢挶慥㑥〶ㄷ㠳晡㈵㐸㠳㍣㐰㡢愲㤷㤱搰慦㠰㐰ㄱ㡦捦㠲摦㌱㐳ㄱ㡦搹㤲㌱挲慢攸㌵㐸㠳㍣扡㡡愲搷㤱㠰改㍣慥ち㜴晢っㅤ㍣搶㑡挶㌰慦㡥㌷㈰つ昲愸㈸㍡摥㐴㐲扦〵〲㘳㜸㔰ㄴ晣㌶ㄹ㡡㜸愰㤴㡣慤扤㡡摥㠵㌴挸㐳㥡㈸㝡て〹晤㍥〸ㄴ昱㠸㈶昸㉤㌲ㄴ昱㈸㈷ㄹ㐳扣㡡晥〱㘹㤰挷㈳㔱昴ㄱㄲ㘸ㄵ㡦㐴〲摤㉣㕤㐷㤰㐷っ〱㝥㠲㠴晥㤴攸〲挵〳㠶愰㌷㐹㐷㉢ㅥ㐴㈴㈳攸慤昱ぢ㐸㠳㥣敥㐵搱㤷㐸愰㐶㑥昴〲㉤㑦搷ㄱ攴㠴㉣挰㝦搹㐰㑥挵〲ㅣ㤰〱攴㤴㈹挰慦㤱搰摦㄰㕤愰㌸㘳ち扡㌴ㅤ慤㌸㡢㑡㐶㠹搷戴敦㈱つ㜲扥ㄳ㐵㍦㈰愱㝦〴㠱㈲㑥㜷㠲㉦捣㔰挴㈹㔰㌲ち扣㡡㝥㠶㌴挸挹㑡ㄴ昹㜰摢ㅣ㙤攴㌴㈵搰㥦扦戵敦㔴㌸摤㕣㜱敡㤲㡣㥦㥣っ改戸㠵㈸ㄵ攴㈴㈳㍡㡡挰改㘲㉡㉡㔰㥣㘳〴晦㝤㠶㈲捥㍢㤲昱㥤㔷㔱㈹ㄵ㜱㠶㄰㐵㥡㡡〲戶㈲㑥㄰㠲晦㉡㐳ㄱ㈷つ挹昸㤷㔷㔱㌹ㄵ㜱㜸㡢愲㠱㔴㔴㘱㉢攲攸ㄶ晣攷ㄹ㡡㌸攲㈵攳㌳慦愲㑤㔱慡㤸㠳扦㤷㕦ㅢ㑤㙤挲攰㐵ㄹ摤㠹㕦ㄴ㑤㜲㍢㐶愰㤳摦摦㤰敦㜲昸㍢昹晢㥦㕤㥢㌸捦㔸ㅣ改㘲㌶㜵㈵㉥㜶愰㉢㤲㌲㕢摡扦搲ㄷち㜷㔸㠴㡣㑣㈹ㅤ㥣㤹㈳㜸戴㤸㡤昶㙤㥦敢㉢㈶昶挶ㅢ㘳㈰扦㘱㔳慡晡っ㉣㔵㉣愰〷挱㈵㝣愹㔴㑡㔸挵愹㡦慥搲㥢戹〸㌷㘵㈳㌸㉦ち㘲㌰㄰戴㔲㘹㌷㈵慣攲ㅣ㈸㈷㤶㥢〳愱㌸〷ち㝥〸㌹挱扢㈹㘱ㄵ㈷㐸㐱㙣攱㙡㜴㔳戶㐶㑥㠶愲㜱㑢敡攰㘴㈸昸慤㕣扣㥢戲昱㥣昸〴㍦㤴㜸㑥㝣㠲摦ㅡㅣ㕦㑡扢㈹㘱ㄵ㘷㐵㐱㙣攳㙡㜴㔳戶㐶捥㠰愲㜱㕢㙡攴っ㈸昸敤㕣㡤㙥捡搶挸改㔱㄰㤵慥㐶㌷㘵㙢攴㔴㈸ㅡ㠷㔱㈳愷㐲挱㙦敦㙡㜴㔳戶㐶捥㠱㠲搸挱㐵戸㈹ㅢ挱〹㔲㄰挳摤㍡摤㤴㕤攷ㄷ愶捥ㄱ慣㤳㤳愱攰㜷㜴㌵扡㈹㕢㈳㘷㐱㐱散攴㈲摣㤴㡤攰昴㈷㠸㥤㕤㠴㥢戲ㄱ㥣ㅢ〵戱ぢ㄰㘲㠶㜶㔳戶㔵㥣〷挵ㄳ扢〲愱㌸てち㝥愴慢搱㑤搹ㅡ㌹㐹ち㘲㌷㔷愳㥢戲㌵㜲㐲ㄴ㡤扢㔳㈳㈷㐴挱㡦㜲昱㙥捡挶㜳昲ㄳ晣㘸攲㌹昹〹扥ち〹愹㔲扢㈹摢〲捥㡣㠲愸㐶挲㙥㤳㥢戲㌵㜲ㄶㄴ㡤㌵㐸㈸捥㠲㠲慦㐵挲搶攸愶㙣㡤㥣㈲〵㔱㠷㠴慤搱㑤搹ㅡ㌹ㅤ㡡挶㝡㈴ㄴ愷㐳挱㌷㤰㠳づ愵摤㤴㍤慡㌸㔷ち愲ㄱ〹㕢愳㥢戲㌵㜲㕥ㄴ㡤㑤㐸ㄴ㜳㑡攸挳㌴㐲攵扦昰㜶㔸㌳㙡㔰㥣㑤㔸㤵摥㠳ㅣ㘷づ攱昶㈴㈷昳〵昴扢㍢昱愵㈵㥣㉤〴㌳㠶ㄸ捥っ挲敤㑤㑥收〳㤶ㄸぢ㡥㉦㈹挱搹㐰㌰晢㄰㈳㜳〰戲戴㜷〳戲攲っ㈰㤸昱挴㜰戴ぢ搷㐲㑥挶㌸㑢ㄸ慤㜲㤳㡥㈳㕣㌰晢ㄲ挳搱㉣摣㐴㜲㌲㠶㔹挲扢㠱㕢㜱〴ぢ㘶㌲㌱ㅣ慤挲㑤㈱挷㤱㈹摣㝥攴㘴㍣㘶搵挸搱㈸㤸愹挴㜰攴〹㌷㡤ㅣ㐷㤹㜰搳挹㜱㐴〹㌷㠳㥣㡣㈳慦㌵攲ㄵ㡥㈲挱捣㈲㠶㈳㐶戸搹攴散㜱攲戱㕦㑡㜰㤴〸㘶づ㌱㌲㌶愸㌵捤㡦ㅣㄹ㠲㤹㐷っ㐷㠱㜰昳挹㐹摦捦戲愳搶㘰づ㈰㠶扤㕣㑡ㅣ㐸㑥晡戶户〴㤷昶㡡㍤㕢㌰〷ㄳ挳㕥㉣摣〲㜲散扢㌴搶㡤㤵㤴㤰慥收搵㠳戴㑦㐹㤷换㤲㑡搷愳㜴愱愳㑡摡㉥㥤㡤㔲搳〷㤰昶㈹改㜴㤴㠶㍤搸愰㠱㈸改㙦捣㡥㜸戲㤵昴㌰㑡㑤攷㐰摡愷愴愷㔱㙡㜹戱搲户戲戰搲挷㈸㕤攴挵㑡慦捡挲㑡敦愲戴ㅤ㔸昳㔲搲换㈸㍤挴慢㐱晡ㄵ愵㘹㤶㐹晦捡㤲㑡㍦换㤲㑡㝦愳戴挳慢㔷㝡㔸ㄶ㔶㝡ㅡ愵㕤㕥慣昴㉤㑡扢扤㔲改㑤㔹ㅡ愴㔷㔱㝡愸ㄷ㉢晤㠸搲㌸愴收愵愴㍦㔱㥡昰㘲愵〷㔱㙡㍡㌱昱㑡㝡ㄲ愵㍤ㅥ㙣㤰晤㠱㌳愵㕥㠶〴扥ㅤ捦㤸ぢ扦摣收ㄹ㘴攱㔷搸㍣〳㈹晣㑡㥢㘷戰㠴㍦捣收㑤㐰㠲㡣㠱㘴ㅣ㙥㘷搰㜷挲ㅦ㘱昳昴㡦昰㐷摡㍣㍤㈳晣㔱㌶捦搶ぢ扦捡收㑤扢㠳㙣慡㘴慣戶㌳搸ㅣ攱搷〸㕦捣㠶昴戲昱㘱愶ㄵ㡦㔸㕤挹昶づ㡢慢㑢㝥攱扥扣戳愵㈷㤱散戶ㄷ挰㠹㘲㔹昲㘶㉦㠹㌷㈵㝣㘴ㅡ㌴㘰㡢㐸㉢散愴扢㌶ㅥ攰㘴㜱㌱晤㥦㉥㡣㑢搰ㅡ㝥㜰㘱㜵摢摥搷挶昶扡戸㙦㈸㘷㔱㝣㌴扣ㄳ挰捡〱挷搲㔴㔲㜸挵㠸搳㜹晡㤸ㄴ㈶㤵戴㌱散〵㠲㌹㌶㠵㐹㈵㙤っ㝢㠶㘰㡥㑢㘱㔲㐹ㅢ挳摥㈲㤸攳㔳㤸㔴搲挶戰攳〸收㌷㈹㑣㉡㘹㘳搸㤹〴昳摢ㄴ㈶㤵戴㌱散㘰㠲㌹㈱㠵㐹㈵㙤っ㍢㥤㘰㑥㑣㘱㔲㐹ㅢ挳㡥㈸㤸戵㈹㑣㉡㘹㘳搸㈷〵㜳㔲ち㤳㑡摡ㄸ昶㔳挱㥣㥣挲愴㤲㠲愹㘰㙣㜸㐰昶㥦㜷㉥㕦㜷㜰㕦て㕥㙦㡣挵慦㈴攰昵昱搸ち㐶愶㜷〴攳搲㍢㠲㔱改ㅤ挱㤸昴㡥㘰㐴㝡㐷㌰ㅥ扤㈳ㄸ㡤摥ㄱ㡣㐵敦〸㐶愲㜷〴攳搰㍢㠲㔱攸ㄵ㌱攰晦〳愷㙡ㅤっ</t>
  </si>
  <si>
    <t>㜸〱捤㔹ぢ㜰㔴搵ㄹ摥戳㥢摤散摤㈴扡昲㤲㔰挵㌵愲㐲〳㙢ㅥ㐴挱㑡㈱搹㤰㤰ㄶ㐹㈰〱㙣慤戳摥散㥥㑤慥搹摤ㅢ敦摤㈴挴搶ㄷ摡捥搴㔷㔵㕡ㄱㄹ挰ㄷ㍡ㄶ挵㘲ぢ㈲昸挰㔶㘷搴敡戴㜶戴愳㜵㑡㑢戱㔳摦愵㔵㍢㙡愷搰晦㍢昷㈴搹摤㝢㉦㈲愵㌳㕥戸㝦捥㍤晦㌹摦昹敦㝦晥搷戹敢㘱ㅥ㡦攷㄰㕤昸㡢慢〴㡤㤳㍡㠷捤ㅣ捦㐴㘳㝡㍡捤ㄳ㌹㑤捦㥡搱㐶挳㔰㠷ㄷ㙢㘶捥㐷〳〲㜱㡤昸愶㍦㙥㙡㤷昱㘰㝣㤰ㅢ㈶つ昲㝢㍣挱愰攲〵㡡扣挳㈳てち㘶㈹攸㔶㘸㤴㐷〹㄰㈹㉦㈵搲ㄵ㙢㙡敦扥㠴ㄶ改捣改〶㥦ㄹ㔹㘱㐱捤慢慤㡤搶㐶敢收搶㥤ㅤ慤㤹ㄹ㠹つ愴㜳〳〶㥦㤷攵〳㌹㐳㑤捦㡣㜴っ㜴愷戵挴㌷昹㜰㤷摥挷戳昳㜸㜷㑤㝤户㍡㝢㑥敤散㠶㠶搴摣戹㜳捡㠳㠴摣ㄱ㙢㕡挴搳晤㠴㜷慣㔰ㄵ㐲㕤ㄲ㙢敡㌰㜸敡㔸㘱晡愱㤷摡㘶㥥搰愰㐰捥つ㉤摢ㄳ㡤㌵搱晦㍣慤搰搳㌹搱昶捥㑥㥥㌵戵㥣㌶愸攵㠶㠵づ㌳敤㠹敥ㄵ㙡㝡㠰〷㌲㐲愴㘰㘶㠵㙡㉣㔱㌳扣㈲戳摣攴换搴㙣て挷㤳㍦搳㍡愰㈵㑢㘸㘳㝤㌳㥣ㄶ㤲㑡㡡戶挷㥡㘲扤慡㤱ㄳ㤰㔰攰㔹㑥愳挵㑡搱㍣㔱挴ㅣ搱ぢ昵戰㌲㘹㍡㔸ㄳ晢慢㠴㐰捡㠸〴捡㠹㡣捦㥢ㄹㄱ㔳㈳昵慣攴㐳㌲挰晣㠹ㄸ敥㡤慢摥㜸户㌷㥥昰挶㤳摥㌸昷挶㔳摥㜸㡦㌷摥敢㡤㙢摥昸㈵摥㜸ㅦ㡤ㄹ戹㠲愵愵㕥㜹㕤戸昳挲㡢て㙣摡搳戸扢慡扣㜲捡戶㤷扦捥㘰㜳挲昸㡥愳㠶㜲㍣㤱㐰㤸㠸㠳㈰戵㡣晤㥤〴㠱㌰捦扥㝦搶扢㥢㘷㐵摡ㅦ晤攰㡡㥢戶敤晤㘴づ㠳挲〵捡㌸愰㡣〷捡〴㘷㤴搹㡣扤㉢㔱ㅥ㡥捤敤改㝦㌵搱戸晡㡥㕦㑣㥣㕥戲㝥㈹㠳搵ぢ㤴㐹㐰㌹ㄱ㈸㤳㥤㔱敡ㄸ晢㥢㐴㜹敤㍢敢晡摥昹㘵攷愲晢㍦㝢慣㘱㠳㜱搷㍦换愷搰㤴㈵戴㕢搱㈵㍣㜷㡣㑣摢㡦㕤㍡㜲敢挰㑥晡㌳㤶㜱㌵㜳㌳愱挰昲摡戲㐹扥㉡㐰㉤戲挸昲㑣㑣捦收昸慡㕣戳㥡㔳㑢㌳ㅤ慡挱戳㌹㠵〶㔵㡢㔹㔶ぢ㌳㉢㐴摦挸散㤰㝣㈲㠴戰㘸收愱㤴㠹づぢ㠹㔱㤰昲㤵㔸㌴ㄸ㜰㡡㔶㡢㔴戳㌷愷㜶愷昹戴㈲㈳㠶摥挸㙦㤶攷戴戴ㄹ㈵挸㔶㐳ㅦ攸㠷㐶㡦ㄹづ㘱㈹㔰㔰攰㈴㈲㈲戶攲㉦㉤戰㐰㌹㤹晥㠴〴㔳〱㤳㌶昸㄰㌸㘳扣昲㔳改㠱㐴㙣搶㌳慡㤶㍤㐶㥢㕢㕥㐵愰㑢愵㕦㌶ㅢ敡㄰挵㤸㌱攸扡㘸つ晥㝤㝥㤰愵ㄸ㥢㙡㐸㥤㤳慡慤㑤㌶搴愸昵慡ㅦ㕥晡㐵㘳〴㥣愶㍣戳㔲换㈶昵㈱ㄱ㌴挶㘵㈸㈲㠸㐰搰㌵摣捦㐵㔷㜹慡㑢㌵㝡㌸〵㈲愳慤㜹㐲㉡愶ㅢ〶㑦慢㌹㥥ㄴㅤ㐸㐱㈷ㄶ㜶㥡㉤㠶㥥㐱晦㐹㑤慡挹挷〲㔲㜵捡㕡愸㐹ㅦ挸㈶捤慦㌸㌳㍢㜳〴㍤愵㤸㌷〶㘲㥢搶㐹㐱㥡㥢㐲搲愹挵搳㠴昱㌷慥搲㉣昶挹㐵㙣ち搳㝡户㍢户挵攰㤷㡥㜲㙤ㄲ㌵㔲ㅥㅥ攴攰摢摥搲㘲㔹㜲㔱㔰搵㑤㥥ㄵ攲㔵㘷㍡戴㐴ㅦ㌷㍡㌹戲㌸㑦㡡㔷㥤〸ㄶ㈷㝦㑣㜰戳扡ㅤ慡愷㍣㤱慣捡敦㑤㉤㕣㤵攳攴捤㐹㤲㤷昲㘷㙥戸ぢ㥥㌴愹㘰㠸戵㈶㌱㉡ぢ扡㕢昴挴㠰〹慦㌵昴㜴㈱愷㌱㌹愸搲㥡挹昳昵㈴㉦㈹昱晡愸㐶㈸挱攵愱扣攴㈳㔷慥㈹㜲㔴㤱〴㠱㙤收㘷㥢㍣换㐱扡愹㍦愲㐹㠵收㠵㜹㑥㈱㘳戴挰㘱㤳ぢ㝤㈵扡㡣戴㐷㕡㑡㜳㌸㤲户㌸愲攴〹㍡㘶㌵㔸挴㌱㥥㕡㙦㤴愷㌳搸㉤㐶㑦㜷㝦ㄵ〱㍢㙡ㄹ晦摦挱㕥敦㜸昹昶ぢ〷㈹㘶㉦㔲戳挹㌴㌷づ慦㉦㐸愴㥣〶㌲つ攴㜴㤰㌳㠸㌰晦敢ㄴ攱㕣戵㠹捣捣㔶戱㘱晦㤰㤶捣昵〶㝡戹搶搳㥢愳㍥㉡㈲㠳㐱愸扡㤶慡挷㕥扡㕦愰㜰㝦㌳敡㔲㘵㍡挸っ㈲愱㔰挸㈳㘲㘸㈰愴㔴㡢㘷て㐳㠲ㄷ搵〶昲扢㍤挰㐶挱㔶づ挳㘳㈸づ㄰搴㤴㍡㤰㝡㤰搹㈰つ㐴ㄸ㝢㠱摥〵敦㠳搸慥㐹愹㙥ㄱ㔲㥤㠳㐱㜳㠸攴㑢㜵慥㜸昶㌰ㄴっ㐲㉡㠴㍥扢㔴昳挰㔶づ挳㘳㈸㌶㠴㔴㡤〰㘸〲㠹㠱㌴ㄳ㘱㙣户㤴㉡㕦㔷㤶㔴㉤ㄸ搴㑡㈴㕦慡㌶昱散㘱㈸㐰㠴㔴愸㍦散㔲㉤〶㕢㌹っ㡦愱㜸ㄱ㔲㜵〰㘰㈹挸㌲㤰㑥㈲㡣㍤㈸愵㝡㠳昴㜳㐹挱づ㉥挷愰ㄵ㐴昲愵扡㠰㥥〳摦㈲㔲摡捡戳㥣㉡晣㄰㉢㐱慥㜴㌲扢搱捣㡥敡㌲戴㔸㔷㤳㉤㙡㠲捥づ愵昲攴㄰㡣改㤹㝥慡㌷㡣㌰㐶挶㈸摡㔰ㄴㅢ搴㤲摣〸愲愳㤳づ㉣㈵㜴㜰㌰〳㈲㔶㥢㔴㐸昸㍣㝥㝦㔹搰㘹慤戶ㄱ慣㘹搲㈷昲て㐴㙤㌶晣昷㤶捥㤹㑦㉦㑢慦㈶㌴昳㙤㙡㉡ㄷㄲ昱挳㌷扥㜰㝣㠳㌵㑥捡㜴昶敡㐳㡢挸㌱戸㘹ㄵ收㘶捣搰㜲㈷摡扢愹㌰㔲㌳㤵愲扦搵攰㤴搲㡣㉥㡡散攲ㅤ㌱㘳㡡㈳㐷㑣㥡㈲挲㑢㕥㘰慤㑥慤搰昸㄰搲昱㈹㜶ㄶ㥤㉣㘲〳㘶㑥ㄷ㜵摣㔴㍢扦㔹㕦愲攷㥡㌵戳㍦慤づ㑦㜳㘰㕢㥣㤵扤㍣㑢搹挸愰愴昴㜹㠳昴晥㝥㥥㜴㤰戱㔳ㅦ㌰ㄲ扣慤昹换㤰捦㘸愷慣㡢㠹㔴挶㠲㉣攰㘵㜴ㅤ㕤㈸㘵㤵〰晢敥㠴慤慤晢㉥扢㜶㝥㠰ㄲ㈴㈳㘷愱㠰攷㐷㜸㍤摡㤴㔷㔱㔰㘸㑤挴ㄱ昱㝣㍡㔶㙢晤㘹摥愴ㅡ㘴搸扡㘱㉡㤹㤱愶㘵㜸㜹㠷㌵换㕢扥っ捡愶扡挱慡ㄸ愲敥ㄹ㌳㑦㜰㘱㠳㌰㘶㘴㈹㌶愱㈸戵㡢昷慥〲攷攸昶捡㝦㉦㐵扡㉦㈸〸㜲㐶改㈰㡥㐹昱戸㈷〸戱㜰㌱晦㍤〴攵㈸ㅦㄲ㘵㐹ㄶ㐷㜹㌱㉢搴㤷搵㠷戲㐲㜲扦㠹敡㔵㈴愱搲㔲扣〶㘲扡戸ㅡ㐶捣挶攳㐷㍥慥㜶搲㤵㜵捡ㄸ晤搶搰㤶愴㠴㉦㍦㉥㤴攳攳㐲㤷挱挵ㄷ㠴愰㜸㈰ㄵ㔶㘴㔶敡㐶㕦户慥昷攱散㜷㥣㜸㌲㝢㌹捦攱戴㕦㤶戱㍥㔹愰㑤戶敦昳ㄵ㥣攸愵摥挱㍣㤵攴戱㜲㜷㥣㕡扥ㄶ㈳㈱㥥搸㈶㝡㝦ㅣ扥㤷㠵搷㙣㌹挵晣搵㤲ㅢ敦㌸昵攳攷ㄲ㉦晣㥡㙤㤴㡣〹昵㉣昰搵㌳㕦㕡戲戶㉤戳晢愲㠳戱昱㑣ㄴㄹ㐰㑢㄰挱攱ㅡ户ㅦ㐵挲ㄱㄵ㘹愸〵㡥㑦㡤㐶戴㉥㉤㤷收㘵㈹换㘰搰づ愶㈸㐶㔱〱㥤㉣㑤㜵昵㤲㉥㥡㉢㔲慤㠶㤶㑣㙢㔹づ㠳愲愳〹扥㤷㉣收㍤㔴㉣㜷攸昸㌶愳㘷㉢㔲㕤㠶㥡㌵㤱㠱戲㠹攱㜱〵㑦挲㠷晣愹㈶㉤㙢搲㌲㈲㡡愲㝤㝣ち㐱㥥昶㜳㈰㤳㙤㔵晢捤㉦㠳㤳㤱昵㡣㕣㔶㐸昳㌲慦㤷〵扤挱愳昴ㄳ㑦㈰㐹㜸㤵㜹㝥㜹㙥愴㕤㑢㐷㤶㜱㤳ㅢ㠳㥣搲㌰挱㈳敥㜹㔱㝢愱㌸愰㜰㠷㐲敦挸㡢㘸㐸㕣㉥扥㠴挹搳㡤捦㈹愵㡦㔶昹昰㍢㠵ㄳ㘱搵㈰㜸㑡挹〶ㅥㄸ捡㐵搴㈰㐵㐹扤㠷扡㤴㕥っ㠰愰㐸散挵攱㥡㝡㈰㝥挸挳敡㠹㡢㤰捤搶㤲〱㈳㔰㔰㥢㡡愳摢愸〵㕦㜷昰㔵㠶㝡㔳搴捦昸㍥㄰㐸ㄳㄹ昳㡦㕢㘹㡥愳㝦摣㈲ㄹ㤳ㅥ昲摥晦攷晤㡦㉣摥㜰摥㤶㑦㜷㜴㍣㜱ㄱㄳ㠵㉢㘱㈸晤㐴㔰㉦攱㘶㈸㔷攱㈳㥥挰愵㐴慡ち昷挴搰㝡戴慣㥡㡥戴慡㘶愴㉤㍢慢㈳慤㈶㐸㐹昶捤㘱愸㜷戱㐱㡡㐱㠴愱摡ㄵ㍡愴㥤ㄴつ愱㐳ㄴ户づ㍡捣㔱户㌲㠰㠱㡤㐴㥣㜴㌸㥡昲㔸ㄳ㡤㄰㍡扣㡥㕥㜲㑣㠷㍦愴㈷㌷ㅤ挶㘸捡愸づㄵ挴ㄸ㉢扥㝣摦㑤㝦搷㑡挶㥡昵㍢愶㙦㍣敦て敤㌷ㅣ㕣扢㙤敢敥晤㍦㘳捤㌴㔷扣搵攵搴昰换㥢戵㔰挳搲摦ㄵ搴㜲搱ㅦ㡣晢戰晡㙢愵戹㐲㝦㔷㔲㠳戵㠱搰慤㕣㈵ㅢ㐲㝦㈸挳ㅤ昴㜷㌵〶慥挶㐰ㄴ摦㑥晡㈳㤶戴㐱㔴收㐲㝦㤷ㄷ攸敦㝢㠷搱ㅦ敡昸㌱晤挱〶㉤晤慤㜲搳摦㤰㘴散摣㝡㜰挳㡢㉦ㅢ㙤㑦扣晥捡搴㍦㔵敤散㘳㥤㌴㔷扣搵㜵搴ㄸ戵㍦ㅣ〱㉣晤㕤㑦慤挲㤸〰戳㍢㕣㑣㘰㌸㍡〸戵摤㐰つ㠶㠳㠳㔸攰㐶搹挰㐳ㄸ㠵户㤷敥挰㑤㐴㡥㡢㌵挵昳㡥摢㠱ㅦ㔱摦〹搴㘷㈵慢㤱㥣ㄷ㐶㥤㡥㌹攲㔳戵㜲ぢ戵挲〹㈲㐱㜴摤ち戲〶攴挷㈰㍦〱戹つ㘴㉤㤱ち㉦㈳〷戱愴戸㥤ㅡ㈳㔷ㄸ搱愴㠴㙥㘵ㅤ㤱ち㕦戸㠷晥㠸ㄵ㈰㤵〲㌱挲扤㈳㕤愸昵㤵つ攸㠲愷㡡㐵㌷愲㙢ㄳ挸㥤㈰㜷㠱摣つ㜲て挸扤㐴㐲㑣戸ㅥㅥ㌷ㄳㄹ戹挲㜰㐱戱昰㝤搴愰㠵攱㙥㐵ぢ挳昹㐴搷㜸㙡㈸㍦㈵ㄲ㠶㠹㡢㠵户愰敢㐱㤰㠷㐰戶㠲㍣㑣愴挲挷㠴愹攲戹攰㐵慦愲ㅥ戱摥㌶㌱㉡㝣㌵晤㈹㕡㙦昵㐸ㄷ㡥㡤捡㜶㈲㘱㤸㠴㔸㙦〷扡ㅥ〵搹〹昲ㄸ挸㉥㤰摤㈰㡦ㄳ〹㌱戱搹㜸㉣㜸㔱㙣扡㔸昸㐹㙡㤰㜸搸㌵ㄸ㙥攰㈹㍣㌷愶搳㤱㤱㜲挵っ散㐱㔷挱㑦ㅣ㠱愷愹㙢㑥捤摣㘸愴扤戵慤㈳摥愲昱㜴戲㤹て挶ㄷ㈶㜴㑡搴㤱改㜵㌵昱昳㔵攳㌲㍤㕥㔷㔳㔷㍦㈳㤲搱㤳㤱晥㐴㑢㑢㘷㘳㜴㔵摡捣戰慦㑢愳て晤晥㤹㠷㉥㝥晣愹〵敢㙥㍢改㔰㙤攵㠴㔹㙣㥥㘴搸㝥㠹㠰ㄹ㐱㍣慢昶㜹㤶㕡扥㐶㌳㘳昹搶㕣㌹改昴㑣摦晡昵ㅦ〵ㄷ摥㍤敥扥㕤㥢㠶攷㥦挰收㐸㐶昷敤㡦摦扣敦慣㠳戱㍢㉦㜸㝢㘳㌴户㝤ㅦ㠳㍤㡥愲㈹㐰戳㤰ㅡ摣㤰㘶㑢挶昲〳㝣捦㝤㍢搷㝣㘳晢㠱㙢㠶㕥摤昶㥢㌳ㄹ㡣摡〹愹搶つ愹㐶㌲摡㕥㕡㌳慤晢㠱㉢摡ㅦ㑣㜷㡣㘳㥢敡摥㘷昰っ㈷愴㔹㙥㐸㌳㈵攳搳㘹㑢㐳敤㍦㝦㜳挱㘶晦ㅤ㕢㜶ㅢ扢㍥㘲㜰㉦㈷愴ㄹ㙥㐸搳㈵愳敦㤱㜹挶㌵慤㍢㕡㜶摣㝥攵㑥㜵搲晥㔲〶ㅦ㜵㐲㍡摤つ㘹㥡㘴捣㕤戹㔲㥤扦昷㕦慤㍦昸愴㙡晤摡㙤摤㝢挳㈳㐶敦㠷㐳㝦捤愹愰戶㝤摣慢㉥晥㤲扡㤰扥㡣づ挳㌹㝣昴つ挲㉦ち挲ㄲ敦戹㐷㠷㌵㜲愸㔱〸捥㝦ㅡ㐹晤㍦攰㈰㙥ㄶ㥥㐹㑥愱ㅥ㘵㉦ㄱ㠶戸㈴㌴〸户㔲昶㠰挰㜵搸㔴愹㈸㥢〷㥣㉣ㄹ戶㕦搱㄰搳㥣昶愲㔲㑥戰㔹晦㘴挹㐸晦晢㥤搷捥晥摤摢㙤㑦㍣昰挱㠷㙦㜴㑣㝥㠷㙤㜲㐱㥡攸㠶㌴㐱㌲慥㑢㕣ㅦ㈹㑦扤戵㘰摢㤴つ㑦㔶㍥扦㉦捥敥㜴㐱㍡挱つ㈹㉣ㄹ㌶㍦扡换〵愹挲つ愹㕣㌲晥ㄲ㥢㝥挶搵㔳㉢㥢㔷搷㍤ㅤ摢晥愴㙦㤰摤敤㠲愴戸㈱〵㈵挳收㤱㐸ㄶ㑥ㅡ昷扢㈱㤵㐸㠶捤㡦敥㜵㐱㘲㙥㐸昸㜹ぢ攵慡捤㡦㌶ㄳㄲ㉥㠶晣〴㕦㘲㠷づㅥ㍡〴〳ㄶ㌶攷㈵㕢㘴㐸㐹㑥㌶昷ㄹ㡤〴愸捤收㍥㤵っ摢㙦慥㐸㘷㑥ㅡ昸㔸㑥戰搹摣㐷㤲㘱㡢戸挸㠹㑥㐸晦㜰㐳㍡㈰ㄹ㌶㑢㐱㘲㜵㐲㝡摦つ改㍤挹戰敤㉦戲戳ㄳ搲摢㙥㐸㙦㐹㠶㙤㝦㤱攲㥤㤰晥敡㠶昴愶㘴ㄴ敦㉦㐳ㄹ㈰戶㜵㍦㡤ㄸ摤搶愹搸㔶㘴㝥戱㐸㔱㈸搹㉢戱㙣摢晡㐷挹㈸晥ㄱ㥣愱㙡㜰ㄲ昷㜵㌹挱戶慤慦㐹㠶㉤㤴愰昴㜰㐲㝡搵つ改ㄵ挹戰㠵ㄲ搴㉦㑥㐸㉦扢㈱晤㔶㌲㙣〶㠲㈲挸〹改㈵㌷愴ㄷ㈵挳ㄶ㑡㔰㐹㌹㈱㍤敦㠶昴㥣㘴搸㑣つ攵㤸ㄳ搲戳㙥㐸捦㐸㠶捤搴㔰搳㌹㈱㍤敤㠶戴㐷㌲㙣愶㠶挲㑦㤸摡㔳㌴㘲搴搴㥡挸搴晣㐸㕤挵㕦搳昰昱扦〵搹户攸㈷愷戲戲㉡敡散㕣户㙢挱㝦敡㉦㙡㘴㠸㐰㤸㍥摡〱摢㉤攸挰ち昹ㅤ㘵晦〵摢捤挰捥</t>
  </si>
  <si>
    <t>㜸〱捤㔸㝤㙣㕢㔷ㄵ昷㝢昶戳晤ㅣ㈷捤晡愵戶敢㔲户㉢㙢慢戴㕥㤲㝥㘶愳㌴㠹ㅤ愷搹搲㈴慢㤳㤶㍦㡡捣戳㝤㕦昲㤶昷ㄱ摥㝢㑥攲晤挱㠰〹㠴㐰ㄳ㑣〵戶㔲慡〱㠲㡡㙡㉢愲㐸㉢㔵戵ㄵ㄰㈰昱㈹〴摡㄰㘸搲昸㠶㜵っ愸〴っ㈴〴攳晣敥㝢㜶ㄲ挷敥搷㡡搴㥢扣攳㝢敦戹昷摣慦㜳㝥攷摣ㅢ㄰〲㠱挰㥢㤴昰㡢ㄴ㐲㘶㝤戶散戸捣㐸愶㉣㕤㘷〵㔷戳㑣㈷搹㙢摢㑡㜹㐸㜳摣㈰㌵〸攷㌴攲㍢㔲捥搱ㅥ㘱搱摣っ戳ㅤ㙡㈴〵〲搱愸㉣ㄲㅦ㐲昰戵㔶ち㌲㝡挵㐳㐴挶㔲㝤㈳昹㠷㐹㙡搶戵㙣戶㍤㜱挴敢扢扦戳㌳搹㤹散敡敥摡㤳散搸㥥㐸㤵㜴户㘴戳晤㈶㉢戹戶愲㙦㑦㡣㤶昲扡㔶㜸㤰㤵挷慣㈹㘶敥㘷昹㡥㥤㜹㘵搷扥捥㕤扢㜷慢摤摤晢攲㌴㜴㘰㌴搵㜷㤰改搳㈴敦㔶㐹つ㤳搴攱㔴摦愸捤搴㕢㈵㔳挲㐶散㐸戳㠲㠶ㅤ㘳捣搶捣㠹㘴慡㡦晥ㄷ散ち㤵昶㈶㐷戲搹㠲攲扡捣挶摡㘴㘳愴㤰㍦愲攸㈵ㄶ㌶昸㜴愲挶ㄱ挵ㅥ㔶っ搶㙣㡣㍢散戰㘲㑥㌰㤴㈴㘳愰愴ㄵ㐳㜴㡡挱㙤昵〶昱㌷㈸㌹㤲敡㑢㑤㉡戶换㐵㘲㠰昶㝡慤昹㐸㐹㝦ㅡ扣㍤慦挱戶〸㑤扥㡥昰昱㌰挳〸㐸㤴㐸㔸㈶戲捣敦㤵攰摤ㄲ㥤㐲攸つ搲戲㠵㥤㥡愸㤵㤸㔳挴㕣㕥捣ㄵ挴㕣㔱捣㌱㌱愷㡡戹〹㌱㌷㈹收㌴㌱昷戰㤸㥢愲㌶㤵ㄴ㡤㐴㐴㍦慤昹捥晢㝥㜵昶㠳ㅦ捥ㅣ㍦搴㜶㝡㕤摦ㄳ㕤㜱挸ㅡ愶㌵㈵㠷㤹㝢㡢づ㕦挲㝡慥㝦て攳搴㕡㌲扣㈳㐸㌳愷㈰攳㝣〶捤㈲㥢ぢ㔳㡥捥㉤㙥愴㉣搳㘵㜳㙥㕡㜱㤵㠸㌱慡搸捣㜴㘵㙡搴捥㝢㜹㌹昴㙣收㜵㤵摥㌱扦㐴ㄲ㕡㜹㜶㠱㤴㈶㕥攱㐹ㄲ挸摣㠲㈱㡦㐶挳昵っ昸愰攲㑣扡㑡㕥㘷㥢㙢㡥ㅡ晢㐶摡㌵敥㙡扡㤳㈴㤱〳戶㔵㥡挶㡥摥㉡㌹㕣㠱愱ㄴ攱㘶㈲ㅣ㙥昰㑢愹㐷㙥㈱ㅡ㤳挱㤴挱〴ㄴ搱て㤲捦㡢㉦愷㍣㑤㌱㙤ㄹ㡡㘶摥愲挳㡤慦㈰愱て昹ㅡ㥣戶㤵㔹戲挲㜹搱㕤挹づ晣㕤ㅢ㠶〸㠵搴摤敡㕥戵戳戳戸扢㐳搹愹㐸㔰晦ㅢ戱愴つ搴㍥㙥ㅣ搵捣愲㌵换㑤慢搹挸㙡㕣㜳搲㠰摡戸㌱愶搸ㄳ㡣慣搴ㅥ㑣挷っ㙥㑡㘳攵㘹搶㘴㘰捥愳㤶㘶扡㑥摣攰扦搹戲㤱户昴㈶慦㐰戸㙤搹㌱㥦㐱〸㉤昳昶㐳㥡㐹㌹搰㉣搵挵㜸㡥户昴㉡㈱㤸㠶㥦戴㘶㌳㥡㑥戰挳㡡㜷昲㙥㈹换戶㤹慥挰ぢ愴㉣愶慡㕡㐱㈳捤㙤㌱㌲戶㘵㘴㤹改昰㔹慤收㑤て戳〹㥢㌹〰戶㌴㜳ㄵ㔲愷昵㝤㡡挳收㠱愳㕤昵㤶摡㘷㤵捣愲㜳㘷㝤㘶搶㔵㕣戶慥㤶㌷㉦㘴㐹户㉣㠱㈸㜳昸昶戵搵㜶攳愶搷㍢愷㜹散扢㙡搸〴愵㔶扥㌱㌷㘳戳昷㔴戹㑢㘶搴㑢㡥㜱㠶㠱扦㘴㤵ㅥ换㥢ㄷ〱愰攵㌰㤳㑦慦摤ㄸ搵ち㔳捣捥㌲戸㔵㔶攴㑢㕤〵ㄶ㙤户㔹㘰㑥晢㠸㐹ぢ㈵㉣㉦㙥㕡㔸慢昶捦戹㡣戰愴㐸昳㈵晦收㤶挷㘰挷慢ㄷ㌵昱挶㈴挶摡㐵搵ㄹ慢㔰㜲㠰ㄹ戶愵㉦收昴ㄶ㘷ㄴㅡ戳㜸挸㉡戲㔰㔰っ〵〴戸攷㄰㐸㈰㐴扦㤴挸㠷〷㠳㠴㈹摢㙢㄰㠳晢㉢っ攳㔴㥣挳〲ㄵ㠶㜷愸㠷㍦搵〰㘲㑢㘳㘹晣㤴愱㠸昸戸㥢㔹戹搸㐸ㄱ㤲㔸㌶慣㌷㈲㐴ㅡ昲敡挲昶愲昹挲ち慡㘳〸㠲戰愶㘶㤸挳㜴㍥㜴づ㍡挳㔰㘲㉤㘲㉥㔸晦扣㕥㘲扡㔷ㄹ㜸挱愹挰戴搱㝡敢㌵㌶愲慡㝢晦摦挶愲戸挲㕦㝤晦っ㔹昶㐱挵㉣敡捣扥敡ㄱち㤸㤱扣ㄲ㘴ㄵ挸㙡㈲搲㘵挲敥敢㍤㕢〴㠷㤱ㄹ昸挵㕣㡥晣っ㤵愰㜷㐲㜸つ搱昰㈱挵㈶昵㤶晥㐸昲敡ㅥ㌱搷㔳ㄳ搱づ㤷㄰㥢㌲慤㔹挲㈶㔲っ挹〱㜸㐰戸ㅣ㠹攰攸㘲昴昹㐹っ㠸〱㠱晥晦㐰㘲㈱㍡㜶散搸㌱摦搷㠸〱改昷㔴㜳㤵搳昳愳㤹㡡摡㉣㥤㍥〶㈱㍤ち㐸扦㈳㐱つ戵㠹㉦㜲㑥㈸㑢戳㕡搱㥤っ㑦㌲㙤㘲搲㐵搷㈸㈵捣㜷㤷晦㕤愴㌰㜱ㄵ㠲㘷昹㉥㤰㌶㄰㌸㡢㔸捣昳㤳攱㤸扣㤱㡡攱㑤㐴㕡㉡愱㤶㘷㠴㌱㈱〴愷㕡敦晣慡㈱〰㘲㥢搸㤰愵ㄴ㌳㑡㠱挲昰㠸ㅦ㠴㐷㔳㤶㌱㑤㠱㠹摤㡡㤶㈹〲〶〲㥣ㄹ慤挸散㈸㉡攰㌶㐲ㄴ㠳㍢㘱づ慢づ㐵ㅣ挱㠰㈴㌵㐵敢㡤㌵㔸㤱戵搹㔷㉥㍡愰敡㘵㘲㜰㠹晣搷ㅦ摡㜷〰敢㡤挵㄰㜹挸㜷㠳㙣㈶㈲㐱挹㙥〸㝦㤶愱慢㌱慡㕢㉥收摢㘲愴㙣扡慢搸㥡㌲愴ㄹ㥡扢慡㕡ㅣ㉥ㄹ㜹㘶㡦ㄱ㐳㜷㔶㔴㙢㐷㤹㕤㈰ㅢ㔰㈶搸㍡㙥搹ぢ㜰慤㕤㍤愲戱㔹㠰挶㠶愵㉣㡡挱㔳㈵挷戵㜸㉣搷戶㤴㥦戶㠶㉤㌷慤㌹搳扡㔲摥㕣㠷敤㜱㡥㑥㌲㤳㝣㠲㑤慥攱㕡㡤慣改㘹㔶慣㌳挷慣㔵愲ㄵっ愶㙦〷慦挲㙤㥡㑥㈳㈰㜰㉦ㄲ㑤㌶挶扢捡ㅤ㘳攱㔹〱ㄵ愲㔱㤱慣㑡戸㌹㠰㠲㤵㑡㉦㤳㍤摥攰挰昵慤晢㔵㌲㐹挰〹改㤷㐰㙡㉡摦㐳㜹㌲㐷〱〰㠸ㅥ昲ㄶ㄰晦㤳㠰㠸㜵㈳㐱㉦㡥慤摥昷〶㡢愴㙥㥡㕢㐶㡣ㅣ挷㈵㙦捣㘶晣㈶ㄷ攵〵ㅥ㤳ㅤ戵散愹扣㘵㑤攱㜶搱㘲愰攴㑣㌲收攲收搵㘴㜸搷㐶攴㘹㥦㠲挱㐵㌷㉣摦昲挰㐴ㄴ捤㈳散昰㌶捡〵㌳㜶㠱㤷㠴㤷㘸㝢㜰㌳㍢摣㝡晣㤹つ捥户㠶ㅦ晦昴挶㝦㝣户昰晤ㅦ〸㉦晡㡣ぢ㕦晥敦愹ㅦ晥挴ㅥ㝣攱ㄷ㉦戶晤㜲搳㠵㈹〹㠰㜴㕤づ戱㤵ㅡ㉥㔳慢㤶㌱愶戹㍡㙢㔲戹昲昳㝣㔴㈵㕤愷㜰愸ㄸ㔱挷㈶㘹搵改㘶㜵挰搶㡡扡敦㥡㔷㝡㑤㠷搸〴㠵㍥愳㤶愳㈱〲㙤㔶挷㙣挵㜴〰㔲㘶愱扣㝣㔱㠹㠳㤲愴昶㘹愶㐳挳㜰㙢㐴㝥㤹㡡㤸㤶搰愷㘴㤸〳捡戴㜳㕢㔸〶ㄴ挶㑢摣㌴〴㔱㄰㐵㈱㉡㐶㙦㔲搳〳攱ㅤ㈴㉤散㕤戶㈹㈷〶扡㐰㐱㐸㐷㐹㑢㈵㜸㤰慢昸户㥡攸〴搳愳㡢挵㝣㘰ㅡ慣〷昱搵㠸㡥㐷〳㐹昴戹㤷挸〳〳攳㠳昳㤷愹户昴慥㈳挱攷㕤㜷㤸〴㑢㙣昱戴〶愱ㄳ愰㕡收㠷㡦㔲慤㈶挶㔴摥〶㑡搹㌲㥦捤㔰愴ㅣ㔷㠷㤴㍣搳㌳㤶㙤㈸㙥㡢㔷〰㜲ㄹ攴㈹㝣ㅥ昹㌶㐳㠱㤶攱つ㠵戰㑢㘷㔱戵户攴㕡㠷㌴㔳㔶㠹㜰㔵昴慢㤴㌹慡㔲收㜸㔵㕣㍤㡣慢㡦攷㍥㐹㤶㌵愱㄰攲㑤ㅡ㕡㈱㡡〲慥㈷户㠵㝡ㄲ愲㈱㔴愹㈴慥愳〴挴㠹ㅡ〰昷㥥っ攸戸㤳攴㈷戱㜵㌸㝥㔲㘲㔱〸搳㥦㜰㤳㜱㈵挵㔱ㅣ㥢攴㑥㤲㈶昱ㄷ㐴扣㙢㈰㕤愹扣㔳㕥㜹㤴㙡戸㘶ぢㅢ愹ㅥ㙣ㄹ摡㡥っ扥㔶〴㄰攸ㅡ摥㐹愴㈵搵㤷㕢愰捣㘱㐴㔹㜷㔰㥤㠷㥤ㄵ〸㙥㐵扣㠱㍥晣ㄵ㑢摥㐳㌹〱㈰捦㠵敦昵㌳㕣㌸㤰ㅥ攸㈶敦〳改〶戹て攴㝥㤰户㠳散〷㜹〷挸〱㤰ㅥ㈲捤ㄱ〱㈶挲愵昵㔲愶㤲㈴㉣昳㥡㍢㡢攳㠸愹搸攳慣㕢搶㐹慦㤱㠵㐳昰㜲晣㐶捦敢㜸ㅣ㑣敦㝦愱摡㈰戴摡ㄷ㜱㘶㔳摤挰ㅡㅣㅣ愱㜴㠹挰扦㘱㝦慣㘰㍥㜶㐷ㅦ愴㜰㡡挸捡㐳㕡挱戶ㅣ㑢㜵ㄳ㔹㠲改〴慥挰㙡㈰搰搱㉢㍣㑦ㄲ㜹搴捤ㅢㄳ戹㥢㜶愲ㄵ㐷㠶㤵挹晤㐴㥡㠳〲昶ㅣ㥥㌳㥣㐱戹㔷搷ㄳㄵ摦攷㠴〷㔰戵攸摤㌲㝣㤰慡昶㜵㜴㈷ㄳ㈳〳㠳愳戹㡣挶昴㘲㥡捤攴晡ぢㄶ㔹㔸㘲㙢㔷㐷㡥慥ㄲ㡦㔸戹慥㡥慥㥤摢ㄲ㠶㔵㑣㑣ㄷ㌲㤹㙣㙦㜲㑥㜷っ攱㙢扥㠷㡢晤散摢㘷摦晤晣搷㝢㑥㝣㙡晤㥢㥤㙢㔷敥㄰捥晢㡣摡㘷挶㔶㈸〱㥦敥㠳㤸㑢㔰挰昱㘳扡㥥扡挲戱㝡㑥昵㥣㉦㘰㠹㔳晤㡡捦愸㜵慡〲㜴愸㥥愴戳㡤㈴㍤敢㌳㥥改昸㘷晢扤愹㍦ㅤ㍣㝦昶挰㤳慦㡦晦昵戲〰㐵慣㑡ち㡦㔳㈹搸敢ㄸ摥扣捥昸㥤摥㘶㑣㥤㍣昹昷㘸晦攷㤷㥦扥昸㜴昹挰ㅤ挲㤷㝣㠶晥敦搷㝥扥攷愷㤷〷㕦㌸昳㤷扦扤㍣扡收㌵〱ㅡ㕤㤵㈶㐳㥡㈷改㡢㡤㈴㝤挱㘷㝣愴昰搱㐴㕣㝤戵攷摣扡㔳㤷搶㝥敦搷㌹〱㘶㔱㑦搲攷ㅡ㐹晡慣捦ㄸ扦挲扥㜱晡挲昱〷㥥扢昲搸散㑢攷㝥扣㐵㠰㙤搵㤳㜴慡㤱愴捦昸㡣摦愴戶摥昳晥戶戵改て㜴㝤㌳昵摣愵攰㡣〰〳慤㈷改㐴㈳㐹㑦昹㡣挱ㅦㅤ摦㥣㍦昳摥㤱㘷昵搱攵挲搳㕤㝦ㄶ㘰攵昵㈴㝤戲㤱愴㑦昸㡣愹慦敥户ㅦㅢ㌸㥦㌹晦搴愳ㄷ㤴搵扦㡤〸㍤つ㈴㍤搱㐸搲挷㝤㐶昷搱愳捡㠱㔷摥ㄸ昸搰扦㌶㥤㝣昲㕣晥㤵搶ち挸㐸㌰慥晢㙢愰㝢挱ㄳ挶〲㘴㙣慦㝤㘸敡愷㠷愳㌲㌰㌱㐸昷㍥㠹晢慤㤰㜸摦捤挹慡扣户㈰㕡㤰㍥㐶戳㝥ぢ㜲ㄶ㘳㄰㈴㈲㔲㤰㙤㈲〲㡣ㄳ㑢ㄶㅥ愷㌱㌰捥㍢愹㐰昷〸〹摣㕡摣〳㜰㘶戰挰㥡㉢㜹㔳ㄳ㠰㉤㝢攲㘲捦㝦㜶扥慢户改㝦昹㠶愸搶</t>
  </si>
  <si>
    <t>|Current Results|Sensitivity Charts|09. OGIP_FieldDev_EcoVal (20_Marzo_2023) mod pcFFSA.xlsm|Sensitivity Chart 1</t>
  </si>
  <si>
    <t>|Current Results|Sensitivity Charts|09. OGIP_FieldDev_EcoVal (20_Marzo_2023) mod pcFFSA.xlsm|Sensitivity Chart 2</t>
  </si>
  <si>
    <t>|Current Results|Sensitivity Charts|09. OGIP_FieldDev_EcoVal (20_Marzo_2023) mod pcFFSA.xlsm|Sensitivity Chart 3</t>
  </si>
  <si>
    <t>|Current Results|Sensitivity Charts|09. OGIP_FieldDev_EcoVal (20_Marzo_2023) mod pcFFSA.xlsm|Sensitivity Chart 4</t>
  </si>
</sst>
</file>

<file path=xl/styles.xml><?xml version="1.0" encoding="utf-8"?>
<styleSheet xmlns="http://schemas.openxmlformats.org/spreadsheetml/2006/main" xmlns:mc="http://schemas.openxmlformats.org/markup-compatibility/2006" xmlns:x14ac="http://schemas.microsoft.com/office/spreadsheetml/2009/9/ac" mc:Ignorable="x14ac">
  <numFmts count="82">
    <numFmt numFmtId="43" formatCode="_-* #,##0.00_-;\-* #,##0.00_-;_-* &quot;-&quot;??_-;_-@_-"/>
    <numFmt numFmtId="164" formatCode="_(&quot;$b&quot;\ * #,##0_);_(&quot;$b&quot;\ * \(#,##0\);_(&quot;$b&quot;\ * &quot;-&quot;_);_(@_)"/>
    <numFmt numFmtId="165" formatCode="_(* #,##0_);_(* \(#,##0\);_(* &quot;-&quot;_);_(@_)"/>
    <numFmt numFmtId="166" formatCode="_(&quot;$b&quot;\ * #,##0.00_);_(&quot;$b&quot;\ * \(#,##0.00\);_(&quot;$b&quot;\ * &quot;-&quot;??_);_(@_)"/>
    <numFmt numFmtId="167" formatCode="_(* #,##0.00_);_(* \(#,##0.00\);_(* &quot;-&quot;??_);_(@_)"/>
    <numFmt numFmtId="168" formatCode="&quot;P1: &quot;General"/>
    <numFmt numFmtId="169" formatCode="0.0;\-0.0;&quot;--&quot;"/>
    <numFmt numFmtId="170" formatCode="0.000;\-0.000;&quot;--&quot;"/>
    <numFmt numFmtId="171" formatCode="0.000"/>
    <numFmt numFmtId="172" formatCode="#,##0.00;\-0.00;&quot;--&quot;"/>
    <numFmt numFmtId="173" formatCode="0.000\ &quot;[CB]&quot;"/>
    <numFmt numFmtId="174" formatCode="0.00;\-0.00;&quot;--&quot;"/>
    <numFmt numFmtId="175" formatCode="0.0000;\-0.0000;&quot;--&quot;"/>
    <numFmt numFmtId="176" formatCode="0.000_)"/>
    <numFmt numFmtId="177" formatCode="_ * #,##0.00_ ;_ * \-#,##0.00_ ;_ * &quot;-&quot;??_ ;_ @_ "/>
    <numFmt numFmtId="178" formatCode="_ [$€-2]\ * #,##0.00_ ;_ [$€-2]\ * \-#,##0.00_ ;_ [$€-2]\ * &quot;-&quot;??_ "/>
    <numFmt numFmtId="179" formatCode="_([$€]* #,##0.00_);_([$€]* \(#,##0.00\);_([$€]* &quot;-&quot;??_);_(@_)"/>
    <numFmt numFmtId="180" formatCode="0.0\%_);\(0.0\%\);0.0\%_);@_%_)"/>
    <numFmt numFmtId="181" formatCode="#,##0;\-0;&quot;--&quot;"/>
    <numFmt numFmtId="182" formatCode="#,##0.0;\-0.0;&quot;--&quot;"/>
    <numFmt numFmtId="183" formatCode="dd\ \-\ mmm\ \-\ yyyy"/>
    <numFmt numFmtId="184" formatCode="0.00000"/>
    <numFmt numFmtId="185" formatCode="0.00000\ &quot;[CB]&quot;"/>
    <numFmt numFmtId="186" formatCode="#,##0.000;\-0.000;&quot;--&quot;"/>
    <numFmt numFmtId="187" formatCode="#,##0.0000000;\-0.0000000;&quot;--&quot;"/>
    <numFmt numFmtId="188" formatCode="0.0"/>
    <numFmt numFmtId="189" formatCode="0.0\ &quot; %&quot;"/>
    <numFmt numFmtId="190" formatCode="0.00000;\-0.00000;&quot;--&quot;"/>
    <numFmt numFmtId="191" formatCode="0.000000;\-0.000000;&quot;--&quot;"/>
    <numFmt numFmtId="192" formatCode="0.0000"/>
    <numFmt numFmtId="193" formatCode="_-&quot;$&quot;* #,##0_-;\-&quot;$&quot;* #,##0_-;_-&quot;$&quot;* &quot;-&quot;_-;_-@_-"/>
    <numFmt numFmtId="194" formatCode="_-* #,##0\ _D_M_-;\-* #,##0\ _D_M_-;_-* &quot;-&quot;\ _D_M_-;_-@_-"/>
    <numFmt numFmtId="195" formatCode="&quot;$b&quot;\ #,##0;&quot;$b&quot;\ \-#,##0"/>
    <numFmt numFmtId="196" formatCode="_-* #,##0.00\ _D_M_-;\-* #,##0.00\ _D_M_-;_-* &quot;-&quot;??\ _D_M_-;_-@_-"/>
    <numFmt numFmtId="197" formatCode="#,##0.00;\(#,##0.00\)"/>
    <numFmt numFmtId="198" formatCode="#,##0;\(#,##0\)"/>
    <numFmt numFmtId="199" formatCode="_-* #,##0\ &quot;DM&quot;_-;\-* #,##0\ &quot;DM&quot;_-;_-* &quot;-&quot;\ &quot;DM&quot;_-;_-@_-"/>
    <numFmt numFmtId="200" formatCode="_-* #,##0.00\ &quot;DM&quot;_-;\-* #,##0.00\ &quot;DM&quot;_-;_-* &quot;-&quot;??\ &quot;DM&quot;_-;_-@_-"/>
    <numFmt numFmtId="201" formatCode="m\o\n\th\ d\,\ yyyy"/>
    <numFmt numFmtId="202" formatCode="mmm\-d\-yyyy"/>
    <numFmt numFmtId="203" formatCode="mmm\-yyyy"/>
    <numFmt numFmtId="204" formatCode="#,##0.0_);[Red]\(#,##0.0\)"/>
    <numFmt numFmtId="205" formatCode="#,##0\ \ ;[Red]\(#,##0\)\ ;&quot; 0  &quot;"/>
    <numFmt numFmtId="206" formatCode="_([$€-2]* #,##0.00_);_([$€-2]* \(#,##0.00\);_([$€-2]* &quot;-&quot;??_)"/>
    <numFmt numFmtId="207" formatCode="#,##0."/>
    <numFmt numFmtId="208" formatCode="#,#00"/>
    <numFmt numFmtId="209" formatCode="#.##000"/>
    <numFmt numFmtId="210" formatCode="#.00"/>
    <numFmt numFmtId="211" formatCode="#."/>
    <numFmt numFmtId="212" formatCode="#,##0.0\ \ "/>
    <numFmt numFmtId="213" formatCode="_ * #,##0_ ;_ * \-#,##0_ ;_ * &quot;-&quot;_ ;_ @_ "/>
    <numFmt numFmtId="214" formatCode="#,##0.000000"/>
    <numFmt numFmtId="215" formatCode="mmmm\ \ yyyy"/>
    <numFmt numFmtId="216" formatCode="#,##0.00000"/>
    <numFmt numFmtId="217" formatCode="_-* #,##0.00\ _€_-;\-* #,##0.00\ _€_-;_-* &quot;-&quot;??\ _€_-;_-@_-"/>
    <numFmt numFmtId="218" formatCode="_(* #,##0.00000_);_(* \(#,##0.00000\);_(* &quot;-&quot;_);_(@_)"/>
    <numFmt numFmtId="219" formatCode="_(* #,##0_);_(* \(#,##0\);_(* &quot;-&quot;??_);_(@_)"/>
    <numFmt numFmtId="220" formatCode="_-* #,##0\ &quot;$&quot;_-;\-* #,##0\ &quot;$&quot;_-;_-* &quot;-&quot;\ &quot;$&quot;_-;_-@_-"/>
    <numFmt numFmtId="221" formatCode="\$#,#00"/>
    <numFmt numFmtId="222" formatCode="#,##0.0000"/>
    <numFmt numFmtId="223" formatCode="#,##0.000"/>
    <numFmt numFmtId="224" formatCode="_(&quot;R$&quot;* #,##0_);_(&quot;R$&quot;* \(#,##0\);_(&quot;R$&quot;* &quot;-&quot;_);_(@_)"/>
    <numFmt numFmtId="225" formatCode="_(&quot;R$&quot;* #,##0.00_);_(&quot;R$&quot;* \(#,##0.00\);_(&quot;R$&quot;* &quot;-&quot;??_);_(@_)"/>
    <numFmt numFmtId="226" formatCode="_ &quot;$b&quot;\ * #,##0.00_ ;_ &quot;$b&quot;\ * \-#,##0.00_ ;_ &quot;$b&quot;\ * &quot;-&quot;??_ ;_ @_ "/>
    <numFmt numFmtId="227" formatCode="#,##0.0\x_);[Red]\(#,##0.0\x\);&quot;--  &quot;"/>
    <numFmt numFmtId="228" formatCode="%#,#00"/>
    <numFmt numFmtId="229" formatCode="#,##0.00\x"/>
    <numFmt numFmtId="230" formatCode="0.000000"/>
    <numFmt numFmtId="231" formatCode="0.0000000"/>
    <numFmt numFmtId="232" formatCode="#,##0.00000000;\-0.00000000;&quot;--&quot;"/>
    <numFmt numFmtId="233" formatCode="_(* #,##0.0_);_(* \(#,##0.0\);_(* &quot;-&quot;??_);_(@_)"/>
    <numFmt numFmtId="234" formatCode="#,##0.0"/>
    <numFmt numFmtId="235" formatCode="0.0000;\-0.0;&quot;--&quot;"/>
    <numFmt numFmtId="236" formatCode="0.0;0;0"/>
    <numFmt numFmtId="237" formatCode="0.0000;0;0"/>
    <numFmt numFmtId="238" formatCode="_(* #,##0.0000_);_(* \(#,##0.0000\);_(* &quot;-&quot;??_);_(@_)"/>
    <numFmt numFmtId="239" formatCode="0.00000000000000000"/>
    <numFmt numFmtId="240" formatCode="0.00;0;0"/>
    <numFmt numFmtId="241" formatCode="_(* #,##0.000_);_(* \(#,##0.000\);_(* &quot;-&quot;??_);_(@_)"/>
    <numFmt numFmtId="242" formatCode="_(* #,##0.00000_);_(* \(#,##0.00000\);_(* &quot;-&quot;??_);_(@_)"/>
    <numFmt numFmtId="243" formatCode="_-* #,##0.0000_-;\-* #,##0.0000_-;_-* &quot;-&quot;??_-;_-@_-"/>
    <numFmt numFmtId="244" formatCode="_-* #,##0.0_-;\-* #,##0.0_-;_-* &quot;-&quot;?_-;_-@_-"/>
  </numFmts>
  <fonts count="17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vertAlign val="superscript"/>
      <sz val="8"/>
      <color theme="1"/>
      <name val="Calibri"/>
      <family val="2"/>
      <scheme val="minor"/>
    </font>
    <font>
      <sz val="8"/>
      <name val="Arial"/>
      <family val="2"/>
    </font>
    <font>
      <sz val="8"/>
      <name val="Calibri"/>
      <family val="2"/>
      <scheme val="minor"/>
    </font>
    <font>
      <b/>
      <sz val="8"/>
      <color theme="1"/>
      <name val="Calibri"/>
      <family val="2"/>
      <scheme val="minor"/>
    </font>
    <font>
      <b/>
      <sz val="8"/>
      <name val="Arial"/>
      <family val="2"/>
    </font>
    <font>
      <b/>
      <sz val="8"/>
      <name val="Calibri"/>
      <family val="2"/>
      <scheme val="minor"/>
    </font>
    <font>
      <b/>
      <sz val="8"/>
      <color rgb="FF0000FF"/>
      <name val="Arial"/>
      <family val="2"/>
    </font>
    <font>
      <b/>
      <sz val="9"/>
      <color indexed="81"/>
      <name val="Tahoma"/>
      <family val="2"/>
    </font>
    <font>
      <sz val="10"/>
      <name val="Geneva"/>
    </font>
    <font>
      <vertAlign val="superscript"/>
      <sz val="8"/>
      <name val="Calibri"/>
      <family val="2"/>
      <scheme val="minor"/>
    </font>
    <font>
      <b/>
      <sz val="8"/>
      <color indexed="81"/>
      <name val="Tahoma"/>
      <family val="2"/>
    </font>
    <font>
      <sz val="9"/>
      <color indexed="81"/>
      <name val="Tahoma"/>
      <family val="2"/>
    </font>
    <font>
      <sz val="8"/>
      <color indexed="81"/>
      <name val="Tahoma"/>
      <family val="2"/>
    </font>
    <font>
      <b/>
      <sz val="8"/>
      <color rgb="FF0000FF"/>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sz val="11"/>
      <color indexed="17"/>
      <name val="Calibri"/>
      <family val="2"/>
    </font>
    <font>
      <b/>
      <sz val="10"/>
      <name val="Arial"/>
      <family val="2"/>
    </font>
    <font>
      <b/>
      <sz val="11"/>
      <color indexed="52"/>
      <name val="Calibri"/>
      <family val="2"/>
    </font>
    <font>
      <b/>
      <sz val="11"/>
      <color indexed="9"/>
      <name val="Calibri"/>
      <family val="2"/>
    </font>
    <font>
      <sz val="11"/>
      <color indexed="52"/>
      <name val="Calibri"/>
      <family val="2"/>
    </font>
    <font>
      <sz val="11"/>
      <name val="Tms Rmn"/>
    </font>
    <font>
      <b/>
      <sz val="11"/>
      <color indexed="56"/>
      <name val="Calibri"/>
      <family val="2"/>
    </font>
    <font>
      <sz val="11"/>
      <color indexed="62"/>
      <name val="Calibri"/>
      <family val="2"/>
    </font>
    <font>
      <sz val="10"/>
      <name val="Tahoma"/>
      <family val="2"/>
    </font>
    <font>
      <i/>
      <sz val="11"/>
      <color indexed="23"/>
      <name val="Calibri"/>
      <family val="2"/>
    </font>
    <font>
      <sz val="8"/>
      <name val="Helv"/>
    </font>
    <font>
      <sz val="8"/>
      <name val="Palatino"/>
      <family val="1"/>
    </font>
    <font>
      <b/>
      <sz val="15"/>
      <color indexed="56"/>
      <name val="Calibri"/>
      <family val="2"/>
    </font>
    <font>
      <b/>
      <sz val="13"/>
      <color indexed="56"/>
      <name val="Calibri"/>
      <family val="2"/>
    </font>
    <font>
      <sz val="11"/>
      <color indexed="60"/>
      <name val="Calibri"/>
      <family val="2"/>
    </font>
    <font>
      <b/>
      <sz val="20"/>
      <name val="TimesNewRomanPS"/>
    </font>
    <font>
      <sz val="10"/>
      <name val="Arial MT"/>
    </font>
    <font>
      <b/>
      <sz val="11"/>
      <color indexed="63"/>
      <name val="Calibri"/>
      <family val="2"/>
    </font>
    <font>
      <b/>
      <sz val="12"/>
      <color indexed="12"/>
      <name val="Poor Richard"/>
      <family val="1"/>
    </font>
    <font>
      <sz val="11"/>
      <color indexed="10"/>
      <name val="Calibri"/>
      <family val="2"/>
    </font>
    <font>
      <b/>
      <sz val="18"/>
      <color indexed="56"/>
      <name val="Cambria"/>
      <family val="2"/>
    </font>
    <font>
      <b/>
      <sz val="11"/>
      <color indexed="8"/>
      <name val="Calibri"/>
      <family val="2"/>
    </font>
    <font>
      <b/>
      <sz val="9"/>
      <name val="Arial"/>
      <family val="2"/>
    </font>
    <font>
      <b/>
      <sz val="9"/>
      <color rgb="FF0000FF"/>
      <name val="Arial"/>
      <family val="2"/>
    </font>
    <font>
      <sz val="10"/>
      <name val="Calibri"/>
      <family val="2"/>
      <scheme val="minor"/>
    </font>
    <font>
      <sz val="8"/>
      <name val="Arial"/>
      <family val="2"/>
    </font>
    <font>
      <b/>
      <vertAlign val="superscript"/>
      <sz val="8"/>
      <name val="Calibri"/>
      <family val="2"/>
      <scheme val="minor"/>
    </font>
    <font>
      <sz val="10"/>
      <name val="Symbol"/>
      <family val="1"/>
      <charset val="2"/>
    </font>
    <font>
      <sz val="9"/>
      <name val="Arial"/>
      <family val="2"/>
    </font>
    <font>
      <b/>
      <sz val="9"/>
      <color theme="1"/>
      <name val="Calibri"/>
      <family val="2"/>
      <scheme val="minor"/>
    </font>
    <font>
      <b/>
      <sz val="8"/>
      <color indexed="8"/>
      <name val="Arial"/>
      <family val="2"/>
    </font>
    <font>
      <sz val="8"/>
      <name val="Arial"/>
      <family val="2"/>
    </font>
    <font>
      <sz val="12"/>
      <name val="Helv"/>
    </font>
    <font>
      <sz val="12"/>
      <name val="Times New Roman"/>
      <family val="1"/>
    </font>
    <font>
      <sz val="10"/>
      <color indexed="8"/>
      <name val="Arial"/>
      <family val="2"/>
    </font>
    <font>
      <sz val="10"/>
      <color indexed="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u/>
      <sz val="7.5"/>
      <color indexed="36"/>
      <name val="Arial"/>
      <family val="2"/>
    </font>
    <font>
      <b/>
      <sz val="15"/>
      <color indexed="62"/>
      <name val="Calibri"/>
      <family val="2"/>
    </font>
    <font>
      <b/>
      <sz val="13"/>
      <color indexed="62"/>
      <name val="Calibri"/>
      <family val="2"/>
    </font>
    <font>
      <b/>
      <sz val="11"/>
      <color indexed="62"/>
      <name val="Calibri"/>
      <family val="2"/>
    </font>
    <font>
      <u/>
      <sz val="7.5"/>
      <color indexed="12"/>
      <name val="Arial"/>
      <family val="2"/>
    </font>
    <font>
      <u/>
      <sz val="10"/>
      <color indexed="12"/>
      <name val="Arial"/>
      <family val="2"/>
    </font>
    <font>
      <u/>
      <sz val="8.4"/>
      <color indexed="12"/>
      <name val="Arial"/>
      <family val="2"/>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sz val="12"/>
      <color theme="1"/>
      <name val="Calibri"/>
      <family val="2"/>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8"/>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sz val="6"/>
      <name val="Arial"/>
      <family val="2"/>
    </font>
    <font>
      <i/>
      <sz val="10"/>
      <color indexed="23"/>
      <name val="Arial"/>
      <family val="2"/>
    </font>
    <font>
      <b/>
      <sz val="15"/>
      <color indexed="56"/>
      <name val="Arial"/>
      <family val="2"/>
    </font>
    <font>
      <b/>
      <sz val="13"/>
      <color indexed="56"/>
      <name val="Arial"/>
      <family val="2"/>
    </font>
    <font>
      <sz val="12"/>
      <name val="TIMES"/>
    </font>
    <font>
      <sz val="11"/>
      <color indexed="14"/>
      <name val="Calibri"/>
      <family val="2"/>
    </font>
    <font>
      <u/>
      <sz val="10"/>
      <color theme="10"/>
      <name val="Times New Roman"/>
      <family val="1"/>
    </font>
    <font>
      <sz val="8"/>
      <color theme="1"/>
      <name val="Arial"/>
      <family val="2"/>
    </font>
    <font>
      <b/>
      <sz val="8"/>
      <color theme="1"/>
      <name val="Arial"/>
      <family val="2"/>
    </font>
    <font>
      <b/>
      <sz val="10"/>
      <color rgb="FF002060"/>
      <name val="Arial"/>
      <family val="2"/>
    </font>
    <font>
      <sz val="8"/>
      <color rgb="FF002060"/>
      <name val="Arial"/>
      <family val="2"/>
    </font>
    <font>
      <sz val="9"/>
      <name val="Calibri"/>
      <family val="2"/>
      <scheme val="minor"/>
    </font>
    <font>
      <sz val="9"/>
      <color theme="0"/>
      <name val="Calibri"/>
      <family val="2"/>
      <scheme val="minor"/>
    </font>
    <font>
      <b/>
      <sz val="11"/>
      <color rgb="FF0000FF"/>
      <name val="Calibri"/>
      <family val="2"/>
      <scheme val="minor"/>
    </font>
    <font>
      <b/>
      <sz val="9"/>
      <name val="Calibri"/>
      <family val="2"/>
      <scheme val="minor"/>
    </font>
    <font>
      <sz val="9"/>
      <color theme="1"/>
      <name val="Arial"/>
      <family val="2"/>
    </font>
    <font>
      <b/>
      <sz val="10"/>
      <color rgb="FFDDEBF7"/>
      <name val="Calibri"/>
      <family val="2"/>
    </font>
    <font>
      <b/>
      <sz val="9"/>
      <color rgb="FF0000FF"/>
      <name val="Calibri"/>
      <family val="2"/>
    </font>
    <font>
      <sz val="9"/>
      <color theme="1"/>
      <name val="Calibri"/>
      <family val="2"/>
    </font>
    <font>
      <b/>
      <sz val="9"/>
      <color theme="1"/>
      <name val="Calibri"/>
      <family val="2"/>
    </font>
    <font>
      <sz val="14"/>
      <color theme="1"/>
      <name val="Symbol"/>
      <family val="1"/>
      <charset val="2"/>
    </font>
    <font>
      <b/>
      <sz val="10"/>
      <color theme="1"/>
      <name val="Calibri"/>
      <family val="2"/>
    </font>
    <font>
      <b/>
      <sz val="9"/>
      <color theme="1"/>
      <name val="Times New Roman"/>
      <family val="1"/>
    </font>
    <font>
      <sz val="9"/>
      <color rgb="FF0000FF"/>
      <name val="Calibri"/>
      <family val="2"/>
    </font>
    <font>
      <vertAlign val="subscript"/>
      <sz val="9"/>
      <color rgb="FF0000FF"/>
      <name val="Calibri"/>
      <family val="2"/>
    </font>
    <font>
      <b/>
      <sz val="10"/>
      <color rgb="FF0000FF"/>
      <name val="Calibri"/>
      <family val="2"/>
    </font>
    <font>
      <vertAlign val="subscript"/>
      <sz val="9"/>
      <color theme="1"/>
      <name val="Calibri"/>
      <family val="2"/>
    </font>
    <font>
      <b/>
      <sz val="9"/>
      <color rgb="FF0000FF"/>
      <name val="Calibri"/>
      <family val="2"/>
      <scheme val="minor"/>
    </font>
    <font>
      <sz val="9"/>
      <color theme="1"/>
      <name val="Symbol"/>
      <family val="1"/>
      <charset val="2"/>
    </font>
    <font>
      <sz val="9"/>
      <color theme="0" tint="-0.499984740745262"/>
      <name val="Calibri"/>
      <family val="2"/>
      <scheme val="minor"/>
    </font>
    <font>
      <sz val="8"/>
      <color theme="0" tint="-0.499984740745262"/>
      <name val="Arial"/>
      <family val="2"/>
    </font>
    <font>
      <sz val="9"/>
      <color rgb="FF0000FF"/>
      <name val="Calibri"/>
      <family val="2"/>
      <scheme val="minor"/>
    </font>
    <font>
      <b/>
      <sz val="10"/>
      <color rgb="FF0000FF"/>
      <name val="Calibri"/>
      <family val="2"/>
      <scheme val="minor"/>
    </font>
    <font>
      <b/>
      <sz val="8"/>
      <color theme="0"/>
      <name val="Calibri"/>
      <family val="2"/>
      <scheme val="minor"/>
    </font>
    <font>
      <sz val="8"/>
      <color theme="0" tint="-0.499984740745262"/>
      <name val="Calibri"/>
      <family val="2"/>
      <scheme val="minor"/>
    </font>
    <font>
      <b/>
      <sz val="8"/>
      <color theme="0" tint="-0.499984740745262"/>
      <name val="Calibri"/>
      <family val="2"/>
      <scheme val="minor"/>
    </font>
    <font>
      <vertAlign val="superscript"/>
      <sz val="8"/>
      <color theme="0" tint="-0.499984740745262"/>
      <name val="Calibri"/>
      <family val="2"/>
      <scheme val="minor"/>
    </font>
    <font>
      <sz val="8"/>
      <color theme="4" tint="-0.249977111117893"/>
      <name val="Calibri"/>
      <family val="2"/>
      <scheme val="minor"/>
    </font>
  </fonts>
  <fills count="124">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00FFFF"/>
        <bgColor indexed="64"/>
      </patternFill>
    </fill>
    <fill>
      <patternFill patternType="solid">
        <fgColor rgb="FF00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9"/>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50"/>
        <bgColor indexed="64"/>
      </patternFill>
    </fill>
    <fill>
      <patternFill patternType="solid">
        <fgColor indexed="4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3"/>
        <bgColor indexed="64"/>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4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DDEBF7"/>
        <bgColor indexed="64"/>
      </patternFill>
    </fill>
    <fill>
      <patternFill patternType="solid">
        <fgColor theme="4" tint="0.39997558519241921"/>
        <bgColor indexed="64"/>
      </patternFill>
    </fill>
    <fill>
      <patternFill patternType="solid">
        <fgColor rgb="FF002060"/>
        <bgColor indexed="64"/>
      </patternFill>
    </fill>
    <fill>
      <patternFill patternType="solid">
        <fgColor theme="0" tint="-0.249977111117893"/>
        <bgColor indexed="64"/>
      </patternFill>
    </fill>
  </fills>
  <borders count="111">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medium">
        <color indexed="12"/>
      </right>
      <top/>
      <bottom/>
      <diagonal/>
    </border>
    <border>
      <left/>
      <right/>
      <top/>
      <bottom style="hair">
        <color indexed="64"/>
      </bottom>
      <diagonal/>
    </border>
    <border>
      <left/>
      <right/>
      <top style="medium">
        <color indexed="64"/>
      </top>
      <bottom style="double">
        <color indexed="64"/>
      </bottom>
      <diagonal/>
    </border>
    <border>
      <left/>
      <right/>
      <top style="thin">
        <color indexed="62"/>
      </top>
      <bottom style="double">
        <color indexed="62"/>
      </bottom>
      <diagonal/>
    </border>
    <border>
      <left style="thin">
        <color indexed="64"/>
      </left>
      <right style="thin">
        <color indexed="64"/>
      </right>
      <top/>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double">
        <color indexed="48"/>
      </bottom>
      <diagonal/>
    </border>
    <border>
      <left/>
      <right/>
      <top style="double">
        <color indexed="8"/>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6795556505021"/>
      </left>
      <right/>
      <top style="thin">
        <color indexed="64"/>
      </top>
      <bottom/>
      <diagonal/>
    </border>
    <border>
      <left/>
      <right style="thin">
        <color theme="0" tint="-0.14996795556505021"/>
      </right>
      <top style="thin">
        <color indexed="64"/>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3743705557422"/>
      </left>
      <right/>
      <top style="thin">
        <color theme="0" tint="-0.14996795556505021"/>
      </top>
      <bottom/>
      <diagonal/>
    </border>
    <border>
      <left/>
      <right/>
      <top style="thin">
        <color theme="0" tint="-0.14996795556505021"/>
      </top>
      <bottom/>
      <diagonal/>
    </border>
    <border>
      <left/>
      <right style="thin">
        <color theme="0" tint="-0.14993743705557422"/>
      </right>
      <top style="thin">
        <color theme="0" tint="-0.14996795556505021"/>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3743705557422"/>
      </left>
      <right/>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3743705557422"/>
      </right>
      <top style="thin">
        <color indexed="64"/>
      </top>
      <bottom/>
      <diagonal/>
    </border>
    <border>
      <left style="thin">
        <color indexed="64"/>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style="thin">
        <color theme="0" tint="-0.14996795556505021"/>
      </left>
      <right style="thin">
        <color theme="0" tint="-0.14996795556505021"/>
      </right>
      <top/>
      <bottom/>
      <diagonal/>
    </border>
    <border>
      <left style="thin">
        <color theme="0" tint="-0.14996795556505021"/>
      </left>
      <right style="thin">
        <color theme="0" tint="-0.14993743705557422"/>
      </right>
      <top/>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right style="thin">
        <color indexed="64"/>
      </right>
      <top/>
      <bottom style="thin">
        <color theme="0" tint="-0.14996795556505021"/>
      </bottom>
      <diagonal/>
    </border>
    <border>
      <left style="thin">
        <color theme="0" tint="-0.14996795556505021"/>
      </left>
      <right style="thin">
        <color theme="0" tint="-0.14993743705557422"/>
      </right>
      <top/>
      <bottom style="thin">
        <color theme="0" tint="-0.14996795556505021"/>
      </bottom>
      <diagonal/>
    </border>
    <border>
      <left style="thin">
        <color indexed="64"/>
      </left>
      <right/>
      <top style="thin">
        <color theme="0" tint="-0.14996795556505021"/>
      </top>
      <bottom/>
      <diagonal/>
    </border>
    <border>
      <left/>
      <right style="thin">
        <color indexed="64"/>
      </right>
      <top style="thin">
        <color theme="0" tint="-0.14996795556505021"/>
      </top>
      <bottom/>
      <diagonal/>
    </border>
    <border>
      <left style="thin">
        <color indexed="64"/>
      </left>
      <right/>
      <top style="thin">
        <color theme="0" tint="-0.14996795556505021"/>
      </top>
      <bottom style="thin">
        <color indexed="64"/>
      </bottom>
      <diagonal/>
    </border>
    <border>
      <left/>
      <right/>
      <top style="thin">
        <color theme="0" tint="-0.14996795556505021"/>
      </top>
      <bottom style="thin">
        <color indexed="64"/>
      </bottom>
      <diagonal/>
    </border>
    <border>
      <left/>
      <right style="thin">
        <color indexed="64"/>
      </right>
      <top style="thin">
        <color theme="0" tint="-0.14996795556505021"/>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theme="0" tint="-0.14993743705557422"/>
      </right>
      <top/>
      <bottom style="thin">
        <color indexed="64"/>
      </bottom>
      <diagonal/>
    </border>
    <border>
      <left style="thin">
        <color theme="0" tint="-0.14996795556505021"/>
      </left>
      <right style="thin">
        <color indexed="64"/>
      </right>
      <top style="thin">
        <color indexed="64"/>
      </top>
      <bottom/>
      <diagonal/>
    </border>
    <border>
      <left style="thin">
        <color theme="0" tint="-0.14996795556505021"/>
      </left>
      <right style="thin">
        <color indexed="64"/>
      </right>
      <top/>
      <bottom/>
      <diagonal/>
    </border>
    <border>
      <left style="thin">
        <color theme="0" tint="-0.14996795556505021"/>
      </left>
      <right style="thin">
        <color indexed="64"/>
      </right>
      <top/>
      <bottom style="thin">
        <color indexed="64"/>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0691854609822"/>
      </left>
      <right/>
      <top style="thin">
        <color theme="0" tint="-0.14993743705557422"/>
      </top>
      <bottom/>
      <diagonal/>
    </border>
    <border>
      <left/>
      <right/>
      <top style="thin">
        <color theme="0" tint="-0.14993743705557422"/>
      </top>
      <bottom/>
      <diagonal/>
    </border>
    <border>
      <left/>
      <right style="thin">
        <color theme="0" tint="-0.14990691854609822"/>
      </right>
      <top style="thin">
        <color theme="0" tint="-0.14993743705557422"/>
      </top>
      <bottom/>
      <diagonal/>
    </border>
    <border>
      <left style="thin">
        <color theme="0" tint="-0.14990691854609822"/>
      </left>
      <right/>
      <top/>
      <bottom style="thin">
        <color theme="0" tint="-0.14993743705557422"/>
      </bottom>
      <diagonal/>
    </border>
    <border>
      <left/>
      <right style="thin">
        <color theme="0" tint="-0.14990691854609822"/>
      </right>
      <top/>
      <bottom style="thin">
        <color theme="0" tint="-0.14993743705557422"/>
      </bottom>
      <diagonal/>
    </border>
    <border>
      <left style="thin">
        <color theme="0" tint="-0.14990691854609822"/>
      </left>
      <right/>
      <top/>
      <bottom/>
      <diagonal/>
    </border>
    <border>
      <left/>
      <right style="thin">
        <color theme="0" tint="-0.14990691854609822"/>
      </right>
      <top/>
      <bottom/>
      <diagonal/>
    </border>
    <border>
      <left style="thin">
        <color theme="0" tint="-0.14990691854609822"/>
      </left>
      <right/>
      <top/>
      <bottom style="thin">
        <color theme="0" tint="-0.14990691854609822"/>
      </bottom>
      <diagonal/>
    </border>
    <border>
      <left/>
      <right/>
      <top/>
      <bottom style="thin">
        <color theme="0" tint="-0.14990691854609822"/>
      </bottom>
      <diagonal/>
    </border>
    <border>
      <left/>
      <right style="thin">
        <color theme="0" tint="-0.14990691854609822"/>
      </right>
      <top/>
      <bottom style="thin">
        <color theme="0" tint="-0.14990691854609822"/>
      </bottom>
      <diagonal/>
    </border>
  </borders>
  <cellStyleXfs count="4534">
    <xf numFmtId="0" fontId="0" fillId="0" borderId="0"/>
    <xf numFmtId="0" fontId="4" fillId="0" borderId="0"/>
    <xf numFmtId="0" fontId="4" fillId="0" borderId="0"/>
    <xf numFmtId="0" fontId="8" fillId="0" borderId="0"/>
    <xf numFmtId="0" fontId="8" fillId="0" borderId="0"/>
    <xf numFmtId="0" fontId="15" fillId="0" borderId="0"/>
    <xf numFmtId="0" fontId="36" fillId="0" borderId="0"/>
    <xf numFmtId="0" fontId="4" fillId="17"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4" fillId="2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4" fillId="25"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4" fillId="2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3"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4" fillId="37"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4" fillId="18"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22"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4" fillId="26"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4" fillId="30"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38"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5" fillId="19"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5" fillId="23"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5" fillId="27"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5" fillId="31"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5"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9"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5" fillId="16"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5" fillId="2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5" fillId="24"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5" fillId="2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6"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26" fillId="10"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37" fontId="41" fillId="59" borderId="22">
      <protection locked="0"/>
    </xf>
    <xf numFmtId="0" fontId="30" fillId="13" borderId="16"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3" fillId="61" borderId="24" applyNumberFormat="0" applyAlignment="0" applyProtection="0"/>
    <xf numFmtId="0" fontId="44" fillId="0" borderId="25" applyNumberFormat="0" applyFill="0" applyAlignment="0" applyProtection="0"/>
    <xf numFmtId="0" fontId="32" fillId="14" borderId="19"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67" fontId="4" fillId="0" borderId="0" applyFont="0" applyFill="0" applyBorder="0" applyAlignment="0" applyProtection="0"/>
    <xf numFmtId="177" fontId="8"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178" fontId="36" fillId="0" borderId="0" applyFont="0" applyFill="0" applyBorder="0" applyAlignment="0" applyProtection="0"/>
    <xf numFmtId="179" fontId="48" fillId="0" borderId="0" applyFont="0" applyFill="0" applyBorder="0" applyAlignment="0" applyProtection="0"/>
    <xf numFmtId="0" fontId="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0"/>
    <xf numFmtId="0" fontId="25" fillId="9"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22" fillId="0" borderId="13"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23" fillId="0" borderId="14"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24" fillId="0" borderId="15"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24"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9" fillId="42" borderId="0" applyNumberFormat="0" applyBorder="0" applyAlignment="0" applyProtection="0"/>
    <xf numFmtId="0" fontId="28" fillId="12" borderId="16" applyNumberFormat="0" applyAlignment="0" applyProtection="0"/>
    <xf numFmtId="0" fontId="47" fillId="46" borderId="23" applyNumberFormat="0" applyAlignment="0" applyProtection="0"/>
    <xf numFmtId="0" fontId="47" fillId="46" borderId="23" applyNumberFormat="0" applyAlignment="0" applyProtection="0"/>
    <xf numFmtId="0" fontId="31" fillId="0" borderId="18"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167" fontId="36" fillId="0" borderId="0" applyFont="0" applyFill="0" applyBorder="0" applyAlignment="0" applyProtection="0"/>
    <xf numFmtId="0" fontId="27" fillId="11"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5" fillId="0" borderId="0"/>
    <xf numFmtId="0" fontId="56" fillId="0" borderId="29"/>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36"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36" fillId="0" borderId="0"/>
    <xf numFmtId="0" fontId="4" fillId="0" borderId="0"/>
    <xf numFmtId="0" fontId="8" fillId="0" borderId="0"/>
    <xf numFmtId="0" fontId="4"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4" fillId="0" borderId="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29" fillId="13" borderId="17" applyNumberFormat="0" applyAlignment="0" applyProtection="0"/>
    <xf numFmtId="0" fontId="57" fillId="60"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0" fontId="57" fillId="60" borderId="31" applyNumberFormat="0" applyAlignment="0" applyProtection="0"/>
    <xf numFmtId="0" fontId="50" fillId="0" borderId="33"/>
    <xf numFmtId="38" fontId="41" fillId="64" borderId="34"/>
    <xf numFmtId="37" fontId="41" fillId="65" borderId="22"/>
    <xf numFmtId="0" fontId="59" fillId="0" borderId="0" applyNumberFormat="0" applyFill="0" applyBorder="0" applyAlignment="0" applyProtection="0"/>
    <xf numFmtId="0" fontId="49" fillId="0" borderId="0" applyNumberFormat="0" applyFill="0" applyBorder="0" applyAlignment="0" applyProtection="0"/>
    <xf numFmtId="0" fontId="21"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5" fillId="0" borderId="21"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37" fontId="41" fillId="66" borderId="22">
      <protection locked="0"/>
    </xf>
    <xf numFmtId="0" fontId="33"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5" fillId="0" borderId="0"/>
    <xf numFmtId="0" fontId="65" fillId="0" borderId="0"/>
    <xf numFmtId="0" fontId="8" fillId="0" borderId="0"/>
    <xf numFmtId="0" fontId="71" fillId="0" borderId="0"/>
    <xf numFmtId="0" fontId="8"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0" fontId="36" fillId="0" borderId="0"/>
    <xf numFmtId="0" fontId="36" fillId="0" borderId="0"/>
    <xf numFmtId="0" fontId="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93"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73"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74"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74"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74"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74"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74"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74"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74"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74"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75"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75"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75"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75"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7" fillId="69" borderId="0" applyNumberFormat="0" applyBorder="0" applyAlignment="0" applyProtection="0"/>
    <xf numFmtId="0" fontId="37" fillId="70" borderId="0" applyNumberFormat="0" applyBorder="0" applyAlignment="0" applyProtection="0"/>
    <xf numFmtId="0" fontId="37" fillId="70"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3"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7" fillId="76"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6" borderId="0" applyNumberFormat="0" applyBorder="0" applyAlignment="0" applyProtection="0"/>
    <xf numFmtId="0" fontId="37" fillId="76" borderId="0" applyNumberFormat="0" applyBorder="0" applyAlignment="0" applyProtection="0"/>
    <xf numFmtId="0" fontId="37" fillId="78"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80" borderId="0" applyNumberFormat="0" applyBorder="0" applyAlignment="0" applyProtection="0"/>
    <xf numFmtId="0" fontId="38" fillId="78" borderId="0" applyNumberFormat="0" applyBorder="0" applyAlignment="0" applyProtection="0"/>
    <xf numFmtId="0" fontId="38" fillId="78" borderId="0" applyNumberFormat="0" applyBorder="0" applyAlignment="0" applyProtection="0"/>
    <xf numFmtId="0" fontId="38" fillId="8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7" fillId="82" borderId="0" applyNumberFormat="0" applyBorder="0" applyAlignment="0" applyProtection="0"/>
    <xf numFmtId="0" fontId="37" fillId="83" borderId="0" applyNumberFormat="0" applyBorder="0" applyAlignment="0" applyProtection="0"/>
    <xf numFmtId="0" fontId="37" fillId="83"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79"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8" fillId="72" borderId="0" applyNumberFormat="0" applyBorder="0" applyAlignment="0" applyProtection="0"/>
    <xf numFmtId="0" fontId="38" fillId="85" borderId="0" applyNumberFormat="0" applyBorder="0" applyAlignment="0" applyProtection="0"/>
    <xf numFmtId="0" fontId="38" fillId="85" borderId="0" applyNumberFormat="0" applyBorder="0" applyAlignment="0" applyProtection="0"/>
    <xf numFmtId="0" fontId="38" fillId="72"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7" fillId="79"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2" borderId="0" applyNumberFormat="0" applyBorder="0" applyAlignment="0" applyProtection="0"/>
    <xf numFmtId="0" fontId="37" fillId="80" borderId="0" applyNumberFormat="0" applyBorder="0" applyAlignment="0" applyProtection="0"/>
    <xf numFmtId="0" fontId="37" fillId="80"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8" fillId="72" borderId="0" applyNumberFormat="0" applyBorder="0" applyAlignment="0" applyProtection="0"/>
    <xf numFmtId="0" fontId="38" fillId="79" borderId="0" applyNumberFormat="0" applyBorder="0" applyAlignment="0" applyProtection="0"/>
    <xf numFmtId="0" fontId="38" fillId="79" borderId="0" applyNumberFormat="0" applyBorder="0" applyAlignment="0" applyProtection="0"/>
    <xf numFmtId="0" fontId="38" fillId="7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7" fillId="69"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1"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1"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78" borderId="0" applyNumberFormat="0" applyBorder="0" applyAlignment="0" applyProtection="0"/>
    <xf numFmtId="0" fontId="37" fillId="91" borderId="0" applyNumberFormat="0" applyBorder="0" applyAlignment="0" applyProtection="0"/>
    <xf numFmtId="0" fontId="37" fillId="91"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91" borderId="0" applyNumberFormat="0" applyBorder="0" applyAlignment="0" applyProtection="0"/>
    <xf numFmtId="0" fontId="38" fillId="92" borderId="0" applyNumberFormat="0" applyBorder="0" applyAlignment="0" applyProtection="0"/>
    <xf numFmtId="0" fontId="38" fillId="92" borderId="0" applyNumberFormat="0" applyBorder="0" applyAlignment="0" applyProtection="0"/>
    <xf numFmtId="0" fontId="38" fillId="91"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2" fontId="68" fillId="0" borderId="0">
      <alignment vertical="center"/>
    </xf>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39" fillId="42"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78"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37" fontId="41" fillId="59" borderId="22">
      <protection locked="0"/>
    </xf>
    <xf numFmtId="37" fontId="41" fillId="59" borderId="22">
      <protection locked="0"/>
    </xf>
    <xf numFmtId="37" fontId="41" fillId="59" borderId="22">
      <protection locked="0"/>
    </xf>
    <xf numFmtId="37" fontId="41" fillId="59" borderId="22">
      <protection locked="0"/>
    </xf>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80" fillId="96" borderId="37" applyNumberFormat="0" applyAlignment="0" applyProtection="0"/>
    <xf numFmtId="0" fontId="79" fillId="95"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42" fillId="60"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1"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2" fillId="0" borderId="0"/>
    <xf numFmtId="0" fontId="82" fillId="0" borderId="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8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8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3" fillId="61" borderId="24" applyNumberFormat="0" applyAlignment="0" applyProtection="0"/>
    <xf numFmtId="0" fontId="44" fillId="0" borderId="25" applyNumberFormat="0" applyFill="0" applyAlignment="0" applyProtection="0"/>
    <xf numFmtId="0" fontId="36" fillId="61"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80" borderId="24" applyNumberFormat="0" applyAlignment="0" applyProtection="0"/>
    <xf numFmtId="0" fontId="36"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94" fontId="36" fillId="0" borderId="0" applyFont="0" applyFill="0" applyBorder="0" applyAlignment="0" applyProtection="0"/>
    <xf numFmtId="19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95" fontId="36" fillId="0" borderId="0" applyFont="0" applyFill="0" applyBorder="0" applyAlignment="0" applyProtection="0"/>
    <xf numFmtId="167" fontId="4" fillId="0" borderId="0" applyFont="0" applyFill="0" applyBorder="0" applyAlignment="0" applyProtection="0"/>
    <xf numFmtId="195"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96"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77" fontId="8" fillId="0" borderId="0" applyFont="0" applyFill="0" applyBorder="0" applyAlignment="0" applyProtection="0"/>
    <xf numFmtId="167" fontId="85"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6"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9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86" fillId="0" borderId="0" applyFont="0" applyFill="0" applyBorder="0" applyAlignment="0" applyProtection="0"/>
    <xf numFmtId="167" fontId="36" fillId="0" borderId="0" applyFont="0" applyFill="0" applyBorder="0" applyAlignment="0" applyProtection="0"/>
    <xf numFmtId="167" fontId="8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97"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9" fontId="36" fillId="0" borderId="0" applyFont="0" applyFill="0" applyBorder="0" applyAlignment="0" applyProtection="0"/>
    <xf numFmtId="199" fontId="36" fillId="0" borderId="0" applyFont="0" applyFill="0" applyBorder="0" applyAlignment="0" applyProtection="0"/>
    <xf numFmtId="177" fontId="36" fillId="0" borderId="0" applyFont="0" applyFill="0" applyBorder="0" applyAlignment="0" applyProtection="0"/>
    <xf numFmtId="200" fontId="36" fillId="0" borderId="0" applyFont="0" applyFill="0" applyBorder="0" applyAlignment="0" applyProtection="0"/>
    <xf numFmtId="200" fontId="36" fillId="0" borderId="0" applyFont="0" applyFill="0" applyBorder="0" applyAlignment="0" applyProtection="0"/>
    <xf numFmtId="201" fontId="87" fillId="0" borderId="0">
      <protection locked="0"/>
    </xf>
    <xf numFmtId="202" fontId="8" fillId="97" borderId="0" applyFont="0" applyFill="0" applyBorder="0" applyAlignment="0" applyProtection="0"/>
    <xf numFmtId="203" fontId="11" fillId="0" borderId="1"/>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4" fontId="8" fillId="0" borderId="0" applyFill="0" applyBorder="0">
      <alignment horizontal="right"/>
    </xf>
    <xf numFmtId="2" fontId="88" fillId="0" borderId="2"/>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5" fontId="89" fillId="98" borderId="0" applyFont="0" applyFill="0" applyBorder="0" applyAlignment="0" applyProtection="0">
      <alignment horizontal="right" vertical="center"/>
    </xf>
    <xf numFmtId="2" fontId="36" fillId="0" borderId="0"/>
    <xf numFmtId="2" fontId="36" fillId="0" borderId="0"/>
    <xf numFmtId="2" fontId="36" fillId="0" borderId="0"/>
    <xf numFmtId="0" fontId="61" fillId="99" borderId="0" applyNumberFormat="0" applyBorder="0" applyAlignment="0" applyProtection="0"/>
    <xf numFmtId="0" fontId="61" fillId="100" borderId="0" applyNumberFormat="0" applyBorder="0" applyAlignment="0" applyProtection="0"/>
    <xf numFmtId="0" fontId="61" fillId="100" borderId="0" applyNumberFormat="0" applyBorder="0" applyAlignment="0" applyProtection="0"/>
    <xf numFmtId="0" fontId="61" fillId="99" borderId="0" applyNumberFormat="0" applyBorder="0" applyAlignment="0" applyProtection="0"/>
    <xf numFmtId="0" fontId="61" fillId="99" borderId="0" applyNumberFormat="0" applyBorder="0" applyAlignment="0" applyProtection="0"/>
    <xf numFmtId="0" fontId="61" fillId="101" borderId="0" applyNumberFormat="0" applyBorder="0" applyAlignment="0" applyProtection="0"/>
    <xf numFmtId="0" fontId="61" fillId="102" borderId="0" applyNumberFormat="0" applyBorder="0" applyAlignment="0" applyProtection="0"/>
    <xf numFmtId="0" fontId="61" fillId="102"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9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75"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75"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75"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75"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92"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36" fillId="0" borderId="0"/>
    <xf numFmtId="0" fontId="93" fillId="0" borderId="0"/>
    <xf numFmtId="0" fontId="36" fillId="0" borderId="0"/>
    <xf numFmtId="0" fontId="93"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9" fontId="48" fillId="0" borderId="0" applyFont="0" applyFill="0" applyBorder="0" applyAlignment="0" applyProtection="0"/>
    <xf numFmtId="178"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0" fontId="34" fillId="0" borderId="0" applyNumberFormat="0" applyFill="0" applyBorder="0" applyAlignment="0" applyProtection="0"/>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50" fillId="0" borderId="0"/>
    <xf numFmtId="0" fontId="36" fillId="43"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6"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53"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46" fillId="0" borderId="28"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36" fillId="0" borderId="0" applyNumberFormat="0" applyFill="0" applyBorder="0" applyAlignment="0" applyProtection="0"/>
    <xf numFmtId="0" fontId="97" fillId="0" borderId="0" applyNumberFormat="0" applyFill="0" applyBorder="0" applyAlignment="0" applyProtection="0"/>
    <xf numFmtId="0" fontId="36"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1"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36" fillId="46" borderId="23" applyNumberFormat="0" applyAlignment="0" applyProtection="0"/>
    <xf numFmtId="0" fontId="103" fillId="91" borderId="37" applyNumberFormat="0" applyAlignment="0" applyProtection="0"/>
    <xf numFmtId="0" fontId="103" fillId="91" borderId="37" applyNumberFormat="0" applyAlignment="0" applyProtection="0"/>
    <xf numFmtId="0" fontId="103" fillId="91" borderId="23" applyNumberFormat="0" applyAlignment="0" applyProtection="0"/>
    <xf numFmtId="0" fontId="36"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37" applyNumberFormat="0" applyAlignment="0" applyProtection="0"/>
    <xf numFmtId="0" fontId="47"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36" fillId="0" borderId="25"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36"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44"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212" fontId="36" fillId="0" borderId="0" applyFont="0" applyFill="0" applyBorder="0" applyAlignment="0" applyProtection="0"/>
    <xf numFmtId="212"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192"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7" fontId="37" fillId="0" borderId="0" applyFont="0" applyFill="0" applyBorder="0" applyAlignment="0" applyProtection="0"/>
    <xf numFmtId="214"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214" fontId="36" fillId="0" borderId="0" applyFont="0" applyFill="0" applyBorder="0" applyAlignment="0" applyProtection="0"/>
    <xf numFmtId="215"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215"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216" fontId="36" fillId="0" borderId="0" applyFont="0" applyFill="0" applyBorder="0" applyAlignment="0" applyProtection="0"/>
    <xf numFmtId="177"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17" fontId="4" fillId="0" borderId="0" applyFont="0" applyFill="0" applyBorder="0" applyAlignment="0" applyProtection="0"/>
    <xf numFmtId="167" fontId="85"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219"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85" fillId="0" borderId="0" applyFont="0" applyFill="0" applyBorder="0" applyAlignment="0" applyProtection="0"/>
    <xf numFmtId="220"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9"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2"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167" fontId="4"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43" fontId="36" fillId="0" borderId="0" applyFont="0" applyFill="0" applyBorder="0" applyAlignment="0" applyProtection="0"/>
    <xf numFmtId="218"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3"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92"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0" fontId="36"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5" fontId="73" fillId="0" borderId="0" applyFont="0" applyFill="0" applyBorder="0" applyAlignment="0" applyProtection="0"/>
    <xf numFmtId="167" fontId="73" fillId="0" borderId="0" applyFont="0" applyFill="0" applyBorder="0" applyAlignment="0" applyProtection="0"/>
    <xf numFmtId="224" fontId="36" fillId="0" borderId="0" applyFont="0" applyFill="0" applyBorder="0" applyAlignment="0" applyProtection="0"/>
    <xf numFmtId="225" fontId="36" fillId="0" borderId="0" applyFont="0" applyFill="0" applyBorder="0" applyAlignment="0" applyProtection="0"/>
    <xf numFmtId="226" fontId="36" fillId="0" borderId="0" applyFont="0" applyFill="0" applyBorder="0" applyAlignment="0" applyProtection="0"/>
    <xf numFmtId="164" fontId="73" fillId="0" borderId="0" applyFont="0" applyFill="0" applyBorder="0" applyAlignment="0" applyProtection="0"/>
    <xf numFmtId="166" fontId="73" fillId="0" borderId="0" applyFont="0" applyFill="0" applyBorder="0" applyAlignment="0" applyProtection="0"/>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62"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105"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6" fillId="0" borderId="0"/>
    <xf numFmtId="0" fontId="55" fillId="0" borderId="0"/>
    <xf numFmtId="0" fontId="106" fillId="0" borderId="0"/>
    <xf numFmtId="0" fontId="106" fillId="0" borderId="0"/>
    <xf numFmtId="0" fontId="55" fillId="0" borderId="0"/>
    <xf numFmtId="0" fontId="56" fillId="0" borderId="29"/>
    <xf numFmtId="0" fontId="36" fillId="0" borderId="29"/>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107"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7" fillId="0" borderId="0"/>
    <xf numFmtId="0" fontId="4" fillId="0" borderId="0"/>
    <xf numFmtId="0" fontId="37" fillId="0" borderId="0"/>
    <xf numFmtId="0" fontId="37" fillId="0" borderId="0"/>
    <xf numFmtId="0" fontId="37" fillId="0" borderId="0"/>
    <xf numFmtId="0" fontId="37" fillId="0" borderId="0"/>
    <xf numFmtId="0" fontId="37" fillId="0" borderId="0"/>
    <xf numFmtId="0" fontId="37"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36" fillId="0" borderId="0"/>
    <xf numFmtId="0" fontId="36" fillId="0" borderId="0"/>
    <xf numFmtId="0" fontId="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6" fillId="0" borderId="0"/>
    <xf numFmtId="0" fontId="6" fillId="0" borderId="0"/>
    <xf numFmtId="0" fontId="4" fillId="0" borderId="0"/>
    <xf numFmtId="0" fontId="4" fillId="0" borderId="0"/>
    <xf numFmtId="0" fontId="4" fillId="0" borderId="0"/>
    <xf numFmtId="0" fontId="85" fillId="0" borderId="0"/>
    <xf numFmtId="0" fontId="85" fillId="0" borderId="0"/>
    <xf numFmtId="0" fontId="85" fillId="0" borderId="0"/>
    <xf numFmtId="0" fontId="85" fillId="0" borderId="0"/>
    <xf numFmtId="0" fontId="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85" fillId="0" borderId="0"/>
    <xf numFmtId="0" fontId="85" fillId="0" borderId="0"/>
    <xf numFmtId="0" fontId="85"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85" fillId="0" borderId="0"/>
    <xf numFmtId="0" fontId="36" fillId="0" borderId="0"/>
    <xf numFmtId="0" fontId="36" fillId="0" borderId="0"/>
    <xf numFmtId="0" fontId="85" fillId="0" borderId="0"/>
    <xf numFmtId="0" fontId="36" fillId="0" borderId="0"/>
    <xf numFmtId="0" fontId="36" fillId="0" borderId="0"/>
    <xf numFmtId="0" fontId="36" fillId="0" borderId="0"/>
    <xf numFmtId="0" fontId="4" fillId="0" borderId="0"/>
    <xf numFmtId="0" fontId="36" fillId="0" borderId="0"/>
    <xf numFmtId="0" fontId="37" fillId="0" borderId="0"/>
    <xf numFmtId="0" fontId="36" fillId="0" borderId="0"/>
    <xf numFmtId="0" fontId="4"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85" fillId="0" borderId="0"/>
    <xf numFmtId="0" fontId="36" fillId="0" borderId="0"/>
    <xf numFmtId="0" fontId="8" fillId="0" borderId="0"/>
    <xf numFmtId="0" fontId="37" fillId="0" borderId="0"/>
    <xf numFmtId="0" fontId="36" fillId="0" borderId="0"/>
    <xf numFmtId="0" fontId="37" fillId="0" borderId="0"/>
    <xf numFmtId="0" fontId="8" fillId="0" borderId="0"/>
    <xf numFmtId="0" fontId="36" fillId="0" borderId="0"/>
    <xf numFmtId="0" fontId="36" fillId="0" borderId="0"/>
    <xf numFmtId="0" fontId="36" fillId="0" borderId="0"/>
    <xf numFmtId="0" fontId="36" fillId="0" borderId="0"/>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8" fillId="0" borderId="0"/>
    <xf numFmtId="0" fontId="36" fillId="0" borderId="0"/>
    <xf numFmtId="0" fontId="37" fillId="0" borderId="0"/>
    <xf numFmtId="0" fontId="36" fillId="0" borderId="0"/>
    <xf numFmtId="179" fontId="4" fillId="0" borderId="0"/>
    <xf numFmtId="0" fontId="36" fillId="0" borderId="0"/>
    <xf numFmtId="0" fontId="36" fillId="0" borderId="0"/>
    <xf numFmtId="0" fontId="36" fillId="0" borderId="0"/>
    <xf numFmtId="0" fontId="4"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4" fillId="0" borderId="0"/>
    <xf numFmtId="0" fontId="36"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36" fillId="0" borderId="0"/>
    <xf numFmtId="0" fontId="4" fillId="0" borderId="0"/>
    <xf numFmtId="0" fontId="8" fillId="0" borderId="0"/>
    <xf numFmtId="0" fontId="36" fillId="0" borderId="0"/>
    <xf numFmtId="0" fontId="36" fillId="0" borderId="0"/>
    <xf numFmtId="0" fontId="4"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204" fontId="8" fillId="0" borderId="0"/>
    <xf numFmtId="227" fontId="8" fillId="0" borderId="0" applyFont="0" applyFill="0" applyBorder="0" applyAlignment="0" applyProtection="0"/>
    <xf numFmtId="0" fontId="37"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36" fillId="63" borderId="30" applyNumberFormat="0" applyFont="0" applyAlignment="0" applyProtection="0"/>
    <xf numFmtId="0" fontId="37" fillId="63" borderId="30" applyNumberFormat="0" applyFont="0" applyAlignment="0" applyProtection="0"/>
    <xf numFmtId="2" fontId="36" fillId="64" borderId="22" applyFont="0" applyFill="0" applyBorder="0" applyProtection="0">
      <alignment horizontal="center" vertical="center"/>
    </xf>
    <xf numFmtId="2" fontId="36" fillId="64" borderId="22" applyFont="0" applyFill="0" applyBorder="0" applyProtection="0">
      <alignment horizontal="center" vertical="center"/>
    </xf>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60"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108" fillId="0" borderId="0">
      <protection locked="0"/>
    </xf>
    <xf numFmtId="0" fontId="108"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41" fillId="0" borderId="0">
      <protection locked="0"/>
    </xf>
    <xf numFmtId="0" fontId="41" fillId="0" borderId="0">
      <protection locked="0"/>
    </xf>
    <xf numFmtId="228" fontId="87" fillId="0" borderId="0">
      <protection locked="0"/>
    </xf>
    <xf numFmtId="9" fontId="36" fillId="0" borderId="0" applyFont="0" applyFill="0" applyBorder="0" applyAlignment="0" applyProtection="0"/>
    <xf numFmtId="9" fontId="36" fillId="0" borderId="0" applyFont="0" applyFill="0" applyBorder="0" applyAlignment="0" applyProtection="0"/>
    <xf numFmtId="228" fontId="87" fillId="0" borderId="0">
      <protection locked="0"/>
    </xf>
    <xf numFmtId="9" fontId="85" fillId="0" borderId="0" applyFont="0" applyFill="0" applyBorder="0" applyAlignment="0" applyProtection="0"/>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228" fontId="87" fillId="0" borderId="0">
      <protection locked="0"/>
    </xf>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229" fontId="36" fillId="0" borderId="0" applyFont="0" applyFill="0" applyBorder="0" applyProtection="0">
      <alignment horizontal="right"/>
    </xf>
    <xf numFmtId="229" fontId="36" fillId="0" borderId="0" applyFont="0" applyFill="0" applyBorder="0" applyProtection="0">
      <alignment horizontal="right"/>
    </xf>
    <xf numFmtId="204" fontId="109" fillId="0" borderId="0" applyNumberFormat="0" applyFill="0" applyBorder="0" applyAlignment="0" applyProtection="0"/>
    <xf numFmtId="0" fontId="110" fillId="0" borderId="0" applyProtection="0">
      <alignment horizontal="center" vertical="center" wrapText="1"/>
    </xf>
    <xf numFmtId="0" fontId="110" fillId="0" borderId="0" applyProtection="0">
      <alignment horizontal="center" vertical="center" wrapText="1"/>
    </xf>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111"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vertical="center"/>
    </xf>
    <xf numFmtId="4" fontId="8" fillId="62"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3" fillId="62" borderId="44" applyNumberFormat="0" applyProtection="0">
      <alignment vertical="center"/>
    </xf>
    <xf numFmtId="4" fontId="114" fillId="105"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horizontal="left" vertical="center" indent="1"/>
    </xf>
    <xf numFmtId="4" fontId="8" fillId="105"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2" fillId="62" borderId="44" applyNumberFormat="0" applyProtection="0">
      <alignment horizontal="left" vertical="top" indent="1"/>
    </xf>
    <xf numFmtId="0" fontId="70" fillId="62" borderId="44" applyNumberFormat="0" applyProtection="0">
      <alignment horizontal="left" vertical="top" indent="1"/>
    </xf>
    <xf numFmtId="0" fontId="112" fillId="62"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6" borderId="0"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74" fillId="42"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8" fillId="42"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74" fillId="4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8" fillId="10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74" fillId="5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8" fillId="56" borderId="29"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74" fillId="50"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8" fillId="5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74" fillId="54"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8" fillId="5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74" fillId="5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8" fillId="5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74" fillId="57"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8" fillId="5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74" fillId="10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8" fillId="10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74" fillId="49"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8" fillId="49"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9" borderId="45" applyNumberFormat="0" applyProtection="0">
      <alignment horizontal="left" vertical="center" indent="1"/>
    </xf>
    <xf numFmtId="4" fontId="8" fillId="109"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5" fillId="111"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74" fillId="10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8" fillId="106"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8" fillId="110" borderId="29"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0" applyNumberFormat="0" applyProtection="0">
      <alignment horizontal="left" vertical="center" indent="1"/>
    </xf>
    <xf numFmtId="4" fontId="8" fillId="106" borderId="29"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center" indent="1"/>
    </xf>
    <xf numFmtId="0" fontId="8" fillId="60" borderId="37" applyNumberFormat="0" applyProtection="0">
      <alignment horizontal="left" vertical="center" indent="1"/>
    </xf>
    <xf numFmtId="0" fontId="36" fillId="111"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top" indent="1"/>
    </xf>
    <xf numFmtId="0" fontId="8" fillId="111" borderId="44" applyNumberFormat="0" applyProtection="0">
      <alignment horizontal="left" vertical="top" indent="1"/>
    </xf>
    <xf numFmtId="0" fontId="36" fillId="111"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center" indent="1"/>
    </xf>
    <xf numFmtId="0" fontId="8" fillId="113" borderId="37" applyNumberFormat="0" applyProtection="0">
      <alignment horizontal="left" vertical="center" indent="1"/>
    </xf>
    <xf numFmtId="0" fontId="36" fillId="106"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top" indent="1"/>
    </xf>
    <xf numFmtId="0" fontId="8" fillId="106" borderId="44" applyNumberFormat="0" applyProtection="0">
      <alignment horizontal="left" vertical="top" indent="1"/>
    </xf>
    <xf numFmtId="0" fontId="36"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center" indent="1"/>
    </xf>
    <xf numFmtId="0" fontId="8" fillId="47" borderId="37" applyNumberFormat="0" applyProtection="0">
      <alignment horizontal="left" vertical="center" indent="1"/>
    </xf>
    <xf numFmtId="0" fontId="36" fillId="47"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top" indent="1"/>
    </xf>
    <xf numFmtId="0" fontId="8" fillId="47" borderId="44" applyNumberFormat="0" applyProtection="0">
      <alignment horizontal="left" vertical="top" indent="1"/>
    </xf>
    <xf numFmtId="0" fontId="36" fillId="47"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center" indent="1"/>
    </xf>
    <xf numFmtId="0" fontId="8" fillId="110" borderId="37" applyNumberFormat="0" applyProtection="0">
      <alignment horizontal="left" vertical="center" indent="1"/>
    </xf>
    <xf numFmtId="0" fontId="36" fillId="11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top" indent="1"/>
    </xf>
    <xf numFmtId="0" fontId="8" fillId="110" borderId="44" applyNumberFormat="0" applyProtection="0">
      <alignment horizontal="left" vertical="top" indent="1"/>
    </xf>
    <xf numFmtId="0" fontId="36" fillId="110"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4" borderId="22" applyNumberFormat="0">
      <protection locked="0"/>
    </xf>
    <xf numFmtId="0" fontId="8" fillId="114" borderId="46" applyNumberFormat="0">
      <protection locked="0"/>
    </xf>
    <xf numFmtId="0" fontId="36" fillId="114" borderId="22" applyNumberFormat="0">
      <protection locked="0"/>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 fillId="111" borderId="47" applyBorder="0"/>
    <xf numFmtId="0" fontId="36" fillId="0" borderId="0"/>
    <xf numFmtId="0" fontId="36" fillId="0" borderId="0"/>
    <xf numFmtId="0" fontId="36" fillId="0" borderId="0"/>
    <xf numFmtId="4" fontId="74" fillId="63" borderId="44" applyNumberFormat="0" applyProtection="0">
      <alignment vertical="center"/>
    </xf>
    <xf numFmtId="4" fontId="74"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vertical="center"/>
    </xf>
    <xf numFmtId="4" fontId="116"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7" fillId="63" borderId="44" applyNumberFormat="0" applyProtection="0">
      <alignment vertical="center"/>
    </xf>
    <xf numFmtId="4" fontId="114" fillId="97" borderId="22"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74" fillId="63"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116" fillId="6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116"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0" fontId="36" fillId="0" borderId="0"/>
    <xf numFmtId="0" fontId="36" fillId="0" borderId="0"/>
    <xf numFmtId="4" fontId="74" fillId="110" borderId="44" applyNumberFormat="0" applyProtection="0">
      <alignment horizontal="right" vertical="center"/>
    </xf>
    <xf numFmtId="4" fontId="74" fillId="110" borderId="44" applyNumberFormat="0" applyProtection="0">
      <alignment horizontal="right" vertical="center"/>
    </xf>
    <xf numFmtId="4" fontId="74" fillId="110" borderId="44" applyNumberFormat="0" applyProtection="0">
      <alignment horizontal="right" vertical="center"/>
    </xf>
    <xf numFmtId="4" fontId="8" fillId="0" borderId="37" applyNumberFormat="0" applyProtection="0">
      <alignment horizontal="right" vertical="center"/>
    </xf>
    <xf numFmtId="4" fontId="8" fillId="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4" fontId="119" fillId="0" borderId="0" applyNumberFormat="0" applyProtection="0">
      <alignment horizontal="right" vertical="center"/>
    </xf>
    <xf numFmtId="0" fontId="36" fillId="0" borderId="0"/>
    <xf numFmtId="0" fontId="36" fillId="0" borderId="0"/>
    <xf numFmtId="4" fontId="117" fillId="110" borderId="44" applyNumberFormat="0" applyProtection="0">
      <alignment horizontal="right" vertical="center"/>
    </xf>
    <xf numFmtId="4" fontId="114" fillId="98" borderId="37" applyNumberFormat="0" applyProtection="0">
      <alignment horizontal="right" vertical="center"/>
    </xf>
    <xf numFmtId="4" fontId="114" fillId="9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right" vertical="center"/>
    </xf>
    <xf numFmtId="4" fontId="119" fillId="0" borderId="0" applyNumberFormat="0" applyProtection="0">
      <alignment horizontal="left" vertical="center" indent="1"/>
    </xf>
    <xf numFmtId="0" fontId="36" fillId="0" borderId="0"/>
    <xf numFmtId="0" fontId="36" fillId="0" borderId="0"/>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8" fillId="53" borderId="37"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left" vertical="center" indent="1"/>
    </xf>
    <xf numFmtId="0" fontId="36" fillId="0" borderId="0"/>
    <xf numFmtId="0" fontId="36" fillId="0" borderId="0"/>
    <xf numFmtId="0" fontId="36" fillId="0" borderId="0"/>
    <xf numFmtId="0" fontId="74"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106" borderId="44" applyNumberFormat="0" applyProtection="0">
      <alignment horizontal="left" vertical="top" indent="1"/>
    </xf>
    <xf numFmtId="0" fontId="116"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0" fillId="115" borderId="0" applyNumberFormat="0" applyProtection="0">
      <alignment horizontal="left" vertical="center" indent="1"/>
    </xf>
    <xf numFmtId="4" fontId="121" fillId="115"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116" borderId="22"/>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2" fillId="110" borderId="44" applyNumberFormat="0" applyProtection="0">
      <alignment horizontal="right" vertical="center"/>
    </xf>
    <xf numFmtId="4" fontId="123" fillId="11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167" fontId="36" fillId="0" borderId="0" applyFont="0" applyFill="0" applyBorder="0" applyAlignment="0" applyProtection="0"/>
    <xf numFmtId="177" fontId="36" fillId="0" borderId="0" applyFon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50" fillId="0" borderId="33"/>
    <xf numFmtId="0" fontId="36" fillId="0" borderId="0"/>
    <xf numFmtId="0" fontId="36" fillId="0" borderId="0"/>
    <xf numFmtId="0" fontId="36" fillId="0" borderId="0"/>
    <xf numFmtId="0" fontId="36" fillId="0" borderId="0"/>
    <xf numFmtId="0" fontId="36" fillId="0" borderId="0"/>
    <xf numFmtId="0" fontId="74" fillId="0" borderId="0" applyNumberFormat="0" applyBorder="0" applyAlignment="0"/>
    <xf numFmtId="0" fontId="74" fillId="0" borderId="0" applyNumberFormat="0" applyBorder="0" applyAlignment="0"/>
    <xf numFmtId="0" fontId="112" fillId="0" borderId="0" applyNumberFormat="0" applyBorder="0" applyAlignment="0"/>
    <xf numFmtId="0" fontId="112" fillId="0" borderId="0" applyNumberFormat="0" applyBorder="0" applyAlignment="0"/>
    <xf numFmtId="0" fontId="125" fillId="60" borderId="0" applyNumberFormat="0" applyBorder="0" applyAlignment="0"/>
    <xf numFmtId="0" fontId="125" fillId="60" borderId="0" applyNumberFormat="0" applyBorder="0" applyAlignment="0"/>
    <xf numFmtId="0" fontId="126" fillId="60" borderId="0" applyNumberFormat="0" applyBorder="0" applyAlignment="0"/>
    <xf numFmtId="0" fontId="126" fillId="60" borderId="0" applyNumberFormat="0" applyBorder="0" applyAlignment="0"/>
    <xf numFmtId="0" fontId="127" fillId="0" borderId="0" applyNumberFormat="0" applyBorder="0" applyAlignment="0"/>
    <xf numFmtId="0" fontId="127" fillId="0" borderId="0" applyNumberFormat="0" applyBorder="0" applyAlignment="0"/>
    <xf numFmtId="0" fontId="128" fillId="0" borderId="0" applyNumberFormat="0" applyBorder="0" applyAlignment="0"/>
    <xf numFmtId="0" fontId="128" fillId="0" borderId="0" applyNumberFormat="0" applyBorder="0" applyAlignment="0"/>
    <xf numFmtId="0" fontId="115" fillId="60" borderId="0" applyNumberFormat="0" applyBorder="0" applyAlignment="0"/>
    <xf numFmtId="0" fontId="115" fillId="60" borderId="0" applyNumberFormat="0" applyBorder="0" applyAlignment="0"/>
    <xf numFmtId="0" fontId="129" fillId="0" borderId="0" applyNumberFormat="0" applyBorder="0" applyAlignment="0"/>
    <xf numFmtId="0" fontId="129" fillId="0" borderId="0" applyNumberFormat="0" applyBorder="0" applyAlignment="0"/>
    <xf numFmtId="0" fontId="130" fillId="0" borderId="0" applyNumberFormat="0" applyBorder="0" applyAlignment="0"/>
    <xf numFmtId="0" fontId="130" fillId="0" borderId="0" applyNumberFormat="0" applyBorder="0" applyAlignment="0"/>
    <xf numFmtId="0" fontId="125" fillId="0" borderId="0" applyNumberFormat="0" applyBorder="0" applyAlignment="0"/>
    <xf numFmtId="0" fontId="125" fillId="0" borderId="0" applyNumberFormat="0" applyBorder="0" applyAlignment="0"/>
    <xf numFmtId="0" fontId="131" fillId="0" borderId="0" applyNumberFormat="0" applyBorder="0" applyAlignment="0"/>
    <xf numFmtId="0" fontId="131" fillId="0" borderId="0" applyNumberFormat="0" applyBorder="0" applyAlignment="0"/>
    <xf numFmtId="0" fontId="132" fillId="0" borderId="0" applyNumberFormat="0" applyBorder="0" applyAlignment="0"/>
    <xf numFmtId="0" fontId="132" fillId="0" borderId="0" applyNumberFormat="0" applyBorder="0" applyAlignment="0"/>
    <xf numFmtId="37" fontId="41" fillId="65" borderId="22"/>
    <xf numFmtId="37" fontId="41" fillId="65" borderId="22"/>
    <xf numFmtId="37" fontId="41" fillId="65" borderId="22"/>
    <xf numFmtId="37" fontId="41" fillId="65" borderId="22"/>
    <xf numFmtId="1" fontId="133" fillId="0" borderId="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122"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1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135"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136"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91"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137" fillId="0" borderId="49"/>
    <xf numFmtId="0" fontId="137" fillId="0" borderId="49"/>
    <xf numFmtId="37" fontId="41" fillId="66" borderId="22">
      <protection locked="0"/>
    </xf>
    <xf numFmtId="37" fontId="41" fillId="66" borderId="22">
      <protection locked="0"/>
    </xf>
    <xf numFmtId="37" fontId="41" fillId="66" borderId="22">
      <protection locked="0"/>
    </xf>
    <xf numFmtId="37" fontId="41" fillId="66" borderId="22">
      <protection locked="0"/>
    </xf>
    <xf numFmtId="0" fontId="36"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36"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28" fillId="12"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6" fillId="0" borderId="0"/>
    <xf numFmtId="0" fontId="85" fillId="0" borderId="0"/>
    <xf numFmtId="0" fontId="4" fillId="0" borderId="0"/>
    <xf numFmtId="0" fontId="139" fillId="0" borderId="0" applyNumberFormat="0" applyFill="0" applyBorder="0" applyAlignment="0" applyProtection="0"/>
    <xf numFmtId="0" fontId="4" fillId="0" borderId="0"/>
    <xf numFmtId="0" fontId="4" fillId="15" borderId="20" applyNumberFormat="0" applyFont="0" applyAlignment="0" applyProtection="0"/>
    <xf numFmtId="0" fontId="4" fillId="0" borderId="0"/>
    <xf numFmtId="0" fontId="36" fillId="0" borderId="0"/>
    <xf numFmtId="0" fontId="36" fillId="0" borderId="0"/>
    <xf numFmtId="0" fontId="36"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8" fillId="0" borderId="0"/>
    <xf numFmtId="0" fontId="6" fillId="0" borderId="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0" fontId="4" fillId="0" borderId="0"/>
    <xf numFmtId="0" fontId="8" fillId="0" borderId="0"/>
    <xf numFmtId="177" fontId="8" fillId="0" borderId="0" applyFont="0" applyFill="0" applyBorder="0" applyAlignment="0" applyProtection="0"/>
    <xf numFmtId="0" fontId="8" fillId="0" borderId="0"/>
    <xf numFmtId="0" fontId="36" fillId="0" borderId="0">
      <alignment wrapText="1"/>
    </xf>
    <xf numFmtId="177" fontId="8" fillId="0" borderId="0" applyFont="0" applyFill="0" applyBorder="0" applyAlignment="0" applyProtection="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0" fontId="4" fillId="0" borderId="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167" fontId="4" fillId="0" borderId="0" applyFont="0" applyFill="0" applyBorder="0" applyAlignment="0" applyProtection="0"/>
    <xf numFmtId="0" fontId="4" fillId="0" borderId="0"/>
    <xf numFmtId="167" fontId="4" fillId="0" borderId="0" applyFont="0" applyFill="0" applyBorder="0" applyAlignment="0" applyProtection="0"/>
    <xf numFmtId="0" fontId="4" fillId="0" borderId="0"/>
    <xf numFmtId="0" fontId="8" fillId="0" borderId="0"/>
    <xf numFmtId="0" fontId="8" fillId="0" borderId="0"/>
    <xf numFmtId="0" fontId="8" fillId="0" borderId="0"/>
    <xf numFmtId="0" fontId="8" fillId="0" borderId="0"/>
    <xf numFmtId="0" fontId="8" fillId="0" borderId="0"/>
    <xf numFmtId="0" fontId="4"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9" fillId="42" borderId="0" applyNumberFormat="0" applyBorder="0" applyAlignment="0" applyProtection="0"/>
    <xf numFmtId="0" fontId="42" fillId="60" borderId="23" applyNumberFormat="0" applyAlignment="0" applyProtection="0"/>
    <xf numFmtId="0" fontId="43" fillId="61" borderId="24" applyNumberFormat="0" applyAlignment="0" applyProtection="0"/>
    <xf numFmtId="0" fontId="40" fillId="43" borderId="0" applyNumberFormat="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46" fillId="0" borderId="0" applyNumberFormat="0" applyFill="0" applyBorder="0" applyAlignment="0" applyProtection="0"/>
    <xf numFmtId="0" fontId="47" fillId="46" borderId="23" applyNumberFormat="0" applyAlignment="0" applyProtection="0"/>
    <xf numFmtId="0" fontId="44" fillId="0" borderId="25" applyNumberFormat="0" applyFill="0" applyAlignment="0" applyProtection="0"/>
    <xf numFmtId="0" fontId="54" fillId="62" borderId="0" applyNumberFormat="0" applyBorder="0" applyAlignment="0" applyProtection="0"/>
    <xf numFmtId="0" fontId="36" fillId="63" borderId="30" applyNumberFormat="0" applyFont="0" applyAlignment="0" applyProtection="0"/>
    <xf numFmtId="0" fontId="57" fillId="60" borderId="31" applyNumberFormat="0" applyAlignment="0" applyProtection="0"/>
    <xf numFmtId="0" fontId="61" fillId="0" borderId="35" applyNumberFormat="0" applyFill="0" applyAlignment="0" applyProtection="0"/>
    <xf numFmtId="0" fontId="8" fillId="0" borderId="0"/>
    <xf numFmtId="0" fontId="5" fillId="0" borderId="21" applyNumberFormat="0" applyFill="0" applyAlignment="0" applyProtection="0"/>
    <xf numFmtId="0" fontId="8" fillId="0" borderId="0"/>
    <xf numFmtId="179" fontId="48" fillId="0" borderId="0" applyFont="0" applyFill="0" applyBorder="0" applyAlignment="0" applyProtection="0"/>
    <xf numFmtId="0" fontId="8" fillId="0" borderId="0"/>
    <xf numFmtId="0" fontId="4" fillId="0" borderId="0"/>
    <xf numFmtId="0" fontId="8" fillId="0" borderId="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15" borderId="20" applyNumberFormat="0" applyFont="0" applyAlignment="0" applyProtection="0"/>
    <xf numFmtId="0" fontId="4" fillId="0" borderId="0"/>
    <xf numFmtId="0" fontId="4" fillId="0" borderId="0"/>
    <xf numFmtId="0" fontId="4" fillId="0" borderId="0"/>
    <xf numFmtId="0" fontId="4" fillId="0" borderId="0"/>
    <xf numFmtId="0" fontId="4" fillId="15" borderId="20" applyNumberFormat="0" applyFont="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93" fillId="0" borderId="0"/>
    <xf numFmtId="0" fontId="93" fillId="0" borderId="0"/>
    <xf numFmtId="0" fontId="93" fillId="0" borderId="0"/>
    <xf numFmtId="0" fontId="93" fillId="0" borderId="0"/>
    <xf numFmtId="0" fontId="6" fillId="0" borderId="0"/>
    <xf numFmtId="167" fontId="4" fillId="0" borderId="0" applyFont="0" applyFill="0" applyBorder="0" applyAlignment="0" applyProtection="0"/>
    <xf numFmtId="0" fontId="148" fillId="0" borderId="0"/>
    <xf numFmtId="167" fontId="148" fillId="0" borderId="0" applyFont="0" applyFill="0" applyBorder="0" applyAlignment="0" applyProtection="0"/>
  </cellStyleXfs>
  <cellXfs count="692">
    <xf numFmtId="0" fontId="0" fillId="0" borderId="0" xfId="0"/>
    <xf numFmtId="0" fontId="6" fillId="0" borderId="0" xfId="1" applyFont="1"/>
    <xf numFmtId="0" fontId="9" fillId="0" borderId="0" xfId="2" applyFont="1" applyBorder="1"/>
    <xf numFmtId="0" fontId="6" fillId="0" borderId="5" xfId="0" applyFont="1" applyBorder="1"/>
    <xf numFmtId="0" fontId="6" fillId="0" borderId="0" xfId="0" applyFont="1"/>
    <xf numFmtId="0" fontId="6" fillId="0" borderId="0" xfId="0" applyFont="1" applyBorder="1"/>
    <xf numFmtId="0" fontId="6" fillId="0" borderId="7" xfId="0" applyFont="1" applyBorder="1"/>
    <xf numFmtId="0" fontId="6" fillId="0" borderId="9" xfId="0" applyFont="1" applyBorder="1"/>
    <xf numFmtId="0" fontId="10" fillId="5" borderId="2" xfId="0" applyFont="1" applyFill="1" applyBorder="1"/>
    <xf numFmtId="0" fontId="12" fillId="3" borderId="0" xfId="2" applyFont="1" applyFill="1" applyBorder="1" applyAlignment="1">
      <alignment horizontal="right"/>
    </xf>
    <xf numFmtId="0" fontId="12" fillId="3" borderId="1" xfId="2" applyFont="1" applyFill="1" applyBorder="1" applyAlignment="1">
      <alignment horizontal="right"/>
    </xf>
    <xf numFmtId="0" fontId="8" fillId="0" borderId="0" xfId="4"/>
    <xf numFmtId="0" fontId="8" fillId="0" borderId="0" xfId="4" applyAlignment="1">
      <alignment horizontal="right"/>
    </xf>
    <xf numFmtId="0" fontId="13" fillId="0" borderId="0" xfId="4" applyFont="1"/>
    <xf numFmtId="0" fontId="11" fillId="0" borderId="0" xfId="4" applyFont="1" applyAlignment="1">
      <alignment horizontal="right"/>
    </xf>
    <xf numFmtId="0" fontId="11" fillId="0" borderId="10" xfId="4" applyFont="1" applyBorder="1" applyAlignment="1">
      <alignment horizontal="right"/>
    </xf>
    <xf numFmtId="0" fontId="11" fillId="0" borderId="2" xfId="4" applyFont="1" applyBorder="1" applyAlignment="1">
      <alignment horizontal="right"/>
    </xf>
    <xf numFmtId="0" fontId="11" fillId="0" borderId="11" xfId="4" applyFont="1" applyBorder="1" applyAlignment="1">
      <alignment horizontal="right"/>
    </xf>
    <xf numFmtId="10" fontId="8" fillId="0" borderId="0" xfId="4" applyNumberFormat="1" applyAlignment="1">
      <alignment horizontal="right"/>
    </xf>
    <xf numFmtId="0" fontId="12" fillId="3" borderId="4" xfId="4" applyFont="1" applyFill="1" applyBorder="1" applyAlignment="1">
      <alignment horizontal="right"/>
    </xf>
    <xf numFmtId="0" fontId="10" fillId="5" borderId="2" xfId="0" applyFont="1" applyFill="1" applyBorder="1" applyAlignment="1">
      <alignment horizontal="right" indent="1"/>
    </xf>
    <xf numFmtId="0" fontId="6" fillId="0" borderId="0" xfId="0" applyFont="1" applyAlignment="1">
      <alignment horizontal="right" indent="1"/>
    </xf>
    <xf numFmtId="170" fontId="6" fillId="0" borderId="0" xfId="0" applyNumberFormat="1" applyFont="1" applyAlignment="1">
      <alignment horizontal="right" indent="1"/>
    </xf>
    <xf numFmtId="0" fontId="8" fillId="0" borderId="0" xfId="1" applyFont="1"/>
    <xf numFmtId="0" fontId="8" fillId="0" borderId="0" xfId="1" applyFont="1" applyBorder="1"/>
    <xf numFmtId="0" fontId="11" fillId="0" borderId="12" xfId="4" applyFont="1" applyBorder="1"/>
    <xf numFmtId="0" fontId="11" fillId="0" borderId="12" xfId="1" applyFont="1" applyBorder="1"/>
    <xf numFmtId="0" fontId="8" fillId="0" borderId="12" xfId="1" applyFont="1" applyBorder="1"/>
    <xf numFmtId="0" fontId="11" fillId="0" borderId="12" xfId="1" applyFont="1" applyBorder="1" applyAlignment="1">
      <alignment horizontal="right"/>
    </xf>
    <xf numFmtId="0" fontId="9" fillId="0" borderId="0" xfId="4" applyFont="1" applyAlignment="1">
      <alignment horizontal="center"/>
    </xf>
    <xf numFmtId="0" fontId="9" fillId="4" borderId="0" xfId="4" applyFont="1" applyFill="1" applyAlignment="1">
      <alignment horizontal="center"/>
    </xf>
    <xf numFmtId="0" fontId="6" fillId="4" borderId="0" xfId="1" applyFont="1" applyFill="1"/>
    <xf numFmtId="0" fontId="9" fillId="0" borderId="0" xfId="5" quotePrefix="1" applyFont="1" applyBorder="1" applyAlignment="1" applyProtection="1">
      <alignment horizontal="left"/>
    </xf>
    <xf numFmtId="0" fontId="9" fillId="0" borderId="0" xfId="1" applyFont="1" applyBorder="1"/>
    <xf numFmtId="0" fontId="9" fillId="4" borderId="0" xfId="1" applyFont="1" applyFill="1" applyBorder="1"/>
    <xf numFmtId="0" fontId="9" fillId="4" borderId="0" xfId="2" applyFont="1" applyFill="1" applyBorder="1"/>
    <xf numFmtId="0" fontId="9" fillId="0" borderId="0" xfId="1" applyFont="1"/>
    <xf numFmtId="0" fontId="9" fillId="0" borderId="0" xfId="4" applyFont="1"/>
    <xf numFmtId="0" fontId="12" fillId="0" borderId="0" xfId="4" applyFont="1" applyBorder="1"/>
    <xf numFmtId="0" fontId="12" fillId="0" borderId="1" xfId="4" applyFont="1" applyBorder="1" applyAlignment="1">
      <alignment horizontal="left"/>
    </xf>
    <xf numFmtId="0" fontId="12" fillId="0" borderId="1" xfId="4" applyFont="1" applyBorder="1"/>
    <xf numFmtId="0" fontId="9" fillId="6" borderId="0" xfId="2" applyFont="1" applyFill="1"/>
    <xf numFmtId="4" fontId="12" fillId="7" borderId="0" xfId="2" applyNumberFormat="1" applyFont="1" applyFill="1"/>
    <xf numFmtId="0" fontId="9" fillId="0" borderId="0" xfId="1" applyFont="1" applyAlignment="1">
      <alignment horizontal="left"/>
    </xf>
    <xf numFmtId="0" fontId="9" fillId="0" borderId="0" xfId="4" applyFont="1" applyAlignment="1">
      <alignment horizontal="left"/>
    </xf>
    <xf numFmtId="0" fontId="9" fillId="4" borderId="0" xfId="1" applyFont="1" applyFill="1" applyAlignment="1">
      <alignment horizontal="left"/>
    </xf>
    <xf numFmtId="0" fontId="9" fillId="4" borderId="0" xfId="4" applyFont="1" applyFill="1" applyAlignment="1">
      <alignment horizontal="left"/>
    </xf>
    <xf numFmtId="0" fontId="5" fillId="0" borderId="0" xfId="0" applyFont="1"/>
    <xf numFmtId="0" fontId="0" fillId="0" borderId="0" xfId="0" quotePrefix="1"/>
    <xf numFmtId="0" fontId="12" fillId="6" borderId="0" xfId="2" applyFont="1" applyFill="1"/>
    <xf numFmtId="0" fontId="10" fillId="5" borderId="2" xfId="0" applyFont="1" applyFill="1" applyBorder="1" applyAlignment="1">
      <alignment horizontal="right" indent="2"/>
    </xf>
    <xf numFmtId="0" fontId="6" fillId="0" borderId="0" xfId="0" applyFont="1" applyAlignment="1">
      <alignment horizontal="right" indent="2"/>
    </xf>
    <xf numFmtId="0" fontId="12" fillId="2" borderId="12" xfId="2" applyFont="1" applyFill="1" applyBorder="1"/>
    <xf numFmtId="0" fontId="12" fillId="3" borderId="5" xfId="4" applyFont="1" applyFill="1" applyBorder="1" applyAlignment="1">
      <alignment horizontal="right"/>
    </xf>
    <xf numFmtId="0" fontId="12" fillId="3" borderId="7" xfId="2" applyFont="1" applyFill="1" applyBorder="1" applyAlignment="1">
      <alignment horizontal="right"/>
    </xf>
    <xf numFmtId="0" fontId="12" fillId="3" borderId="9" xfId="2" applyFont="1" applyFill="1" applyBorder="1" applyAlignment="1">
      <alignment horizontal="right"/>
    </xf>
    <xf numFmtId="174" fontId="8" fillId="0" borderId="4" xfId="4" applyNumberFormat="1" applyFont="1" applyBorder="1" applyAlignment="1">
      <alignment horizontal="right"/>
    </xf>
    <xf numFmtId="170" fontId="8" fillId="0" borderId="4" xfId="4" applyNumberFormat="1" applyFont="1" applyBorder="1" applyAlignment="1">
      <alignment horizontal="right"/>
    </xf>
    <xf numFmtId="170" fontId="8" fillId="0" borderId="5" xfId="4" applyNumberFormat="1" applyFont="1" applyBorder="1" applyAlignment="1">
      <alignment horizontal="right"/>
    </xf>
    <xf numFmtId="174" fontId="8" fillId="4" borderId="0" xfId="4" applyNumberFormat="1" applyFont="1" applyFill="1" applyBorder="1" applyAlignment="1">
      <alignment horizontal="right"/>
    </xf>
    <xf numFmtId="170" fontId="8" fillId="4" borderId="0" xfId="4" applyNumberFormat="1" applyFont="1" applyFill="1" applyBorder="1" applyAlignment="1">
      <alignment horizontal="right"/>
    </xf>
    <xf numFmtId="170" fontId="8" fillId="4" borderId="7" xfId="4" applyNumberFormat="1" applyFont="1" applyFill="1" applyBorder="1" applyAlignment="1">
      <alignment horizontal="right"/>
    </xf>
    <xf numFmtId="174" fontId="8" fillId="0" borderId="0" xfId="4" applyNumberFormat="1" applyFont="1" applyBorder="1" applyAlignment="1">
      <alignment horizontal="right"/>
    </xf>
    <xf numFmtId="174" fontId="8" fillId="0" borderId="7" xfId="4" applyNumberFormat="1" applyFont="1" applyBorder="1" applyAlignment="1">
      <alignment horizontal="right"/>
    </xf>
    <xf numFmtId="170" fontId="8" fillId="0" borderId="0" xfId="4" applyNumberFormat="1" applyFont="1" applyBorder="1" applyAlignment="1">
      <alignment horizontal="right"/>
    </xf>
    <xf numFmtId="170" fontId="8" fillId="0" borderId="7" xfId="4" applyNumberFormat="1" applyFont="1" applyBorder="1" applyAlignment="1">
      <alignment horizontal="right"/>
    </xf>
    <xf numFmtId="174" fontId="8" fillId="0" borderId="1" xfId="4" applyNumberFormat="1" applyFont="1" applyBorder="1" applyAlignment="1">
      <alignment horizontal="right"/>
    </xf>
    <xf numFmtId="170" fontId="8" fillId="0" borderId="1" xfId="4" applyNumberFormat="1" applyFont="1" applyBorder="1" applyAlignment="1">
      <alignment horizontal="right"/>
    </xf>
    <xf numFmtId="170" fontId="8" fillId="0" borderId="9" xfId="4" applyNumberFormat="1" applyFont="1" applyBorder="1" applyAlignment="1">
      <alignment horizontal="right"/>
    </xf>
    <xf numFmtId="0" fontId="11" fillId="0" borderId="4" xfId="4" applyFont="1" applyBorder="1" applyAlignment="1">
      <alignment horizontal="right"/>
    </xf>
    <xf numFmtId="0" fontId="8" fillId="0" borderId="4" xfId="4" applyBorder="1" applyAlignment="1">
      <alignment horizontal="right"/>
    </xf>
    <xf numFmtId="0" fontId="8" fillId="0" borderId="5" xfId="4" applyBorder="1" applyAlignment="1">
      <alignment horizontal="right"/>
    </xf>
    <xf numFmtId="175" fontId="8" fillId="40" borderId="0" xfId="4" applyNumberFormat="1" applyFont="1" applyFill="1" applyBorder="1" applyAlignment="1">
      <alignment horizontal="right"/>
    </xf>
    <xf numFmtId="175" fontId="8" fillId="40" borderId="7" xfId="4" applyNumberFormat="1" applyFont="1" applyFill="1" applyBorder="1" applyAlignment="1">
      <alignment horizontal="right"/>
    </xf>
    <xf numFmtId="0" fontId="8" fillId="0" borderId="0" xfId="4" applyAlignment="1">
      <alignment horizontal="left" indent="1"/>
    </xf>
    <xf numFmtId="0" fontId="8" fillId="3" borderId="3" xfId="4" applyFill="1" applyBorder="1" applyAlignment="1">
      <alignment horizontal="left" indent="1"/>
    </xf>
    <xf numFmtId="0" fontId="8" fillId="3" borderId="6" xfId="4" applyFill="1" applyBorder="1" applyAlignment="1">
      <alignment horizontal="left" indent="1"/>
    </xf>
    <xf numFmtId="0" fontId="11" fillId="3" borderId="8" xfId="4" applyFont="1" applyFill="1" applyBorder="1" applyAlignment="1">
      <alignment horizontal="left" indent="1"/>
    </xf>
    <xf numFmtId="0" fontId="11" fillId="2" borderId="10" xfId="4" applyFont="1" applyFill="1" applyBorder="1" applyAlignment="1">
      <alignment horizontal="left" indent="1"/>
    </xf>
    <xf numFmtId="0" fontId="11" fillId="3" borderId="3" xfId="4" applyFont="1" applyFill="1" applyBorder="1" applyAlignment="1">
      <alignment horizontal="left" indent="1"/>
    </xf>
    <xf numFmtId="0" fontId="13" fillId="0" borderId="3" xfId="4" applyFont="1" applyBorder="1" applyAlignment="1">
      <alignment horizontal="left" indent="1"/>
    </xf>
    <xf numFmtId="0" fontId="13" fillId="40" borderId="6" xfId="4" applyFont="1" applyFill="1" applyBorder="1" applyAlignment="1">
      <alignment horizontal="left" indent="1"/>
    </xf>
    <xf numFmtId="0" fontId="13" fillId="0" borderId="6" xfId="4" applyFont="1" applyBorder="1" applyAlignment="1">
      <alignment horizontal="left" indent="1"/>
    </xf>
    <xf numFmtId="0" fontId="13" fillId="40" borderId="8" xfId="4" applyFont="1" applyFill="1" applyBorder="1" applyAlignment="1">
      <alignment horizontal="left" indent="1"/>
    </xf>
    <xf numFmtId="0" fontId="13" fillId="4" borderId="6" xfId="4" applyFont="1" applyFill="1" applyBorder="1" applyAlignment="1">
      <alignment horizontal="left" indent="1"/>
    </xf>
    <xf numFmtId="0" fontId="13" fillId="0" borderId="8" xfId="4" applyFont="1" applyBorder="1" applyAlignment="1">
      <alignment horizontal="left" indent="1"/>
    </xf>
    <xf numFmtId="0" fontId="11" fillId="2" borderId="2" xfId="4" applyFont="1" applyFill="1" applyBorder="1" applyAlignment="1"/>
    <xf numFmtId="0" fontId="11" fillId="2" borderId="11" xfId="4" applyFont="1" applyFill="1" applyBorder="1" applyAlignment="1"/>
    <xf numFmtId="0" fontId="8" fillId="5" borderId="8" xfId="4" applyFill="1" applyBorder="1"/>
    <xf numFmtId="0" fontId="8" fillId="5" borderId="1" xfId="4" applyFill="1" applyBorder="1"/>
    <xf numFmtId="0" fontId="8" fillId="5" borderId="9" xfId="4" applyFill="1" applyBorder="1"/>
    <xf numFmtId="0" fontId="8" fillId="67" borderId="6" xfId="4" applyFill="1" applyBorder="1"/>
    <xf numFmtId="0" fontId="8" fillId="67" borderId="0" xfId="4" applyFill="1" applyBorder="1"/>
    <xf numFmtId="0" fontId="8" fillId="67" borderId="7" xfId="4" applyFill="1" applyBorder="1"/>
    <xf numFmtId="0" fontId="8" fillId="68" borderId="3" xfId="4" applyFill="1" applyBorder="1"/>
    <xf numFmtId="0" fontId="8" fillId="68" borderId="4" xfId="4" applyFill="1" applyBorder="1"/>
    <xf numFmtId="0" fontId="8" fillId="68" borderId="5" xfId="4" applyFill="1" applyBorder="1"/>
    <xf numFmtId="0" fontId="62" fillId="0" borderId="10" xfId="4" applyFont="1" applyBorder="1" applyAlignment="1">
      <alignment vertical="center"/>
    </xf>
    <xf numFmtId="0" fontId="62" fillId="0" borderId="2" xfId="4" applyFont="1" applyBorder="1" applyAlignment="1">
      <alignment vertical="center"/>
    </xf>
    <xf numFmtId="0" fontId="62" fillId="0" borderId="11" xfId="4" applyFont="1" applyBorder="1" applyAlignment="1">
      <alignment vertical="center"/>
    </xf>
    <xf numFmtId="0" fontId="63" fillId="68" borderId="4" xfId="4" applyFont="1" applyFill="1" applyBorder="1"/>
    <xf numFmtId="0" fontId="63" fillId="67" borderId="0" xfId="4" applyFont="1" applyFill="1" applyBorder="1"/>
    <xf numFmtId="0" fontId="63" fillId="5" borderId="1" xfId="4" applyFont="1" applyFill="1" applyBorder="1"/>
    <xf numFmtId="181" fontId="62" fillId="0" borderId="2" xfId="4" applyNumberFormat="1" applyFont="1" applyBorder="1" applyAlignment="1">
      <alignment horizontal="left" vertical="center"/>
    </xf>
    <xf numFmtId="0" fontId="10" fillId="0" borderId="0" xfId="0" applyFont="1"/>
    <xf numFmtId="0" fontId="11" fillId="0" borderId="1" xfId="4" applyFont="1" applyBorder="1"/>
    <xf numFmtId="0" fontId="12" fillId="5" borderId="1" xfId="1" applyFont="1" applyFill="1" applyBorder="1"/>
    <xf numFmtId="0" fontId="12" fillId="5" borderId="1" xfId="4" applyFont="1" applyFill="1" applyBorder="1"/>
    <xf numFmtId="0" fontId="64" fillId="0" borderId="0" xfId="4" applyFont="1" applyAlignment="1">
      <alignment horizontal="right" indent="2"/>
    </xf>
    <xf numFmtId="0" fontId="64" fillId="4" borderId="0" xfId="4" applyFont="1" applyFill="1" applyAlignment="1">
      <alignment horizontal="right" indent="2"/>
    </xf>
    <xf numFmtId="0" fontId="8" fillId="0" borderId="7" xfId="4" applyBorder="1" applyAlignment="1">
      <alignment horizontal="right"/>
    </xf>
    <xf numFmtId="182" fontId="8" fillId="4" borderId="0" xfId="4" applyNumberFormat="1" applyFont="1" applyFill="1" applyBorder="1" applyAlignment="1">
      <alignment horizontal="right"/>
    </xf>
    <xf numFmtId="182" fontId="8" fillId="0" borderId="4" xfId="4" applyNumberFormat="1" applyFont="1" applyBorder="1" applyAlignment="1">
      <alignment horizontal="right"/>
    </xf>
    <xf numFmtId="182" fontId="8" fillId="0" borderId="0" xfId="4" applyNumberFormat="1" applyFont="1" applyBorder="1" applyAlignment="1">
      <alignment horizontal="right"/>
    </xf>
    <xf numFmtId="0" fontId="8" fillId="0" borderId="0" xfId="4" applyBorder="1" applyAlignment="1">
      <alignment horizontal="right"/>
    </xf>
    <xf numFmtId="182" fontId="8" fillId="0" borderId="1" xfId="4" applyNumberFormat="1" applyFont="1" applyBorder="1" applyAlignment="1">
      <alignment horizontal="right"/>
    </xf>
    <xf numFmtId="0" fontId="12" fillId="3" borderId="0" xfId="4" applyFont="1" applyFill="1" applyBorder="1" applyAlignment="1">
      <alignment horizontal="right"/>
    </xf>
    <xf numFmtId="0" fontId="12" fillId="3" borderId="7" xfId="4" applyFont="1" applyFill="1" applyBorder="1" applyAlignment="1">
      <alignment horizontal="right"/>
    </xf>
    <xf numFmtId="0" fontId="12" fillId="3" borderId="1" xfId="2" applyFont="1" applyFill="1" applyBorder="1" applyAlignment="1">
      <alignment horizontal="right"/>
    </xf>
    <xf numFmtId="0" fontId="12" fillId="3" borderId="9" xfId="2" applyFont="1" applyFill="1" applyBorder="1" applyAlignment="1">
      <alignment horizontal="right"/>
    </xf>
    <xf numFmtId="0" fontId="12" fillId="3" borderId="0" xfId="2" applyFont="1" applyFill="1" applyBorder="1" applyAlignment="1">
      <alignment horizontal="right"/>
    </xf>
    <xf numFmtId="0" fontId="12" fillId="3" borderId="7" xfId="2" applyFont="1" applyFill="1" applyBorder="1" applyAlignment="1">
      <alignment horizontal="right"/>
    </xf>
    <xf numFmtId="0" fontId="10" fillId="0" borderId="0" xfId="0" applyFont="1" applyBorder="1"/>
    <xf numFmtId="172" fontId="6" fillId="0" borderId="0" xfId="0" applyNumberFormat="1" applyFont="1"/>
    <xf numFmtId="0" fontId="10" fillId="5" borderId="2" xfId="0" applyFont="1" applyFill="1" applyBorder="1" applyAlignment="1">
      <alignment horizontal="center"/>
    </xf>
    <xf numFmtId="183" fontId="6" fillId="0" borderId="0" xfId="0" applyNumberFormat="1" applyFont="1"/>
    <xf numFmtId="169" fontId="6" fillId="0" borderId="0" xfId="0" applyNumberFormat="1" applyFont="1"/>
    <xf numFmtId="0" fontId="67" fillId="0" borderId="0" xfId="4" applyFont="1"/>
    <xf numFmtId="172" fontId="8" fillId="0" borderId="0" xfId="4" applyNumberFormat="1" applyAlignment="1">
      <alignment horizontal="right"/>
    </xf>
    <xf numFmtId="0" fontId="11" fillId="0" borderId="1" xfId="4" applyFont="1" applyBorder="1" applyAlignment="1">
      <alignment horizontal="right"/>
    </xf>
    <xf numFmtId="172" fontId="8" fillId="0" borderId="0" xfId="4" applyNumberFormat="1"/>
    <xf numFmtId="174" fontId="8" fillId="0" borderId="0" xfId="4" applyNumberFormat="1"/>
    <xf numFmtId="0" fontId="11" fillId="0" borderId="0" xfId="4" applyFont="1"/>
    <xf numFmtId="0" fontId="12" fillId="5" borderId="4" xfId="4" applyFont="1" applyFill="1" applyBorder="1" applyAlignment="1">
      <alignment horizontal="right"/>
    </xf>
    <xf numFmtId="174" fontId="8" fillId="40" borderId="0" xfId="4" applyNumberFormat="1" applyFont="1" applyFill="1" applyBorder="1" applyAlignment="1">
      <alignment horizontal="right"/>
    </xf>
    <xf numFmtId="174" fontId="8" fillId="40" borderId="7" xfId="4" applyNumberFormat="1" applyFont="1" applyFill="1" applyBorder="1" applyAlignment="1">
      <alignment horizontal="right"/>
    </xf>
    <xf numFmtId="174" fontId="8" fillId="40" borderId="1" xfId="4" applyNumberFormat="1" applyFont="1" applyFill="1" applyBorder="1" applyAlignment="1">
      <alignment horizontal="right"/>
    </xf>
    <xf numFmtId="174" fontId="8" fillId="40" borderId="9" xfId="4" applyNumberFormat="1" applyFont="1" applyFill="1" applyBorder="1" applyAlignment="1">
      <alignment horizontal="right"/>
    </xf>
    <xf numFmtId="170" fontId="8" fillId="40" borderId="0" xfId="4" applyNumberFormat="1" applyFont="1" applyFill="1" applyBorder="1" applyAlignment="1">
      <alignment horizontal="right"/>
    </xf>
    <xf numFmtId="170" fontId="8" fillId="40" borderId="7" xfId="4" applyNumberFormat="1" applyFont="1" applyFill="1" applyBorder="1" applyAlignment="1">
      <alignment horizontal="right"/>
    </xf>
    <xf numFmtId="170" fontId="8" fillId="40" borderId="1" xfId="4" applyNumberFormat="1" applyFont="1" applyFill="1" applyBorder="1" applyAlignment="1">
      <alignment horizontal="right"/>
    </xf>
    <xf numFmtId="170" fontId="8" fillId="40" borderId="9" xfId="4" applyNumberFormat="1" applyFont="1" applyFill="1" applyBorder="1" applyAlignment="1">
      <alignment horizontal="right"/>
    </xf>
    <xf numFmtId="0" fontId="20" fillId="0" borderId="3" xfId="0" applyFont="1" applyBorder="1"/>
    <xf numFmtId="2" fontId="6" fillId="0" borderId="0" xfId="0" applyNumberFormat="1" applyFont="1"/>
    <xf numFmtId="188" fontId="6" fillId="0" borderId="0" xfId="0" applyNumberFormat="1" applyFont="1"/>
    <xf numFmtId="0" fontId="69" fillId="0" borderId="1" xfId="0" applyFont="1" applyBorder="1" applyAlignment="1">
      <alignment horizontal="right"/>
    </xf>
    <xf numFmtId="190" fontId="8" fillId="0" borderId="4" xfId="4" applyNumberFormat="1" applyFont="1" applyBorder="1" applyAlignment="1">
      <alignment horizontal="right"/>
    </xf>
    <xf numFmtId="190" fontId="8" fillId="4" borderId="0" xfId="4" applyNumberFormat="1" applyFont="1" applyFill="1" applyBorder="1" applyAlignment="1">
      <alignment horizontal="right"/>
    </xf>
    <xf numFmtId="190" fontId="8" fillId="0" borderId="1" xfId="4" applyNumberFormat="1" applyFont="1" applyBorder="1" applyAlignment="1">
      <alignment horizontal="right"/>
    </xf>
    <xf numFmtId="172" fontId="140" fillId="0" borderId="3" xfId="0" applyNumberFormat="1" applyFont="1" applyBorder="1" applyAlignment="1">
      <alignment horizontal="right"/>
    </xf>
    <xf numFmtId="172" fontId="140" fillId="0" borderId="4" xfId="0" applyNumberFormat="1" applyFont="1" applyBorder="1" applyAlignment="1">
      <alignment horizontal="right"/>
    </xf>
    <xf numFmtId="172" fontId="140" fillId="0" borderId="5" xfId="0" applyNumberFormat="1" applyFont="1" applyBorder="1" applyAlignment="1">
      <alignment horizontal="right"/>
    </xf>
    <xf numFmtId="172" fontId="140" fillId="0" borderId="6" xfId="0" applyNumberFormat="1" applyFont="1" applyBorder="1" applyAlignment="1">
      <alignment horizontal="right"/>
    </xf>
    <xf numFmtId="172" fontId="140" fillId="0" borderId="0" xfId="0" applyNumberFormat="1" applyFont="1" applyBorder="1" applyAlignment="1">
      <alignment horizontal="right"/>
    </xf>
    <xf numFmtId="172" fontId="140" fillId="0" borderId="7" xfId="0" applyNumberFormat="1" applyFont="1" applyBorder="1" applyAlignment="1">
      <alignment horizontal="right"/>
    </xf>
    <xf numFmtId="172" fontId="140" fillId="0" borderId="8" xfId="0" applyNumberFormat="1" applyFont="1" applyBorder="1" applyAlignment="1">
      <alignment horizontal="right"/>
    </xf>
    <xf numFmtId="172" fontId="140" fillId="0" borderId="1" xfId="0" applyNumberFormat="1" applyFont="1" applyBorder="1" applyAlignment="1">
      <alignment horizontal="right"/>
    </xf>
    <xf numFmtId="172" fontId="140" fillId="0" borderId="9" xfId="0" applyNumberFormat="1" applyFont="1" applyBorder="1" applyAlignment="1">
      <alignment horizontal="right"/>
    </xf>
    <xf numFmtId="0" fontId="140" fillId="0" borderId="50" xfId="0" applyFont="1" applyBorder="1"/>
    <xf numFmtId="0" fontId="140" fillId="0" borderId="36" xfId="0" applyFont="1" applyBorder="1"/>
    <xf numFmtId="0" fontId="140" fillId="0" borderId="51" xfId="0" applyFont="1" applyBorder="1"/>
    <xf numFmtId="0" fontId="11" fillId="0" borderId="50" xfId="4" applyFont="1" applyBorder="1"/>
    <xf numFmtId="0" fontId="141" fillId="0" borderId="3" xfId="0" applyFont="1" applyBorder="1" applyAlignment="1">
      <alignment horizontal="right"/>
    </xf>
    <xf numFmtId="0" fontId="11" fillId="0" borderId="5" xfId="4" applyFont="1" applyBorder="1" applyAlignment="1">
      <alignment horizontal="right"/>
    </xf>
    <xf numFmtId="0" fontId="11" fillId="0" borderId="51" xfId="4" applyFont="1" applyBorder="1"/>
    <xf numFmtId="0" fontId="11" fillId="0" borderId="8" xfId="4" applyFont="1" applyBorder="1" applyAlignment="1">
      <alignment horizontal="right"/>
    </xf>
    <xf numFmtId="0" fontId="11" fillId="0" borderId="9" xfId="4" applyFont="1" applyBorder="1" applyAlignment="1">
      <alignment horizontal="right"/>
    </xf>
    <xf numFmtId="0" fontId="11" fillId="0" borderId="50" xfId="4" applyFont="1" applyFill="1" applyBorder="1" applyAlignment="1">
      <alignment horizontal="left"/>
    </xf>
    <xf numFmtId="0" fontId="12" fillId="0" borderId="51" xfId="2" applyFont="1" applyFill="1" applyBorder="1" applyAlignment="1">
      <alignment horizontal="left"/>
    </xf>
    <xf numFmtId="0" fontId="5" fillId="2" borderId="0" xfId="0" applyFont="1" applyFill="1"/>
    <xf numFmtId="187" fontId="140" fillId="0" borderId="5" xfId="0" applyNumberFormat="1" applyFont="1" applyBorder="1" applyAlignment="1">
      <alignment horizontal="right"/>
    </xf>
    <xf numFmtId="187" fontId="140" fillId="0" borderId="9" xfId="0" applyNumberFormat="1" applyFont="1" applyBorder="1" applyAlignment="1">
      <alignment horizontal="right"/>
    </xf>
    <xf numFmtId="0" fontId="12" fillId="5" borderId="3" xfId="4" applyFont="1" applyFill="1" applyBorder="1" applyAlignment="1">
      <alignment horizontal="left" indent="1"/>
    </xf>
    <xf numFmtId="0" fontId="12" fillId="5" borderId="5" xfId="4" applyFont="1" applyFill="1" applyBorder="1" applyAlignment="1">
      <alignment horizontal="right"/>
    </xf>
    <xf numFmtId="0" fontId="12" fillId="3" borderId="6" xfId="4" applyFont="1" applyFill="1" applyBorder="1" applyAlignment="1">
      <alignment horizontal="left" indent="1"/>
    </xf>
    <xf numFmtId="0" fontId="12" fillId="3" borderId="8" xfId="4" applyFont="1" applyFill="1" applyBorder="1" applyAlignment="1">
      <alignment horizontal="left" indent="1"/>
    </xf>
    <xf numFmtId="0" fontId="11" fillId="0" borderId="50" xfId="4" applyFont="1" applyFill="1" applyBorder="1" applyAlignment="1">
      <alignment horizontal="right"/>
    </xf>
    <xf numFmtId="0" fontId="11" fillId="0" borderId="51" xfId="4" applyFont="1" applyBorder="1" applyAlignment="1">
      <alignment horizontal="right"/>
    </xf>
    <xf numFmtId="172" fontId="8" fillId="0" borderId="50" xfId="4" applyNumberFormat="1" applyBorder="1"/>
    <xf numFmtId="172" fontId="8" fillId="0" borderId="36" xfId="4" applyNumberFormat="1" applyBorder="1"/>
    <xf numFmtId="172" fontId="8" fillId="0" borderId="51" xfId="4" applyNumberFormat="1" applyBorder="1"/>
    <xf numFmtId="0" fontId="0" fillId="2" borderId="0" xfId="0" applyFill="1"/>
    <xf numFmtId="0" fontId="8" fillId="2" borderId="0" xfId="4" applyFill="1"/>
    <xf numFmtId="232" fontId="140" fillId="0" borderId="3" xfId="0" applyNumberFormat="1" applyFont="1" applyBorder="1" applyAlignment="1">
      <alignment horizontal="right"/>
    </xf>
    <xf numFmtId="232" fontId="140" fillId="0" borderId="4" xfId="0" applyNumberFormat="1" applyFont="1" applyBorder="1" applyAlignment="1">
      <alignment horizontal="right"/>
    </xf>
    <xf numFmtId="232" fontId="140" fillId="0" borderId="8" xfId="0" applyNumberFormat="1" applyFont="1" applyBorder="1" applyAlignment="1">
      <alignment horizontal="right"/>
    </xf>
    <xf numFmtId="232" fontId="140" fillId="0" borderId="1" xfId="0" applyNumberFormat="1" applyFont="1" applyBorder="1" applyAlignment="1">
      <alignment horizontal="right"/>
    </xf>
    <xf numFmtId="223" fontId="12" fillId="7" borderId="0" xfId="2" applyNumberFormat="1" applyFont="1" applyFill="1"/>
    <xf numFmtId="0" fontId="11" fillId="2" borderId="2" xfId="4" applyFont="1" applyFill="1" applyBorder="1" applyAlignment="1">
      <alignment horizontal="left" indent="1"/>
    </xf>
    <xf numFmtId="172" fontId="143" fillId="0" borderId="4" xfId="4" applyNumberFormat="1" applyFont="1" applyBorder="1" applyAlignment="1">
      <alignment horizontal="right" indent="1"/>
    </xf>
    <xf numFmtId="0" fontId="8" fillId="0" borderId="4" xfId="4" applyFont="1" applyBorder="1" applyAlignment="1">
      <alignment horizontal="right"/>
    </xf>
    <xf numFmtId="172" fontId="143" fillId="40" borderId="0" xfId="4" applyNumberFormat="1" applyFont="1" applyFill="1" applyBorder="1" applyAlignment="1">
      <alignment horizontal="right" indent="1"/>
    </xf>
    <xf numFmtId="172" fontId="143" fillId="0" borderId="0" xfId="4" applyNumberFormat="1" applyFont="1" applyBorder="1" applyAlignment="1">
      <alignment horizontal="right" indent="1"/>
    </xf>
    <xf numFmtId="172" fontId="143" fillId="40" borderId="1" xfId="4" applyNumberFormat="1" applyFont="1" applyFill="1" applyBorder="1" applyAlignment="1">
      <alignment horizontal="right" indent="1"/>
    </xf>
    <xf numFmtId="0" fontId="8" fillId="0" borderId="3" xfId="4" applyBorder="1" applyAlignment="1">
      <alignment horizontal="left" indent="1"/>
    </xf>
    <xf numFmtId="0" fontId="8" fillId="0" borderId="4" xfId="4" applyBorder="1" applyAlignment="1">
      <alignment horizontal="left" indent="1"/>
    </xf>
    <xf numFmtId="0" fontId="8" fillId="0" borderId="6" xfId="4" applyBorder="1" applyAlignment="1">
      <alignment horizontal="left" indent="1"/>
    </xf>
    <xf numFmtId="0" fontId="8" fillId="0" borderId="0" xfId="4" applyBorder="1" applyAlignment="1">
      <alignment horizontal="left" indent="1"/>
    </xf>
    <xf numFmtId="172" fontId="8" fillId="0" borderId="0" xfId="4" applyNumberFormat="1" applyBorder="1" applyAlignment="1">
      <alignment horizontal="right" indent="1"/>
    </xf>
    <xf numFmtId="172" fontId="8" fillId="0" borderId="7" xfId="4" applyNumberFormat="1" applyBorder="1" applyAlignment="1">
      <alignment horizontal="right" indent="1"/>
    </xf>
    <xf numFmtId="0" fontId="8" fillId="0" borderId="8" xfId="4" applyBorder="1" applyAlignment="1">
      <alignment horizontal="left" indent="1"/>
    </xf>
    <xf numFmtId="0" fontId="8" fillId="0" borderId="1" xfId="4" applyBorder="1" applyAlignment="1">
      <alignment horizontal="left" indent="1"/>
    </xf>
    <xf numFmtId="172" fontId="8" fillId="0" borderId="1" xfId="4" applyNumberFormat="1" applyBorder="1" applyAlignment="1">
      <alignment horizontal="right" indent="1"/>
    </xf>
    <xf numFmtId="172" fontId="8" fillId="0" borderId="9" xfId="4" applyNumberFormat="1" applyBorder="1" applyAlignment="1">
      <alignment horizontal="right" indent="1"/>
    </xf>
    <xf numFmtId="0" fontId="8" fillId="0" borderId="5" xfId="4" applyBorder="1" applyAlignment="1">
      <alignment horizontal="left" indent="1"/>
    </xf>
    <xf numFmtId="0" fontId="8" fillId="0" borderId="7" xfId="4" applyBorder="1" applyAlignment="1">
      <alignment horizontal="left" indent="1"/>
    </xf>
    <xf numFmtId="0" fontId="8" fillId="0" borderId="9" xfId="4" applyBorder="1" applyAlignment="1">
      <alignment horizontal="left" indent="1"/>
    </xf>
    <xf numFmtId="172" fontId="11" fillId="40" borderId="11" xfId="4" applyNumberFormat="1" applyFont="1" applyFill="1" applyBorder="1" applyAlignment="1">
      <alignment horizontal="right" indent="1"/>
    </xf>
    <xf numFmtId="170" fontId="8" fillId="0" borderId="4" xfId="4" applyNumberFormat="1" applyBorder="1" applyAlignment="1">
      <alignment horizontal="right" indent="1"/>
    </xf>
    <xf numFmtId="170" fontId="8" fillId="0" borderId="5" xfId="4" applyNumberFormat="1" applyBorder="1" applyAlignment="1">
      <alignment horizontal="right" indent="1"/>
    </xf>
    <xf numFmtId="170" fontId="8" fillId="0" borderId="1" xfId="4" applyNumberFormat="1" applyBorder="1" applyAlignment="1">
      <alignment horizontal="right" indent="1"/>
    </xf>
    <xf numFmtId="170" fontId="8" fillId="0" borderId="9" xfId="4" applyNumberFormat="1" applyBorder="1" applyAlignment="1">
      <alignment horizontal="right" indent="1"/>
    </xf>
    <xf numFmtId="186" fontId="8" fillId="0" borderId="1" xfId="4" applyNumberFormat="1" applyBorder="1" applyAlignment="1">
      <alignment horizontal="right" indent="1"/>
    </xf>
    <xf numFmtId="186" fontId="8" fillId="0" borderId="9" xfId="4" applyNumberFormat="1" applyBorder="1" applyAlignment="1">
      <alignment horizontal="right" indent="1"/>
    </xf>
    <xf numFmtId="0" fontId="11" fillId="0" borderId="0" xfId="4" applyFont="1" applyAlignment="1">
      <alignment horizontal="left" indent="1"/>
    </xf>
    <xf numFmtId="172" fontId="11" fillId="40" borderId="10" xfId="4" applyNumberFormat="1" applyFont="1" applyFill="1" applyBorder="1" applyAlignment="1">
      <alignment horizontal="right" indent="1"/>
    </xf>
    <xf numFmtId="172" fontId="11" fillId="40" borderId="2" xfId="4" applyNumberFormat="1" applyFont="1" applyFill="1" applyBorder="1" applyAlignment="1">
      <alignment horizontal="right" indent="1"/>
    </xf>
    <xf numFmtId="173" fontId="12" fillId="7" borderId="0" xfId="2" applyNumberFormat="1" applyFont="1" applyFill="1" applyBorder="1"/>
    <xf numFmtId="171" fontId="12" fillId="7" borderId="0" xfId="1" applyNumberFormat="1" applyFont="1" applyFill="1" applyBorder="1"/>
    <xf numFmtId="185" fontId="12" fillId="7" borderId="0" xfId="1" applyNumberFormat="1" applyFont="1" applyFill="1" applyBorder="1"/>
    <xf numFmtId="173" fontId="12" fillId="7" borderId="0" xfId="1" applyNumberFormat="1" applyFont="1" applyFill="1" applyBorder="1"/>
    <xf numFmtId="0" fontId="12" fillId="3" borderId="4" xfId="4" applyFont="1" applyFill="1" applyBorder="1" applyAlignment="1">
      <alignment horizontal="left" indent="1"/>
    </xf>
    <xf numFmtId="0" fontId="12" fillId="3" borderId="1" xfId="4" applyFont="1" applyFill="1" applyBorder="1" applyAlignment="1">
      <alignment horizontal="left" indent="1"/>
    </xf>
    <xf numFmtId="0" fontId="11" fillId="40" borderId="10" xfId="4" applyFont="1" applyFill="1" applyBorder="1" applyAlignment="1"/>
    <xf numFmtId="0" fontId="11" fillId="40" borderId="2" xfId="4" applyFont="1" applyFill="1" applyBorder="1" applyAlignment="1"/>
    <xf numFmtId="0" fontId="11" fillId="40" borderId="11" xfId="4" applyFont="1" applyFill="1" applyBorder="1" applyAlignment="1"/>
    <xf numFmtId="191" fontId="8" fillId="4" borderId="0" xfId="4" applyNumberFormat="1" applyFont="1" applyFill="1" applyBorder="1" applyAlignment="1">
      <alignment horizontal="right"/>
    </xf>
    <xf numFmtId="191" fontId="8" fillId="0" borderId="0" xfId="4" applyNumberFormat="1" applyFont="1" applyBorder="1" applyAlignment="1">
      <alignment horizontal="right"/>
    </xf>
    <xf numFmtId="10" fontId="6" fillId="0" borderId="0" xfId="0" applyNumberFormat="1" applyFont="1"/>
    <xf numFmtId="186" fontId="8" fillId="0" borderId="0" xfId="4" applyNumberFormat="1"/>
    <xf numFmtId="4" fontId="8" fillId="0" borderId="0" xfId="4" applyNumberFormat="1"/>
    <xf numFmtId="192" fontId="8" fillId="0" borderId="0" xfId="4" applyNumberFormat="1"/>
    <xf numFmtId="0" fontId="3" fillId="0" borderId="0" xfId="0" applyFont="1" applyAlignment="1">
      <alignment horizontal="right"/>
    </xf>
    <xf numFmtId="0" fontId="69" fillId="0" borderId="0" xfId="0" applyFont="1" applyBorder="1" applyAlignment="1">
      <alignment horizontal="right"/>
    </xf>
    <xf numFmtId="0" fontId="0" fillId="0" borderId="0" xfId="0" applyAlignment="1">
      <alignment horizontal="right"/>
    </xf>
    <xf numFmtId="172" fontId="0" fillId="0" borderId="0" xfId="0" applyNumberFormat="1"/>
    <xf numFmtId="2" fontId="0" fillId="0" borderId="0" xfId="0" applyNumberFormat="1"/>
    <xf numFmtId="0" fontId="2" fillId="0" borderId="0" xfId="0" applyFont="1"/>
    <xf numFmtId="172" fontId="2" fillId="0" borderId="0" xfId="0" applyNumberFormat="1" applyFont="1"/>
    <xf numFmtId="172" fontId="2" fillId="0" borderId="0" xfId="0" applyNumberFormat="1" applyFont="1" applyAlignment="1">
      <alignment horizontal="right"/>
    </xf>
    <xf numFmtId="0" fontId="145" fillId="0" borderId="0" xfId="0" applyFont="1"/>
    <xf numFmtId="0" fontId="146" fillId="0" borderId="10" xfId="0" applyFont="1" applyBorder="1" applyAlignment="1">
      <alignment horizontal="left"/>
    </xf>
    <xf numFmtId="0" fontId="146" fillId="0" borderId="2" xfId="0" applyFont="1" applyBorder="1" applyAlignment="1">
      <alignment horizontal="right"/>
    </xf>
    <xf numFmtId="192" fontId="6" fillId="0" borderId="0" xfId="0" applyNumberFormat="1" applyFont="1"/>
    <xf numFmtId="172" fontId="146" fillId="0" borderId="11" xfId="0" applyNumberFormat="1" applyFont="1" applyBorder="1" applyAlignment="1">
      <alignment horizontal="center"/>
    </xf>
    <xf numFmtId="0" fontId="147" fillId="0" borderId="0" xfId="4" applyFont="1"/>
    <xf numFmtId="0" fontId="144" fillId="0" borderId="0" xfId="4" applyFont="1"/>
    <xf numFmtId="0" fontId="144" fillId="119" borderId="3" xfId="4" applyFont="1" applyFill="1" applyBorder="1"/>
    <xf numFmtId="0" fontId="144" fillId="119" borderId="4" xfId="4" applyFont="1" applyFill="1" applyBorder="1"/>
    <xf numFmtId="0" fontId="8" fillId="119" borderId="4" xfId="4" applyFill="1" applyBorder="1"/>
    <xf numFmtId="0" fontId="8" fillId="119" borderId="5" xfId="4" applyFill="1" applyBorder="1"/>
    <xf numFmtId="0" fontId="144" fillId="119" borderId="8" xfId="4" applyFont="1" applyFill="1" applyBorder="1"/>
    <xf numFmtId="0" fontId="144" fillId="119" borderId="1" xfId="4" applyFont="1" applyFill="1" applyBorder="1"/>
    <xf numFmtId="0" fontId="8" fillId="119" borderId="1" xfId="4" applyFill="1" applyBorder="1"/>
    <xf numFmtId="0" fontId="8" fillId="119" borderId="9" xfId="4" applyFill="1" applyBorder="1"/>
    <xf numFmtId="0" fontId="1" fillId="0" borderId="3" xfId="0" applyFont="1" applyBorder="1"/>
    <xf numFmtId="0" fontId="149" fillId="0" borderId="0" xfId="4532" applyFont="1"/>
    <xf numFmtId="0" fontId="150" fillId="0" borderId="0" xfId="4532" applyFont="1"/>
    <xf numFmtId="0" fontId="151" fillId="0" borderId="0" xfId="4532" applyFont="1"/>
    <xf numFmtId="0" fontId="151" fillId="0" borderId="0" xfId="4532" applyFont="1" applyAlignment="1">
      <alignment horizontal="right" indent="1"/>
    </xf>
    <xf numFmtId="0" fontId="152" fillId="40" borderId="4" xfId="4532" applyFont="1" applyFill="1" applyBorder="1" applyAlignment="1">
      <alignment horizontal="right" indent="1"/>
    </xf>
    <xf numFmtId="0" fontId="151" fillId="3" borderId="3" xfId="4532" applyFont="1" applyFill="1" applyBorder="1"/>
    <xf numFmtId="0" fontId="151" fillId="3" borderId="50" xfId="4532" applyFont="1" applyFill="1" applyBorder="1"/>
    <xf numFmtId="0" fontId="151" fillId="3" borderId="5" xfId="4532" applyFont="1" applyFill="1" applyBorder="1"/>
    <xf numFmtId="0" fontId="155" fillId="40" borderId="0" xfId="4532" applyFont="1" applyFill="1" applyBorder="1" applyAlignment="1">
      <alignment horizontal="right" indent="1"/>
    </xf>
    <xf numFmtId="0" fontId="152" fillId="40" borderId="0" xfId="4532" applyFont="1" applyFill="1" applyBorder="1" applyAlignment="1">
      <alignment horizontal="right" indent="1"/>
    </xf>
    <xf numFmtId="0" fontId="151" fillId="3" borderId="6" xfId="4532" applyFont="1" applyFill="1" applyBorder="1"/>
    <xf numFmtId="0" fontId="151" fillId="3" borderId="36" xfId="4532" applyFont="1" applyFill="1" applyBorder="1"/>
    <xf numFmtId="0" fontId="151" fillId="3" borderId="7" xfId="4532" applyFont="1" applyFill="1" applyBorder="1"/>
    <xf numFmtId="0" fontId="151" fillId="40" borderId="1" xfId="4532" applyFont="1" applyFill="1" applyBorder="1" applyAlignment="1">
      <alignment horizontal="right" indent="1"/>
    </xf>
    <xf numFmtId="0" fontId="140" fillId="40" borderId="1" xfId="4532" applyFont="1" applyFill="1" applyBorder="1" applyAlignment="1">
      <alignment horizontal="right" indent="1"/>
    </xf>
    <xf numFmtId="235" fontId="151" fillId="3" borderId="8" xfId="4532" applyNumberFormat="1" applyFont="1" applyFill="1" applyBorder="1"/>
    <xf numFmtId="235" fontId="151" fillId="3" borderId="51" xfId="4532" applyNumberFormat="1" applyFont="1" applyFill="1" applyBorder="1"/>
    <xf numFmtId="235" fontId="151" fillId="3" borderId="9" xfId="4532" applyNumberFormat="1" applyFont="1" applyFill="1" applyBorder="1"/>
    <xf numFmtId="0" fontId="156" fillId="0" borderId="3" xfId="4532" applyFont="1" applyBorder="1"/>
    <xf numFmtId="0" fontId="156" fillId="0" borderId="4" xfId="4532" applyFont="1" applyBorder="1"/>
    <xf numFmtId="2" fontId="158" fillId="119" borderId="67" xfId="4532" applyNumberFormat="1" applyFont="1" applyFill="1" applyBorder="1" applyAlignment="1">
      <alignment horizontal="right" indent="1"/>
    </xf>
    <xf numFmtId="2" fontId="156" fillId="0" borderId="4" xfId="4532" applyNumberFormat="1" applyFont="1" applyBorder="1" applyAlignment="1">
      <alignment horizontal="right" indent="1"/>
    </xf>
    <xf numFmtId="0" fontId="156" fillId="0" borderId="4" xfId="4532" applyFont="1" applyBorder="1" applyAlignment="1">
      <alignment horizontal="right" indent="1"/>
    </xf>
    <xf numFmtId="192" fontId="156" fillId="0" borderId="5" xfId="4532" applyNumberFormat="1" applyFont="1" applyBorder="1" applyAlignment="1">
      <alignment horizontal="right" indent="1"/>
    </xf>
    <xf numFmtId="235" fontId="156" fillId="0" borderId="3" xfId="4532" applyNumberFormat="1" applyFont="1" applyBorder="1" applyAlignment="1">
      <alignment horizontal="right" indent="1"/>
    </xf>
    <xf numFmtId="235" fontId="156" fillId="0" borderId="67" xfId="4532" applyNumberFormat="1" applyFont="1" applyBorder="1" applyAlignment="1">
      <alignment horizontal="right" indent="1"/>
    </xf>
    <xf numFmtId="235" fontId="156" fillId="0" borderId="68" xfId="4532" applyNumberFormat="1" applyFont="1" applyBorder="1" applyAlignment="1">
      <alignment horizontal="right" indent="1"/>
    </xf>
    <xf numFmtId="235" fontId="156" fillId="0" borderId="5" xfId="4532" applyNumberFormat="1" applyFont="1" applyBorder="1" applyAlignment="1">
      <alignment horizontal="right" indent="1"/>
    </xf>
    <xf numFmtId="0" fontId="151" fillId="40" borderId="3" xfId="4532" applyFont="1" applyFill="1" applyBorder="1"/>
    <xf numFmtId="0" fontId="151" fillId="40" borderId="5" xfId="4532" applyFont="1" applyFill="1" applyBorder="1"/>
    <xf numFmtId="0" fontId="151" fillId="6" borderId="69" xfId="4532" applyFont="1" applyFill="1" applyBorder="1"/>
    <xf numFmtId="171" fontId="151" fillId="6" borderId="70" xfId="4532" applyNumberFormat="1" applyFont="1" applyFill="1" applyBorder="1" applyAlignment="1">
      <alignment horizontal="right" vertical="center" indent="1"/>
    </xf>
    <xf numFmtId="0" fontId="151" fillId="6" borderId="71" xfId="4532" applyFont="1" applyFill="1" applyBorder="1"/>
    <xf numFmtId="0" fontId="156" fillId="0" borderId="6" xfId="4532" applyFont="1" applyBorder="1"/>
    <xf numFmtId="0" fontId="156" fillId="0" borderId="0" xfId="4532" applyFont="1" applyBorder="1"/>
    <xf numFmtId="2" fontId="158" fillId="119" borderId="72" xfId="4532" applyNumberFormat="1" applyFont="1" applyFill="1" applyBorder="1" applyAlignment="1">
      <alignment horizontal="right" indent="1"/>
    </xf>
    <xf numFmtId="2" fontId="156" fillId="0" borderId="0" xfId="4532" applyNumberFormat="1" applyFont="1" applyBorder="1" applyAlignment="1">
      <alignment horizontal="right" indent="1"/>
    </xf>
    <xf numFmtId="0" fontId="156" fillId="0" borderId="0" xfId="4532" applyFont="1" applyBorder="1" applyAlignment="1">
      <alignment horizontal="right" indent="1"/>
    </xf>
    <xf numFmtId="192" fontId="156" fillId="0" borderId="7" xfId="4532" applyNumberFormat="1" applyFont="1" applyBorder="1" applyAlignment="1">
      <alignment horizontal="right" indent="1"/>
    </xf>
    <xf numFmtId="235" fontId="156" fillId="0" borderId="6" xfId="4532" applyNumberFormat="1" applyFont="1" applyBorder="1" applyAlignment="1">
      <alignment horizontal="right" indent="1"/>
    </xf>
    <xf numFmtId="235" fontId="156" fillId="0" borderId="72" xfId="4532" applyNumberFormat="1" applyFont="1" applyBorder="1" applyAlignment="1">
      <alignment horizontal="right" indent="1"/>
    </xf>
    <xf numFmtId="235" fontId="156" fillId="0" borderId="73" xfId="4532" applyNumberFormat="1" applyFont="1" applyBorder="1" applyAlignment="1">
      <alignment horizontal="right" indent="1"/>
    </xf>
    <xf numFmtId="235" fontId="156" fillId="0" borderId="7" xfId="4532" applyNumberFormat="1" applyFont="1" applyBorder="1" applyAlignment="1">
      <alignment horizontal="right" indent="1"/>
    </xf>
    <xf numFmtId="0" fontId="151" fillId="40" borderId="6" xfId="4532" applyFont="1" applyFill="1" applyBorder="1"/>
    <xf numFmtId="0" fontId="151" fillId="40" borderId="7" xfId="4532" applyFont="1" applyFill="1" applyBorder="1"/>
    <xf numFmtId="0" fontId="151" fillId="6" borderId="74" xfId="4532" applyFont="1" applyFill="1" applyBorder="1"/>
    <xf numFmtId="171" fontId="151" fillId="6" borderId="75" xfId="4532" applyNumberFormat="1" applyFont="1" applyFill="1" applyBorder="1" applyAlignment="1">
      <alignment horizontal="right" vertical="center" indent="1"/>
    </xf>
    <xf numFmtId="0" fontId="151" fillId="6" borderId="76" xfId="4532" applyFont="1" applyFill="1" applyBorder="1"/>
    <xf numFmtId="0" fontId="156" fillId="0" borderId="77" xfId="4532" applyFont="1" applyBorder="1"/>
    <xf numFmtId="0" fontId="156" fillId="0" borderId="57" xfId="4532" applyFont="1" applyBorder="1"/>
    <xf numFmtId="2" fontId="158" fillId="119" borderId="78" xfId="4532" applyNumberFormat="1" applyFont="1" applyFill="1" applyBorder="1" applyAlignment="1">
      <alignment horizontal="right" indent="1"/>
    </xf>
    <xf numFmtId="2" fontId="156" fillId="0" borderId="57" xfId="4532" applyNumberFormat="1" applyFont="1" applyBorder="1" applyAlignment="1">
      <alignment horizontal="right" indent="1"/>
    </xf>
    <xf numFmtId="0" fontId="156" fillId="0" borderId="57" xfId="4532" applyFont="1" applyBorder="1" applyAlignment="1">
      <alignment horizontal="right" indent="1"/>
    </xf>
    <xf numFmtId="192" fontId="156" fillId="0" borderId="79" xfId="4532" applyNumberFormat="1" applyFont="1" applyBorder="1" applyAlignment="1">
      <alignment horizontal="right" indent="1"/>
    </xf>
    <xf numFmtId="235" fontId="156" fillId="0" borderId="77" xfId="4532" applyNumberFormat="1" applyFont="1" applyBorder="1" applyAlignment="1">
      <alignment horizontal="right" indent="1"/>
    </xf>
    <xf numFmtId="235" fontId="156" fillId="0" borderId="78" xfId="4532" applyNumberFormat="1" applyFont="1" applyBorder="1" applyAlignment="1">
      <alignment horizontal="right" indent="1"/>
    </xf>
    <xf numFmtId="235" fontId="156" fillId="0" borderId="80" xfId="4532" applyNumberFormat="1" applyFont="1" applyBorder="1" applyAlignment="1">
      <alignment horizontal="right" indent="1"/>
    </xf>
    <xf numFmtId="235" fontId="156" fillId="0" borderId="79" xfId="4532" applyNumberFormat="1" applyFont="1" applyBorder="1" applyAlignment="1">
      <alignment horizontal="right" indent="1"/>
    </xf>
    <xf numFmtId="0" fontId="151" fillId="40" borderId="8" xfId="4532" applyFont="1" applyFill="1" applyBorder="1"/>
    <xf numFmtId="0" fontId="151" fillId="40" borderId="9" xfId="4532" applyFont="1" applyFill="1" applyBorder="1"/>
    <xf numFmtId="0" fontId="151" fillId="0" borderId="6" xfId="4532" applyFont="1" applyBorder="1"/>
    <xf numFmtId="0" fontId="151" fillId="0" borderId="0" xfId="4532" applyFont="1" applyBorder="1"/>
    <xf numFmtId="2" fontId="154" fillId="119" borderId="72" xfId="4532" applyNumberFormat="1" applyFont="1" applyFill="1" applyBorder="1" applyAlignment="1">
      <alignment horizontal="right" indent="1"/>
    </xf>
    <xf numFmtId="2" fontId="151" fillId="0" borderId="0" xfId="4532" applyNumberFormat="1" applyFont="1" applyBorder="1" applyAlignment="1">
      <alignment horizontal="right" indent="1"/>
    </xf>
    <xf numFmtId="0" fontId="151" fillId="0" borderId="0" xfId="4532" applyFont="1" applyBorder="1" applyAlignment="1">
      <alignment horizontal="right" indent="1"/>
    </xf>
    <xf numFmtId="192" fontId="151" fillId="0" borderId="7" xfId="4532" applyNumberFormat="1" applyFont="1" applyBorder="1" applyAlignment="1">
      <alignment horizontal="right" indent="1"/>
    </xf>
    <xf numFmtId="235" fontId="151" fillId="0" borderId="6" xfId="4532" applyNumberFormat="1" applyFont="1" applyBorder="1" applyAlignment="1">
      <alignment horizontal="right" indent="1"/>
    </xf>
    <xf numFmtId="235" fontId="151" fillId="0" borderId="72" xfId="4532" applyNumberFormat="1" applyFont="1" applyBorder="1" applyAlignment="1">
      <alignment horizontal="right" indent="1"/>
    </xf>
    <xf numFmtId="235" fontId="151" fillId="0" borderId="73" xfId="4532" applyNumberFormat="1" applyFont="1" applyBorder="1" applyAlignment="1">
      <alignment horizontal="right" indent="1"/>
    </xf>
    <xf numFmtId="235" fontId="151" fillId="0" borderId="7" xfId="4532" applyNumberFormat="1" applyFont="1" applyBorder="1" applyAlignment="1">
      <alignment horizontal="right" indent="1"/>
    </xf>
    <xf numFmtId="0" fontId="148" fillId="40" borderId="7" xfId="4532" applyFont="1" applyFill="1" applyBorder="1"/>
    <xf numFmtId="0" fontId="151" fillId="6" borderId="83" xfId="4532" applyFont="1" applyFill="1" applyBorder="1"/>
    <xf numFmtId="171" fontId="151" fillId="6" borderId="84" xfId="4532" applyNumberFormat="1" applyFont="1" applyFill="1" applyBorder="1" applyAlignment="1">
      <alignment horizontal="right" vertical="center" indent="1"/>
    </xf>
    <xf numFmtId="0" fontId="140" fillId="6" borderId="85" xfId="4532" applyFont="1" applyFill="1" applyBorder="1"/>
    <xf numFmtId="0" fontId="140" fillId="40" borderId="7" xfId="4532" applyFont="1" applyFill="1" applyBorder="1"/>
    <xf numFmtId="0" fontId="151" fillId="0" borderId="8" xfId="4532" applyFont="1" applyBorder="1"/>
    <xf numFmtId="0" fontId="151" fillId="0" borderId="1" xfId="4532" applyFont="1" applyBorder="1"/>
    <xf numFmtId="2" fontId="154" fillId="119" borderId="86" xfId="4532" applyNumberFormat="1" applyFont="1" applyFill="1" applyBorder="1" applyAlignment="1">
      <alignment horizontal="right" indent="1"/>
    </xf>
    <xf numFmtId="2" fontId="151" fillId="0" borderId="1" xfId="4532" applyNumberFormat="1" applyFont="1" applyBorder="1" applyAlignment="1">
      <alignment horizontal="right" indent="1"/>
    </xf>
    <xf numFmtId="0" fontId="151" fillId="0" borderId="1" xfId="4532" applyFont="1" applyBorder="1" applyAlignment="1">
      <alignment horizontal="right" indent="1"/>
    </xf>
    <xf numFmtId="192" fontId="151" fillId="0" borderId="9" xfId="4532" applyNumberFormat="1" applyFont="1" applyBorder="1" applyAlignment="1">
      <alignment horizontal="right" indent="1"/>
    </xf>
    <xf numFmtId="235" fontId="151" fillId="0" borderId="8" xfId="4532" applyNumberFormat="1" applyFont="1" applyBorder="1" applyAlignment="1">
      <alignment horizontal="right" indent="1"/>
    </xf>
    <xf numFmtId="235" fontId="151" fillId="0" borderId="86" xfId="4532" applyNumberFormat="1" applyFont="1" applyBorder="1" applyAlignment="1">
      <alignment horizontal="right" indent="1"/>
    </xf>
    <xf numFmtId="235" fontId="151" fillId="0" borderId="87" xfId="4532" applyNumberFormat="1" applyFont="1" applyBorder="1" applyAlignment="1">
      <alignment horizontal="right" indent="1"/>
    </xf>
    <xf numFmtId="235" fontId="151" fillId="0" borderId="9" xfId="4532" applyNumberFormat="1" applyFont="1" applyBorder="1" applyAlignment="1">
      <alignment horizontal="right" indent="1"/>
    </xf>
    <xf numFmtId="0" fontId="151" fillId="120" borderId="10" xfId="4532" applyFont="1" applyFill="1" applyBorder="1"/>
    <xf numFmtId="2" fontId="152" fillId="120" borderId="11" xfId="4532" applyNumberFormat="1" applyFont="1" applyFill="1" applyBorder="1" applyAlignment="1">
      <alignment horizontal="right" vertical="center" indent="1"/>
    </xf>
    <xf numFmtId="0" fontId="148" fillId="0" borderId="0" xfId="4532"/>
    <xf numFmtId="2" fontId="151" fillId="0" borderId="0" xfId="4532" applyNumberFormat="1" applyFont="1"/>
    <xf numFmtId="0" fontId="1" fillId="0" borderId="0" xfId="4532" applyFont="1" applyAlignment="1">
      <alignment horizontal="right" indent="1"/>
    </xf>
    <xf numFmtId="0" fontId="1" fillId="0" borderId="0" xfId="4532" applyFont="1"/>
    <xf numFmtId="0" fontId="1" fillId="118" borderId="10" xfId="4532" applyFont="1" applyFill="1" applyBorder="1" applyAlignment="1">
      <alignment horizontal="left" indent="1"/>
    </xf>
    <xf numFmtId="236" fontId="1" fillId="118" borderId="2" xfId="4532" applyNumberFormat="1" applyFont="1" applyFill="1" applyBorder="1"/>
    <xf numFmtId="0" fontId="1" fillId="118" borderId="11" xfId="4532" applyFont="1" applyFill="1" applyBorder="1"/>
    <xf numFmtId="2" fontId="1" fillId="0" borderId="0" xfId="4532" applyNumberFormat="1" applyFont="1" applyAlignment="1">
      <alignment horizontal="right" indent="1"/>
    </xf>
    <xf numFmtId="230" fontId="1" fillId="0" borderId="0" xfId="4532" applyNumberFormat="1" applyFont="1" applyAlignment="1">
      <alignment horizontal="right" indent="1"/>
    </xf>
    <xf numFmtId="0" fontId="1" fillId="40" borderId="3" xfId="4532" applyFont="1" applyFill="1" applyBorder="1" applyAlignment="1">
      <alignment horizontal="left" indent="1"/>
    </xf>
    <xf numFmtId="188" fontId="1" fillId="40" borderId="4" xfId="4532" applyNumberFormat="1" applyFont="1" applyFill="1" applyBorder="1"/>
    <xf numFmtId="0" fontId="1" fillId="40" borderId="5" xfId="4532" applyFont="1" applyFill="1" applyBorder="1"/>
    <xf numFmtId="184" fontId="1" fillId="0" borderId="0" xfId="4532" applyNumberFormat="1" applyFont="1" applyAlignment="1">
      <alignment horizontal="right" indent="1"/>
    </xf>
    <xf numFmtId="0" fontId="1" fillId="40" borderId="6" xfId="4532" applyFont="1" applyFill="1" applyBorder="1" applyAlignment="1">
      <alignment horizontal="left" indent="1"/>
    </xf>
    <xf numFmtId="188" fontId="1" fillId="40" borderId="0" xfId="4532" applyNumberFormat="1" applyFont="1" applyFill="1" applyBorder="1"/>
    <xf numFmtId="0" fontId="1" fillId="40" borderId="7" xfId="4532" applyFont="1" applyFill="1" applyBorder="1"/>
    <xf numFmtId="0" fontId="1" fillId="40" borderId="8" xfId="4532" applyFont="1" applyFill="1" applyBorder="1" applyAlignment="1">
      <alignment horizontal="left" indent="1"/>
    </xf>
    <xf numFmtId="188" fontId="1" fillId="40" borderId="1" xfId="4532" applyNumberFormat="1" applyFont="1" applyFill="1" applyBorder="1"/>
    <xf numFmtId="0" fontId="1" fillId="40" borderId="9" xfId="4532" applyFont="1" applyFill="1" applyBorder="1"/>
    <xf numFmtId="0" fontId="1" fillId="40" borderId="50" xfId="4532" applyFont="1" applyFill="1" applyBorder="1" applyAlignment="1">
      <alignment horizontal="right" indent="1"/>
    </xf>
    <xf numFmtId="0" fontId="1" fillId="40" borderId="3" xfId="4532" applyFont="1" applyFill="1" applyBorder="1"/>
    <xf numFmtId="0" fontId="1" fillId="40" borderId="88" xfId="4532" applyFont="1" applyFill="1" applyBorder="1"/>
    <xf numFmtId="0" fontId="69" fillId="121" borderId="3" xfId="4532" applyFont="1" applyFill="1" applyBorder="1" applyAlignment="1">
      <alignment horizontal="right" indent="1"/>
    </xf>
    <xf numFmtId="0" fontId="69" fillId="121" borderId="5" xfId="4532" applyFont="1" applyFill="1" applyBorder="1" applyAlignment="1">
      <alignment horizontal="right" indent="1"/>
    </xf>
    <xf numFmtId="0" fontId="69" fillId="121" borderId="50" xfId="4532" applyFont="1" applyFill="1" applyBorder="1" applyAlignment="1">
      <alignment horizontal="right" indent="1"/>
    </xf>
    <xf numFmtId="0" fontId="69" fillId="40" borderId="36" xfId="4532" applyFont="1" applyFill="1" applyBorder="1" applyAlignment="1">
      <alignment horizontal="right" indent="1"/>
    </xf>
    <xf numFmtId="0" fontId="1" fillId="40" borderId="6" xfId="4532" applyFont="1" applyFill="1" applyBorder="1" applyAlignment="1">
      <alignment horizontal="right"/>
    </xf>
    <xf numFmtId="0" fontId="1" fillId="40" borderId="89" xfId="4532" applyFont="1" applyFill="1" applyBorder="1" applyAlignment="1">
      <alignment horizontal="right"/>
    </xf>
    <xf numFmtId="0" fontId="69" fillId="118" borderId="3" xfId="4532" applyFont="1" applyFill="1" applyBorder="1" applyAlignment="1">
      <alignment horizontal="right" indent="1"/>
    </xf>
    <xf numFmtId="0" fontId="69" fillId="118" borderId="4" xfId="4532" applyFont="1" applyFill="1" applyBorder="1" applyAlignment="1">
      <alignment horizontal="right" indent="1"/>
    </xf>
    <xf numFmtId="0" fontId="69" fillId="118" borderId="5" xfId="4532" applyFont="1" applyFill="1" applyBorder="1" applyAlignment="1">
      <alignment horizontal="right" indent="1"/>
    </xf>
    <xf numFmtId="0" fontId="69" fillId="118" borderId="3" xfId="4532" applyFont="1" applyFill="1" applyBorder="1" applyAlignment="1">
      <alignment horizontal="left" indent="1"/>
    </xf>
    <xf numFmtId="0" fontId="69" fillId="121" borderId="6" xfId="4532" applyFont="1" applyFill="1" applyBorder="1" applyAlignment="1">
      <alignment horizontal="right" indent="1"/>
    </xf>
    <xf numFmtId="0" fontId="69" fillId="121" borderId="7" xfId="4532" applyFont="1" applyFill="1" applyBorder="1" applyAlignment="1">
      <alignment horizontal="right" indent="1"/>
    </xf>
    <xf numFmtId="0" fontId="69" fillId="121" borderId="36" xfId="4532" applyFont="1" applyFill="1" applyBorder="1" applyAlignment="1">
      <alignment horizontal="right" indent="1"/>
    </xf>
    <xf numFmtId="0" fontId="69" fillId="40" borderId="51" xfId="4532" applyFont="1" applyFill="1" applyBorder="1" applyAlignment="1">
      <alignment horizontal="right" indent="1"/>
    </xf>
    <xf numFmtId="0" fontId="1" fillId="40" borderId="8" xfId="4532" applyFont="1" applyFill="1" applyBorder="1"/>
    <xf numFmtId="0" fontId="1" fillId="40" borderId="90" xfId="4532" applyFont="1" applyFill="1" applyBorder="1"/>
    <xf numFmtId="0" fontId="1" fillId="118" borderId="8" xfId="4532" applyFont="1" applyFill="1" applyBorder="1" applyAlignment="1">
      <alignment horizontal="right" indent="1"/>
    </xf>
    <xf numFmtId="0" fontId="161" fillId="118" borderId="1" xfId="4532" applyFont="1" applyFill="1" applyBorder="1" applyAlignment="1">
      <alignment horizontal="right" indent="1"/>
    </xf>
    <xf numFmtId="0" fontId="1" fillId="118" borderId="1" xfId="4532" applyFont="1" applyFill="1" applyBorder="1" applyAlignment="1">
      <alignment horizontal="right" indent="1"/>
    </xf>
    <xf numFmtId="0" fontId="1" fillId="118" borderId="9" xfId="4532" applyFont="1" applyFill="1" applyBorder="1" applyAlignment="1">
      <alignment horizontal="right" indent="1"/>
    </xf>
    <xf numFmtId="0" fontId="1" fillId="121" borderId="8" xfId="4532" applyFont="1" applyFill="1" applyBorder="1" applyAlignment="1">
      <alignment horizontal="right" indent="1"/>
    </xf>
    <xf numFmtId="0" fontId="1" fillId="121" borderId="9" xfId="4532" applyFont="1" applyFill="1" applyBorder="1" applyAlignment="1">
      <alignment horizontal="right" indent="1"/>
    </xf>
    <xf numFmtId="0" fontId="1" fillId="121" borderId="51" xfId="4532" applyFont="1" applyFill="1" applyBorder="1" applyAlignment="1">
      <alignment horizontal="right" indent="1"/>
    </xf>
    <xf numFmtId="237" fontId="1" fillId="0" borderId="0" xfId="4532" applyNumberFormat="1" applyFont="1" applyAlignment="1">
      <alignment horizontal="right" indent="1"/>
    </xf>
    <xf numFmtId="231" fontId="1" fillId="0" borderId="0" xfId="4532" applyNumberFormat="1" applyFont="1" applyAlignment="1">
      <alignment horizontal="right" indent="1"/>
    </xf>
    <xf numFmtId="237" fontId="1" fillId="0" borderId="0" xfId="4532" applyNumberFormat="1" applyFont="1"/>
    <xf numFmtId="0" fontId="1" fillId="0" borderId="22" xfId="4532" applyFont="1" applyBorder="1"/>
    <xf numFmtId="0" fontId="69" fillId="0" borderId="10" xfId="4532" applyFont="1" applyBorder="1" applyAlignment="1">
      <alignment horizontal="right" indent="1"/>
    </xf>
    <xf numFmtId="0" fontId="69" fillId="0" borderId="2" xfId="4532" applyFont="1" applyBorder="1" applyAlignment="1">
      <alignment horizontal="right" indent="1"/>
    </xf>
    <xf numFmtId="0" fontId="69" fillId="0" borderId="11" xfId="4532" applyFont="1" applyBorder="1" applyAlignment="1">
      <alignment horizontal="right"/>
    </xf>
    <xf numFmtId="0" fontId="1" fillId="0" borderId="0" xfId="4532" applyFont="1" applyAlignment="1">
      <alignment horizontal="right"/>
    </xf>
    <xf numFmtId="0" fontId="69" fillId="0" borderId="50" xfId="4532" applyFont="1" applyBorder="1"/>
    <xf numFmtId="233" fontId="1" fillId="40" borderId="3" xfId="4533" applyNumberFormat="1" applyFont="1" applyFill="1" applyBorder="1" applyAlignment="1">
      <alignment horizontal="right" indent="1"/>
    </xf>
    <xf numFmtId="233" fontId="1" fillId="40" borderId="4" xfId="4533" applyNumberFormat="1" applyFont="1" applyFill="1" applyBorder="1" applyAlignment="1">
      <alignment horizontal="right" indent="1"/>
    </xf>
    <xf numFmtId="0" fontId="1" fillId="40" borderId="5" xfId="4532" applyFont="1" applyFill="1" applyBorder="1" applyAlignment="1">
      <alignment horizontal="center"/>
    </xf>
    <xf numFmtId="0" fontId="1" fillId="40" borderId="4" xfId="4532" applyFont="1" applyFill="1" applyBorder="1"/>
    <xf numFmtId="236" fontId="69" fillId="40" borderId="5" xfId="4532" applyNumberFormat="1" applyFont="1" applyFill="1" applyBorder="1" applyAlignment="1">
      <alignment horizontal="right"/>
    </xf>
    <xf numFmtId="0" fontId="69" fillId="0" borderId="51" xfId="4532" applyFont="1" applyBorder="1"/>
    <xf numFmtId="233" fontId="1" fillId="40" borderId="8" xfId="4533" applyNumberFormat="1" applyFont="1" applyFill="1" applyBorder="1" applyAlignment="1">
      <alignment horizontal="right" indent="1"/>
    </xf>
    <xf numFmtId="233" fontId="1" fillId="40" borderId="1" xfId="4533" applyNumberFormat="1" applyFont="1" applyFill="1" applyBorder="1" applyAlignment="1">
      <alignment horizontal="right" indent="1"/>
    </xf>
    <xf numFmtId="0" fontId="1" fillId="40" borderId="9" xfId="4532" applyFont="1" applyFill="1" applyBorder="1" applyAlignment="1">
      <alignment horizontal="center"/>
    </xf>
    <xf numFmtId="0" fontId="1" fillId="40" borderId="6" xfId="4532" applyFont="1" applyFill="1" applyBorder="1"/>
    <xf numFmtId="0" fontId="1" fillId="40" borderId="0" xfId="4532" applyFont="1" applyFill="1" applyBorder="1"/>
    <xf numFmtId="236" fontId="1" fillId="40" borderId="7" xfId="4532" applyNumberFormat="1" applyFont="1" applyFill="1" applyBorder="1" applyAlignment="1">
      <alignment horizontal="right"/>
    </xf>
    <xf numFmtId="238" fontId="1" fillId="0" borderId="3" xfId="4533" applyNumberFormat="1" applyFont="1" applyBorder="1"/>
    <xf numFmtId="238" fontId="1" fillId="0" borderId="4" xfId="4533" applyNumberFormat="1" applyFont="1" applyBorder="1"/>
    <xf numFmtId="238" fontId="1" fillId="0" borderId="5" xfId="4533" applyNumberFormat="1" applyFont="1" applyBorder="1"/>
    <xf numFmtId="238" fontId="1" fillId="0" borderId="8" xfId="4533" applyNumberFormat="1" applyFont="1" applyBorder="1"/>
    <xf numFmtId="238" fontId="1" fillId="0" borderId="1" xfId="4533" applyNumberFormat="1" applyFont="1" applyBorder="1"/>
    <xf numFmtId="238" fontId="1" fillId="0" borderId="9" xfId="4533" applyNumberFormat="1" applyFont="1" applyBorder="1"/>
    <xf numFmtId="0" fontId="148" fillId="0" borderId="0" xfId="4532" applyAlignment="1">
      <alignment horizontal="right"/>
    </xf>
    <xf numFmtId="0" fontId="1" fillId="0" borderId="50" xfId="4532" applyFont="1" applyBorder="1" applyAlignment="1">
      <alignment horizontal="right"/>
    </xf>
    <xf numFmtId="0" fontId="1" fillId="0" borderId="3" xfId="4532" applyFont="1" applyBorder="1" applyAlignment="1">
      <alignment horizontal="right"/>
    </xf>
    <xf numFmtId="0" fontId="1" fillId="0" borderId="10" xfId="4532" applyFont="1" applyBorder="1"/>
    <xf numFmtId="0" fontId="1" fillId="0" borderId="11" xfId="4532" applyFont="1" applyBorder="1"/>
    <xf numFmtId="0" fontId="1" fillId="0" borderId="2" xfId="4532" applyFont="1" applyBorder="1"/>
    <xf numFmtId="0" fontId="1" fillId="0" borderId="0" xfId="4532" applyFont="1" applyBorder="1"/>
    <xf numFmtId="0" fontId="69" fillId="0" borderId="36" xfId="4532" applyFont="1" applyBorder="1" applyAlignment="1">
      <alignment horizontal="right"/>
    </xf>
    <xf numFmtId="0" fontId="69" fillId="0" borderId="6" xfId="4532" applyFont="1" applyBorder="1" applyAlignment="1">
      <alignment horizontal="right"/>
    </xf>
    <xf numFmtId="237" fontId="69" fillId="0" borderId="3" xfId="4532" applyNumberFormat="1" applyFont="1" applyBorder="1" applyAlignment="1">
      <alignment horizontal="right"/>
    </xf>
    <xf numFmtId="237" fontId="69" fillId="0" borderId="4" xfId="4532" applyNumberFormat="1" applyFont="1" applyBorder="1" applyAlignment="1">
      <alignment horizontal="right"/>
    </xf>
    <xf numFmtId="236" fontId="69" fillId="0" borderId="5" xfId="4532" applyNumberFormat="1" applyFont="1" applyBorder="1" applyAlignment="1">
      <alignment horizontal="right"/>
    </xf>
    <xf numFmtId="236" fontId="69" fillId="0" borderId="5" xfId="4532" applyNumberFormat="1" applyFont="1" applyBorder="1"/>
    <xf numFmtId="237" fontId="69" fillId="0" borderId="0" xfId="4532" applyNumberFormat="1" applyFont="1" applyBorder="1" applyAlignment="1">
      <alignment horizontal="right"/>
    </xf>
    <xf numFmtId="237" fontId="1" fillId="0" borderId="0" xfId="4532" applyNumberFormat="1" applyFont="1" applyBorder="1" applyAlignment="1">
      <alignment horizontal="right"/>
    </xf>
    <xf numFmtId="0" fontId="1" fillId="0" borderId="51" xfId="4532" applyFont="1" applyBorder="1" applyAlignment="1">
      <alignment horizontal="right"/>
    </xf>
    <xf numFmtId="0" fontId="1" fillId="0" borderId="8" xfId="4532" applyFont="1" applyBorder="1" applyAlignment="1">
      <alignment horizontal="right"/>
    </xf>
    <xf numFmtId="237" fontId="1" fillId="0" borderId="8" xfId="4532" applyNumberFormat="1" applyFont="1" applyBorder="1" applyAlignment="1">
      <alignment horizontal="right"/>
    </xf>
    <xf numFmtId="237" fontId="1" fillId="0" borderId="1" xfId="4532" applyNumberFormat="1" applyFont="1" applyBorder="1" applyAlignment="1">
      <alignment horizontal="right"/>
    </xf>
    <xf numFmtId="236" fontId="1" fillId="0" borderId="9" xfId="4532" applyNumberFormat="1" applyFont="1" applyBorder="1" applyAlignment="1">
      <alignment horizontal="right"/>
    </xf>
    <xf numFmtId="236" fontId="1" fillId="0" borderId="9" xfId="4532" applyNumberFormat="1" applyFont="1" applyBorder="1"/>
    <xf numFmtId="239" fontId="1" fillId="0" borderId="0" xfId="4532" applyNumberFormat="1" applyFont="1"/>
    <xf numFmtId="240" fontId="1" fillId="0" borderId="0" xfId="4532" applyNumberFormat="1" applyFont="1" applyAlignment="1">
      <alignment horizontal="right"/>
    </xf>
    <xf numFmtId="237" fontId="1" fillId="0" borderId="0" xfId="4532" applyNumberFormat="1" applyFont="1" applyAlignment="1">
      <alignment horizontal="right"/>
    </xf>
    <xf numFmtId="236" fontId="1" fillId="0" borderId="0" xfId="4532" applyNumberFormat="1" applyFont="1" applyAlignment="1">
      <alignment horizontal="right"/>
    </xf>
    <xf numFmtId="236" fontId="1" fillId="0" borderId="0" xfId="4532" applyNumberFormat="1" applyFont="1"/>
    <xf numFmtId="2" fontId="1" fillId="0" borderId="0" xfId="4532" applyNumberFormat="1" applyFont="1"/>
    <xf numFmtId="0" fontId="140" fillId="0" borderId="0" xfId="4532" applyFont="1"/>
    <xf numFmtId="0" fontId="69" fillId="0" borderId="10" xfId="4532" applyFont="1" applyBorder="1"/>
    <xf numFmtId="0" fontId="69" fillId="0" borderId="2" xfId="4532" applyFont="1" applyBorder="1"/>
    <xf numFmtId="0" fontId="69" fillId="0" borderId="2" xfId="4532" applyFont="1" applyBorder="1" applyAlignment="1">
      <alignment horizontal="right"/>
    </xf>
    <xf numFmtId="0" fontId="69" fillId="0" borderId="11" xfId="4532" applyFont="1" applyBorder="1" applyAlignment="1">
      <alignment horizontal="left" indent="1"/>
    </xf>
    <xf numFmtId="0" fontId="1" fillId="0" borderId="91" xfId="4532" applyFont="1" applyBorder="1"/>
    <xf numFmtId="0" fontId="1" fillId="0" borderId="4" xfId="4532" applyFont="1" applyBorder="1"/>
    <xf numFmtId="233" fontId="69" fillId="0" borderId="4" xfId="4533" applyNumberFormat="1" applyFont="1" applyBorder="1" applyAlignment="1">
      <alignment horizontal="right"/>
    </xf>
    <xf numFmtId="0" fontId="162" fillId="0" borderId="92" xfId="4532" applyFont="1" applyBorder="1" applyAlignment="1">
      <alignment horizontal="left" indent="1"/>
    </xf>
    <xf numFmtId="0" fontId="1" fillId="0" borderId="93" xfId="4532" applyFont="1" applyBorder="1"/>
    <xf numFmtId="233" fontId="69" fillId="0" borderId="0" xfId="4533" applyNumberFormat="1" applyFont="1" applyBorder="1" applyAlignment="1">
      <alignment horizontal="right"/>
    </xf>
    <xf numFmtId="0" fontId="162" fillId="0" borderId="94" xfId="4532" applyFont="1" applyBorder="1" applyAlignment="1">
      <alignment horizontal="left" indent="1"/>
    </xf>
    <xf numFmtId="241" fontId="69" fillId="0" borderId="0" xfId="4533" applyNumberFormat="1" applyFont="1" applyBorder="1" applyAlignment="1">
      <alignment horizontal="right"/>
    </xf>
    <xf numFmtId="0" fontId="1" fillId="0" borderId="95" xfId="4532" applyFont="1" applyBorder="1"/>
    <xf numFmtId="0" fontId="1" fillId="0" borderId="96" xfId="4532" applyFont="1" applyBorder="1"/>
    <xf numFmtId="167" fontId="69" fillId="0" borderId="96" xfId="4533" applyFont="1" applyBorder="1" applyAlignment="1">
      <alignment horizontal="right"/>
    </xf>
    <xf numFmtId="0" fontId="163" fillId="0" borderId="97" xfId="4532" applyFont="1" applyBorder="1" applyAlignment="1">
      <alignment horizontal="left" indent="1"/>
    </xf>
    <xf numFmtId="0" fontId="1" fillId="0" borderId="98" xfId="4532" applyFont="1" applyBorder="1"/>
    <xf numFmtId="0" fontId="1" fillId="0" borderId="99" xfId="4532" applyFont="1" applyBorder="1"/>
    <xf numFmtId="167" fontId="1" fillId="0" borderId="99" xfId="4533" applyFont="1" applyBorder="1" applyAlignment="1">
      <alignment horizontal="right"/>
    </xf>
    <xf numFmtId="0" fontId="163" fillId="0" borderId="100" xfId="4532" applyFont="1" applyBorder="1" applyAlignment="1">
      <alignment horizontal="left" indent="1"/>
    </xf>
    <xf numFmtId="167" fontId="69" fillId="0" borderId="0" xfId="4533" applyFont="1" applyBorder="1" applyAlignment="1">
      <alignment horizontal="right"/>
    </xf>
    <xf numFmtId="0" fontId="163" fillId="0" borderId="94" xfId="4532" applyFont="1" applyBorder="1" applyAlignment="1">
      <alignment horizontal="left" indent="1"/>
    </xf>
    <xf numFmtId="0" fontId="1" fillId="0" borderId="0" xfId="4532" applyFont="1" applyAlignment="1">
      <alignment horizontal="left" indent="1"/>
    </xf>
    <xf numFmtId="0" fontId="1" fillId="0" borderId="52" xfId="4532" applyFont="1" applyBorder="1"/>
    <xf numFmtId="234" fontId="1" fillId="0" borderId="4" xfId="4532" applyNumberFormat="1" applyFont="1" applyBorder="1" applyAlignment="1">
      <alignment horizontal="right"/>
    </xf>
    <xf numFmtId="0" fontId="162" fillId="0" borderId="53" xfId="4532" applyFont="1" applyBorder="1" applyAlignment="1">
      <alignment horizontal="left" indent="1"/>
    </xf>
    <xf numFmtId="0" fontId="1" fillId="0" borderId="54" xfId="4532" applyFont="1" applyBorder="1"/>
    <xf numFmtId="234" fontId="1" fillId="0" borderId="0" xfId="4532" applyNumberFormat="1" applyFont="1" applyBorder="1" applyAlignment="1">
      <alignment horizontal="right"/>
    </xf>
    <xf numFmtId="0" fontId="162" fillId="0" borderId="55" xfId="4532" applyFont="1" applyBorder="1" applyAlignment="1">
      <alignment horizontal="left" indent="1"/>
    </xf>
    <xf numFmtId="0" fontId="164" fillId="0" borderId="56" xfId="4532" applyFont="1" applyBorder="1"/>
    <xf numFmtId="0" fontId="164" fillId="0" borderId="57" xfId="4532" applyFont="1" applyBorder="1"/>
    <xf numFmtId="234" fontId="164" fillId="0" borderId="57" xfId="4532" applyNumberFormat="1" applyFont="1" applyBorder="1" applyAlignment="1">
      <alignment horizontal="right"/>
    </xf>
    <xf numFmtId="0" fontId="162" fillId="0" borderId="58" xfId="4532" applyFont="1" applyBorder="1" applyAlignment="1">
      <alignment horizontal="left" indent="1"/>
    </xf>
    <xf numFmtId="0" fontId="1" fillId="0" borderId="59" xfId="4532" applyFont="1" applyBorder="1"/>
    <xf numFmtId="0" fontId="1" fillId="0" borderId="60" xfId="4532" applyFont="1" applyBorder="1"/>
    <xf numFmtId="234" fontId="1" fillId="0" borderId="60" xfId="4532" applyNumberFormat="1" applyFont="1" applyBorder="1" applyAlignment="1">
      <alignment horizontal="right"/>
    </xf>
    <xf numFmtId="0" fontId="163" fillId="0" borderId="61" xfId="4532" applyFont="1" applyBorder="1" applyAlignment="1">
      <alignment horizontal="left" indent="1"/>
    </xf>
    <xf numFmtId="0" fontId="1" fillId="0" borderId="65" xfId="4532" applyFont="1" applyBorder="1"/>
    <xf numFmtId="0" fontId="163" fillId="0" borderId="66" xfId="4532" applyFont="1" applyBorder="1" applyAlignment="1">
      <alignment horizontal="left" indent="1"/>
    </xf>
    <xf numFmtId="0" fontId="164" fillId="0" borderId="65" xfId="4532" applyFont="1" applyBorder="1"/>
    <xf numFmtId="0" fontId="164" fillId="0" borderId="0" xfId="4532" applyFont="1" applyBorder="1"/>
    <xf numFmtId="234" fontId="164" fillId="0" borderId="0" xfId="4532" applyNumberFormat="1" applyFont="1" applyBorder="1" applyAlignment="1">
      <alignment horizontal="right"/>
    </xf>
    <xf numFmtId="0" fontId="164" fillId="0" borderId="62" xfId="4532" applyFont="1" applyBorder="1"/>
    <xf numFmtId="0" fontId="164" fillId="0" borderId="63" xfId="4532" applyFont="1" applyBorder="1"/>
    <xf numFmtId="234" fontId="164" fillId="0" borderId="63" xfId="4532" applyNumberFormat="1" applyFont="1" applyBorder="1" applyAlignment="1">
      <alignment horizontal="right"/>
    </xf>
    <xf numFmtId="0" fontId="163" fillId="0" borderId="64" xfId="4532" applyFont="1" applyBorder="1" applyAlignment="1">
      <alignment horizontal="left" indent="1"/>
    </xf>
    <xf numFmtId="0" fontId="1" fillId="0" borderId="101" xfId="4532" applyFont="1" applyBorder="1"/>
    <xf numFmtId="0" fontId="1" fillId="0" borderId="102" xfId="4532" applyFont="1" applyBorder="1"/>
    <xf numFmtId="2" fontId="1" fillId="0" borderId="102" xfId="4532" applyNumberFormat="1" applyFont="1" applyBorder="1"/>
    <xf numFmtId="0" fontId="163" fillId="0" borderId="103" xfId="4532" applyFont="1" applyBorder="1" applyAlignment="1">
      <alignment horizontal="left" indent="1"/>
    </xf>
    <xf numFmtId="0" fontId="1" fillId="0" borderId="104" xfId="4532" applyFont="1" applyBorder="1"/>
    <xf numFmtId="0" fontId="1" fillId="0" borderId="63" xfId="4532" applyFont="1" applyBorder="1"/>
    <xf numFmtId="241" fontId="1" fillId="0" borderId="63" xfId="4533" applyNumberFormat="1" applyFont="1" applyBorder="1"/>
    <xf numFmtId="0" fontId="1" fillId="0" borderId="105" xfId="4532" applyFont="1" applyBorder="1" applyAlignment="1">
      <alignment horizontal="left" indent="1"/>
    </xf>
    <xf numFmtId="0" fontId="69" fillId="40" borderId="101" xfId="4532" applyFont="1" applyFill="1" applyBorder="1"/>
    <xf numFmtId="0" fontId="1" fillId="40" borderId="102" xfId="4532" applyFont="1" applyFill="1" applyBorder="1"/>
    <xf numFmtId="241" fontId="165" fillId="40" borderId="102" xfId="4533" applyNumberFormat="1" applyFont="1" applyFill="1" applyBorder="1" applyAlignment="1">
      <alignment horizontal="right"/>
    </xf>
    <xf numFmtId="0" fontId="162" fillId="40" borderId="103" xfId="4532" applyFont="1" applyFill="1" applyBorder="1" applyAlignment="1">
      <alignment horizontal="left" indent="1"/>
    </xf>
    <xf numFmtId="0" fontId="69" fillId="40" borderId="106" xfId="4532" applyFont="1" applyFill="1" applyBorder="1"/>
    <xf numFmtId="242" fontId="165" fillId="40" borderId="0" xfId="4533" applyNumberFormat="1" applyFont="1" applyFill="1" applyBorder="1" applyAlignment="1">
      <alignment horizontal="right"/>
    </xf>
    <xf numFmtId="0" fontId="162" fillId="40" borderId="107" xfId="4532" applyFont="1" applyFill="1" applyBorder="1" applyAlignment="1">
      <alignment horizontal="left" indent="1"/>
    </xf>
    <xf numFmtId="0" fontId="69" fillId="40" borderId="108" xfId="4532" applyFont="1" applyFill="1" applyBorder="1"/>
    <xf numFmtId="0" fontId="1" fillId="40" borderId="109" xfId="4532" applyFont="1" applyFill="1" applyBorder="1"/>
    <xf numFmtId="233" fontId="165" fillId="40" borderId="109" xfId="4533" applyNumberFormat="1" applyFont="1" applyFill="1" applyBorder="1" applyAlignment="1">
      <alignment horizontal="right"/>
    </xf>
    <xf numFmtId="0" fontId="162" fillId="40" borderId="110" xfId="4532" applyFont="1" applyFill="1" applyBorder="1" applyAlignment="1">
      <alignment horizontal="left" indent="1"/>
    </xf>
    <xf numFmtId="243" fontId="1" fillId="0" borderId="0" xfId="4532" applyNumberFormat="1" applyFont="1" applyAlignment="1">
      <alignment horizontal="left" indent="1"/>
    </xf>
    <xf numFmtId="243" fontId="1" fillId="0" borderId="0" xfId="4532" applyNumberFormat="1" applyFont="1"/>
    <xf numFmtId="233" fontId="1" fillId="0" borderId="0" xfId="4532" applyNumberFormat="1" applyFont="1"/>
    <xf numFmtId="244" fontId="1" fillId="0" borderId="0" xfId="4532" applyNumberFormat="1" applyFont="1"/>
    <xf numFmtId="241" fontId="1" fillId="0" borderId="0" xfId="4532" applyNumberFormat="1" applyFont="1"/>
    <xf numFmtId="233" fontId="1" fillId="0" borderId="0" xfId="4532" applyNumberFormat="1" applyFont="1" applyAlignment="1">
      <alignment horizontal="left" indent="1"/>
    </xf>
    <xf numFmtId="0" fontId="1" fillId="0" borderId="0" xfId="4532" quotePrefix="1" applyFont="1"/>
    <xf numFmtId="234" fontId="1" fillId="0" borderId="0" xfId="4532" applyNumberFormat="1" applyFont="1"/>
    <xf numFmtId="167" fontId="1" fillId="0" borderId="0" xfId="4533" applyFont="1"/>
    <xf numFmtId="0" fontId="166" fillId="122" borderId="2" xfId="0" applyFont="1" applyFill="1" applyBorder="1" applyAlignment="1">
      <alignment horizontal="right" indent="2"/>
    </xf>
    <xf numFmtId="0" fontId="166" fillId="122" borderId="2" xfId="0" applyFont="1" applyFill="1" applyBorder="1" applyAlignment="1">
      <alignment horizontal="right" indent="1"/>
    </xf>
    <xf numFmtId="0" fontId="166" fillId="122" borderId="2" xfId="0" applyFont="1" applyFill="1" applyBorder="1"/>
    <xf numFmtId="0" fontId="166" fillId="122" borderId="11" xfId="0" applyFont="1" applyFill="1" applyBorder="1"/>
    <xf numFmtId="0" fontId="10" fillId="5" borderId="10" xfId="0" applyFont="1" applyFill="1" applyBorder="1"/>
    <xf numFmtId="0" fontId="10" fillId="5" borderId="11" xfId="0" applyFont="1" applyFill="1" applyBorder="1"/>
    <xf numFmtId="0" fontId="20" fillId="0" borderId="6" xfId="0" applyFont="1" applyBorder="1"/>
    <xf numFmtId="0" fontId="20" fillId="0" borderId="8" xfId="0" applyFont="1" applyBorder="1"/>
    <xf numFmtId="172" fontId="6" fillId="0" borderId="1" xfId="0" applyNumberFormat="1" applyFont="1" applyBorder="1" applyAlignment="1">
      <alignment horizontal="right" indent="1"/>
    </xf>
    <xf numFmtId="172" fontId="166" fillId="122" borderId="2" xfId="0" applyNumberFormat="1" applyFont="1" applyFill="1" applyBorder="1" applyAlignment="1">
      <alignment horizontal="right" indent="1"/>
    </xf>
    <xf numFmtId="184" fontId="20" fillId="0" borderId="0" xfId="0" applyNumberFormat="1" applyFont="1" applyFill="1" applyBorder="1" applyAlignment="1">
      <alignment horizontal="right" indent="2"/>
    </xf>
    <xf numFmtId="231" fontId="6" fillId="0" borderId="0" xfId="0" applyNumberFormat="1" applyFont="1" applyBorder="1" applyAlignment="1">
      <alignment horizontal="right" indent="1"/>
    </xf>
    <xf numFmtId="169" fontId="6" fillId="0" borderId="0" xfId="0" applyNumberFormat="1" applyFont="1" applyBorder="1" applyAlignment="1">
      <alignment horizontal="right" indent="1"/>
    </xf>
    <xf numFmtId="169" fontId="6" fillId="0" borderId="1" xfId="0" applyNumberFormat="1" applyFont="1" applyBorder="1" applyAlignment="1">
      <alignment horizontal="right" indent="1"/>
    </xf>
    <xf numFmtId="171" fontId="6" fillId="0" borderId="0" xfId="0" applyNumberFormat="1" applyFont="1" applyBorder="1" applyAlignment="1">
      <alignment horizontal="center"/>
    </xf>
    <xf numFmtId="171" fontId="6" fillId="0" borderId="1" xfId="0" applyNumberFormat="1" applyFont="1" applyBorder="1" applyAlignment="1">
      <alignment horizontal="center"/>
    </xf>
    <xf numFmtId="0" fontId="167" fillId="0" borderId="0" xfId="1" applyFont="1" applyBorder="1"/>
    <xf numFmtId="0" fontId="167" fillId="0" borderId="1" xfId="1" applyFont="1" applyBorder="1"/>
    <xf numFmtId="0" fontId="167" fillId="0" borderId="0" xfId="0" applyFont="1"/>
    <xf numFmtId="0" fontId="168" fillId="122" borderId="2" xfId="0" applyFont="1" applyFill="1" applyBorder="1"/>
    <xf numFmtId="0" fontId="168" fillId="5" borderId="2" xfId="0" applyFont="1" applyFill="1" applyBorder="1"/>
    <xf numFmtId="0" fontId="167" fillId="0" borderId="4" xfId="1" applyFont="1" applyBorder="1"/>
    <xf numFmtId="0" fontId="167" fillId="0" borderId="1" xfId="0" applyFont="1" applyBorder="1"/>
    <xf numFmtId="0" fontId="167" fillId="0" borderId="0" xfId="2" applyFont="1" applyBorder="1"/>
    <xf numFmtId="0" fontId="167" fillId="0" borderId="1" xfId="2" applyFont="1" applyBorder="1"/>
    <xf numFmtId="0" fontId="167" fillId="0" borderId="0" xfId="0" applyFont="1" applyBorder="1"/>
    <xf numFmtId="184" fontId="8" fillId="0" borderId="0" xfId="4" applyNumberFormat="1"/>
    <xf numFmtId="192" fontId="8" fillId="0" borderId="0" xfId="4" applyNumberFormat="1" applyAlignment="1">
      <alignment horizontal="right"/>
    </xf>
    <xf numFmtId="0" fontId="32" fillId="122" borderId="10" xfId="0" applyFont="1" applyFill="1" applyBorder="1"/>
    <xf numFmtId="167" fontId="6" fillId="0" borderId="0" xfId="4531" applyFont="1" applyAlignment="1">
      <alignment horizontal="right" indent="1"/>
    </xf>
    <xf numFmtId="171" fontId="10" fillId="0" borderId="0" xfId="1" applyNumberFormat="1" applyFont="1" applyFill="1"/>
    <xf numFmtId="0" fontId="10" fillId="5" borderId="3" xfId="0" applyFont="1" applyFill="1" applyBorder="1"/>
    <xf numFmtId="0" fontId="10" fillId="5" borderId="4" xfId="0" applyFont="1" applyFill="1" applyBorder="1" applyAlignment="1">
      <alignment horizontal="center"/>
    </xf>
    <xf numFmtId="0" fontId="10" fillId="5" borderId="4" xfId="0" applyFont="1" applyFill="1" applyBorder="1" applyAlignment="1">
      <alignment horizontal="right" indent="1"/>
    </xf>
    <xf numFmtId="0" fontId="168" fillId="5" borderId="4" xfId="0" applyFont="1" applyFill="1" applyBorder="1"/>
    <xf numFmtId="0" fontId="10" fillId="5" borderId="5" xfId="0" applyFont="1" applyFill="1" applyBorder="1"/>
    <xf numFmtId="189" fontId="6" fillId="0" borderId="0" xfId="0" applyNumberFormat="1" applyFont="1" applyBorder="1" applyAlignment="1">
      <alignment horizontal="right" indent="1"/>
    </xf>
    <xf numFmtId="171" fontId="20" fillId="0" borderId="1" xfId="0" applyNumberFormat="1" applyFont="1" applyFill="1" applyBorder="1" applyAlignment="1">
      <alignment horizontal="right" indent="2"/>
    </xf>
    <xf numFmtId="2" fontId="6" fillId="0" borderId="4" xfId="0" applyNumberFormat="1" applyFont="1" applyBorder="1" applyAlignment="1">
      <alignment horizontal="right" indent="1"/>
    </xf>
    <xf numFmtId="2" fontId="6" fillId="0" borderId="0" xfId="0" applyNumberFormat="1" applyFont="1" applyBorder="1" applyAlignment="1">
      <alignment horizontal="right" indent="1"/>
    </xf>
    <xf numFmtId="2" fontId="170" fillId="0" borderId="1" xfId="0" applyNumberFormat="1" applyFont="1" applyBorder="1" applyAlignment="1">
      <alignment horizontal="right" indent="1"/>
    </xf>
    <xf numFmtId="2" fontId="69" fillId="8" borderId="4" xfId="0" applyNumberFormat="1" applyFont="1" applyFill="1" applyBorder="1" applyAlignment="1">
      <alignment horizontal="right" indent="2"/>
    </xf>
    <xf numFmtId="2" fontId="69" fillId="8" borderId="0" xfId="0" applyNumberFormat="1" applyFont="1" applyFill="1" applyBorder="1" applyAlignment="1">
      <alignment horizontal="right" indent="2"/>
    </xf>
    <xf numFmtId="172" fontId="69" fillId="8" borderId="1" xfId="0" applyNumberFormat="1" applyFont="1" applyFill="1" applyBorder="1" applyAlignment="1">
      <alignment horizontal="right" indent="2"/>
    </xf>
    <xf numFmtId="169" fontId="69" fillId="8" borderId="0" xfId="0" applyNumberFormat="1" applyFont="1" applyFill="1" applyBorder="1" applyAlignment="1">
      <alignment horizontal="right" indent="2"/>
    </xf>
    <xf numFmtId="169" fontId="69" fillId="8" borderId="1" xfId="0" applyNumberFormat="1" applyFont="1" applyFill="1" applyBorder="1" applyAlignment="1">
      <alignment horizontal="right" indent="2"/>
    </xf>
    <xf numFmtId="171" fontId="69" fillId="8" borderId="0" xfId="0" applyNumberFormat="1" applyFont="1" applyFill="1" applyBorder="1" applyAlignment="1">
      <alignment horizontal="right" indent="2"/>
    </xf>
    <xf numFmtId="171" fontId="69" fillId="8" borderId="1" xfId="0" applyNumberFormat="1" applyFont="1" applyFill="1" applyBorder="1" applyAlignment="1">
      <alignment horizontal="center"/>
    </xf>
    <xf numFmtId="168" fontId="8" fillId="0" borderId="0" xfId="4" applyNumberFormat="1"/>
    <xf numFmtId="167" fontId="8" fillId="0" borderId="0" xfId="4531" applyFont="1" applyAlignment="1">
      <alignment horizontal="right"/>
    </xf>
    <xf numFmtId="0" fontId="11" fillId="0" borderId="0" xfId="4" applyFont="1" applyAlignment="1">
      <alignment horizontal="left"/>
    </xf>
    <xf numFmtId="0" fontId="11" fillId="0" borderId="0" xfId="4" applyFont="1" applyBorder="1" applyAlignment="1">
      <alignment horizontal="right"/>
    </xf>
    <xf numFmtId="0" fontId="10" fillId="5" borderId="0" xfId="0" applyFont="1" applyFill="1" applyBorder="1" applyAlignment="1">
      <alignment horizontal="right" indent="1"/>
    </xf>
    <xf numFmtId="0" fontId="62" fillId="2" borderId="10" xfId="4" applyFont="1" applyFill="1" applyBorder="1" applyAlignment="1">
      <alignment horizontal="right"/>
    </xf>
    <xf numFmtId="0" fontId="11" fillId="2" borderId="2" xfId="4" applyFont="1" applyFill="1" applyBorder="1" applyAlignment="1">
      <alignment horizontal="right"/>
    </xf>
    <xf numFmtId="174" fontId="8" fillId="0" borderId="0" xfId="4" applyNumberFormat="1" applyAlignment="1">
      <alignment horizontal="right"/>
    </xf>
    <xf numFmtId="167" fontId="0" fillId="0" borderId="0" xfId="4531" applyFont="1"/>
    <xf numFmtId="43" fontId="8" fillId="0" borderId="0" xfId="4" applyNumberFormat="1"/>
    <xf numFmtId="172" fontId="11" fillId="2" borderId="2" xfId="4" applyNumberFormat="1" applyFont="1" applyFill="1" applyBorder="1" applyAlignment="1">
      <alignment horizontal="right"/>
    </xf>
    <xf numFmtId="0" fontId="11" fillId="2" borderId="11" xfId="4" applyFont="1" applyFill="1" applyBorder="1" applyAlignment="1">
      <alignment horizontal="right"/>
    </xf>
    <xf numFmtId="174" fontId="68" fillId="4" borderId="3" xfId="4" applyNumberFormat="1" applyFont="1" applyFill="1" applyBorder="1" applyAlignment="1">
      <alignment horizontal="right"/>
    </xf>
    <xf numFmtId="187" fontId="8" fillId="4" borderId="4" xfId="4" applyNumberFormat="1" applyFill="1" applyBorder="1" applyAlignment="1">
      <alignment horizontal="right"/>
    </xf>
    <xf numFmtId="174" fontId="68" fillId="4" borderId="6" xfId="4" applyNumberFormat="1" applyFont="1" applyFill="1" applyBorder="1" applyAlignment="1">
      <alignment horizontal="right"/>
    </xf>
    <xf numFmtId="187" fontId="8" fillId="4" borderId="0" xfId="4" applyNumberFormat="1" applyFill="1" applyBorder="1" applyAlignment="1">
      <alignment horizontal="right"/>
    </xf>
    <xf numFmtId="174" fontId="68" fillId="4" borderId="8" xfId="4" applyNumberFormat="1" applyFont="1" applyFill="1" applyBorder="1" applyAlignment="1">
      <alignment horizontal="right"/>
    </xf>
    <xf numFmtId="187" fontId="8" fillId="4" borderId="1" xfId="4" applyNumberFormat="1" applyFill="1" applyBorder="1" applyAlignment="1">
      <alignment horizontal="right"/>
    </xf>
    <xf numFmtId="0" fontId="8" fillId="4" borderId="4" xfId="4" applyFill="1" applyBorder="1" applyAlignment="1">
      <alignment horizontal="right"/>
    </xf>
    <xf numFmtId="0" fontId="8" fillId="4" borderId="5" xfId="4" applyFill="1" applyBorder="1" applyAlignment="1">
      <alignment horizontal="right"/>
    </xf>
    <xf numFmtId="0" fontId="8" fillId="4" borderId="0" xfId="4" applyFill="1" applyBorder="1" applyAlignment="1">
      <alignment horizontal="right"/>
    </xf>
    <xf numFmtId="0" fontId="8" fillId="4" borderId="7" xfId="4" applyFill="1" applyBorder="1" applyAlignment="1">
      <alignment horizontal="right"/>
    </xf>
    <xf numFmtId="172" fontId="8" fillId="4" borderId="0" xfId="4" applyNumberFormat="1" applyFill="1" applyBorder="1"/>
    <xf numFmtId="11" fontId="8" fillId="4" borderId="7" xfId="4" applyNumberFormat="1" applyFill="1" applyBorder="1"/>
    <xf numFmtId="0" fontId="8" fillId="4" borderId="7" xfId="4" applyFill="1" applyBorder="1"/>
    <xf numFmtId="0" fontId="8" fillId="4" borderId="1" xfId="4" applyFill="1" applyBorder="1" applyAlignment="1">
      <alignment horizontal="right"/>
    </xf>
    <xf numFmtId="0" fontId="8" fillId="4" borderId="9" xfId="4" applyFill="1" applyBorder="1" applyAlignment="1">
      <alignment horizontal="right"/>
    </xf>
    <xf numFmtId="0" fontId="144" fillId="40" borderId="10" xfId="4" applyFont="1" applyFill="1" applyBorder="1" applyAlignment="1">
      <alignment horizontal="left"/>
    </xf>
    <xf numFmtId="0" fontId="144" fillId="40" borderId="2" xfId="4" applyFont="1" applyFill="1" applyBorder="1" applyAlignment="1">
      <alignment horizontal="right"/>
    </xf>
    <xf numFmtId="192" fontId="144" fillId="40" borderId="2" xfId="4" applyNumberFormat="1" applyFont="1" applyFill="1" applyBorder="1" applyAlignment="1">
      <alignment horizontal="right"/>
    </xf>
    <xf numFmtId="192" fontId="144" fillId="40" borderId="2" xfId="4" applyNumberFormat="1" applyFont="1" applyFill="1" applyBorder="1"/>
    <xf numFmtId="192" fontId="144" fillId="40" borderId="11" xfId="4" applyNumberFormat="1" applyFont="1" applyFill="1" applyBorder="1"/>
    <xf numFmtId="0" fontId="69" fillId="5" borderId="10" xfId="0" applyFont="1" applyFill="1" applyBorder="1"/>
    <xf numFmtId="0" fontId="69" fillId="5" borderId="2" xfId="0" applyFont="1" applyFill="1" applyBorder="1" applyAlignment="1">
      <alignment horizontal="right"/>
    </xf>
    <xf numFmtId="169" fontId="69" fillId="5" borderId="2" xfId="0" applyNumberFormat="1" applyFont="1" applyFill="1" applyBorder="1" applyAlignment="1">
      <alignment horizontal="right" indent="1"/>
    </xf>
    <xf numFmtId="169" fontId="69" fillId="5" borderId="11" xfId="0" applyNumberFormat="1" applyFont="1" applyFill="1" applyBorder="1" applyAlignment="1">
      <alignment horizontal="right" indent="1"/>
    </xf>
    <xf numFmtId="0" fontId="147" fillId="118" borderId="8" xfId="4" applyFont="1" applyFill="1" applyBorder="1" applyAlignment="1">
      <alignment horizontal="right"/>
    </xf>
    <xf numFmtId="0" fontId="147" fillId="118" borderId="1" xfId="4" applyFont="1" applyFill="1" applyBorder="1" applyAlignment="1">
      <alignment horizontal="right"/>
    </xf>
    <xf numFmtId="0" fontId="147" fillId="121" borderId="8" xfId="4" applyFont="1" applyFill="1" applyBorder="1" applyAlignment="1">
      <alignment horizontal="right"/>
    </xf>
    <xf numFmtId="0" fontId="147" fillId="121" borderId="1" xfId="4" applyFont="1" applyFill="1" applyBorder="1" applyAlignment="1">
      <alignment horizontal="right"/>
    </xf>
    <xf numFmtId="0" fontId="147" fillId="121" borderId="9" xfId="4" applyFont="1" applyFill="1" applyBorder="1" applyAlignment="1">
      <alignment horizontal="right"/>
    </xf>
    <xf numFmtId="171" fontId="1" fillId="0" borderId="4" xfId="0" applyNumberFormat="1" applyFont="1" applyBorder="1" applyAlignment="1">
      <alignment horizontal="right"/>
    </xf>
    <xf numFmtId="174" fontId="1" fillId="0" borderId="4" xfId="0" applyNumberFormat="1" applyFont="1" applyBorder="1" applyAlignment="1">
      <alignment horizontal="right" indent="1"/>
    </xf>
    <xf numFmtId="169" fontId="69" fillId="0" borderId="4" xfId="0" applyNumberFormat="1" applyFont="1" applyBorder="1" applyAlignment="1">
      <alignment horizontal="right" indent="1"/>
    </xf>
    <xf numFmtId="175" fontId="1" fillId="0" borderId="4" xfId="0" applyNumberFormat="1" applyFont="1" applyBorder="1" applyAlignment="1">
      <alignment horizontal="right" indent="1"/>
    </xf>
    <xf numFmtId="167" fontId="144" fillId="0" borderId="4" xfId="4531" applyFont="1" applyBorder="1" applyAlignment="1">
      <alignment horizontal="right"/>
    </xf>
    <xf numFmtId="241" fontId="144" fillId="0" borderId="4" xfId="4531" applyNumberFormat="1" applyFont="1" applyBorder="1" applyAlignment="1">
      <alignment horizontal="right"/>
    </xf>
    <xf numFmtId="167" fontId="144" fillId="0" borderId="5" xfId="4531" applyFont="1" applyBorder="1" applyAlignment="1">
      <alignment horizontal="right"/>
    </xf>
    <xf numFmtId="0" fontId="1" fillId="0" borderId="6" xfId="0" applyFont="1" applyBorder="1"/>
    <xf numFmtId="171" fontId="1" fillId="0" borderId="0" xfId="0" applyNumberFormat="1" applyFont="1" applyBorder="1" applyAlignment="1">
      <alignment horizontal="right"/>
    </xf>
    <xf numFmtId="174" fontId="1" fillId="0" borderId="0" xfId="0" applyNumberFormat="1" applyFont="1" applyBorder="1" applyAlignment="1">
      <alignment horizontal="right" indent="1"/>
    </xf>
    <xf numFmtId="169" fontId="69" fillId="0" borderId="0" xfId="0" applyNumberFormat="1" applyFont="1" applyBorder="1" applyAlignment="1">
      <alignment horizontal="right" indent="1"/>
    </xf>
    <xf numFmtId="175" fontId="1" fillId="0" borderId="0" xfId="0" applyNumberFormat="1" applyFont="1" applyBorder="1" applyAlignment="1">
      <alignment horizontal="right" indent="1"/>
    </xf>
    <xf numFmtId="167" fontId="144" fillId="0" borderId="0" xfId="4531" applyFont="1" applyBorder="1" applyAlignment="1">
      <alignment horizontal="right"/>
    </xf>
    <xf numFmtId="167" fontId="144" fillId="0" borderId="0" xfId="4531" applyFont="1" applyBorder="1"/>
    <xf numFmtId="167" fontId="1" fillId="0" borderId="7" xfId="4531" applyFont="1" applyBorder="1"/>
    <xf numFmtId="0" fontId="1" fillId="0" borderId="8" xfId="0" applyFont="1" applyBorder="1"/>
    <xf numFmtId="171" fontId="1" fillId="0" borderId="1" xfId="0" applyNumberFormat="1" applyFont="1" applyBorder="1" applyAlignment="1">
      <alignment horizontal="right"/>
    </xf>
    <xf numFmtId="174" fontId="1" fillId="0" borderId="1" xfId="0" applyNumberFormat="1" applyFont="1" applyBorder="1" applyAlignment="1">
      <alignment horizontal="right" indent="1"/>
    </xf>
    <xf numFmtId="169" fontId="69" fillId="0" borderId="1" xfId="0" applyNumberFormat="1" applyFont="1" applyBorder="1" applyAlignment="1">
      <alignment horizontal="right" indent="1"/>
    </xf>
    <xf numFmtId="175" fontId="1" fillId="0" borderId="1" xfId="0" applyNumberFormat="1" applyFont="1" applyBorder="1" applyAlignment="1">
      <alignment horizontal="right" indent="1"/>
    </xf>
    <xf numFmtId="167" fontId="144" fillId="0" borderId="1" xfId="4531" applyFont="1" applyBorder="1" applyAlignment="1">
      <alignment horizontal="right"/>
    </xf>
    <xf numFmtId="167" fontId="144" fillId="0" borderId="1" xfId="4531" applyFont="1" applyBorder="1"/>
    <xf numFmtId="167" fontId="1" fillId="0" borderId="9" xfId="4531" applyFont="1" applyBorder="1"/>
    <xf numFmtId="241" fontId="1" fillId="0" borderId="0" xfId="0" applyNumberFormat="1" applyFont="1" applyBorder="1" applyAlignment="1">
      <alignment horizontal="right" indent="1"/>
    </xf>
    <xf numFmtId="241" fontId="1" fillId="0" borderId="1" xfId="0" applyNumberFormat="1" applyFont="1" applyBorder="1" applyAlignment="1">
      <alignment horizontal="right" indent="1"/>
    </xf>
    <xf numFmtId="238" fontId="144" fillId="0" borderId="4" xfId="4531" applyNumberFormat="1" applyFont="1" applyBorder="1" applyAlignment="1">
      <alignment horizontal="right"/>
    </xf>
    <xf numFmtId="238" fontId="144" fillId="0" borderId="0" xfId="4" applyNumberFormat="1" applyFont="1" applyBorder="1" applyAlignment="1">
      <alignment horizontal="right"/>
    </xf>
    <xf numFmtId="238" fontId="144" fillId="0" borderId="1" xfId="4" applyNumberFormat="1" applyFont="1" applyBorder="1" applyAlignment="1">
      <alignment horizontal="right"/>
    </xf>
    <xf numFmtId="0" fontId="13" fillId="123" borderId="6" xfId="4" applyFont="1" applyFill="1" applyBorder="1" applyAlignment="1">
      <alignment horizontal="left" indent="1"/>
    </xf>
    <xf numFmtId="170" fontId="11" fillId="123" borderId="0" xfId="4" applyNumberFormat="1" applyFont="1" applyFill="1" applyBorder="1" applyAlignment="1">
      <alignment horizontal="right"/>
    </xf>
    <xf numFmtId="182" fontId="11" fillId="123" borderId="0" xfId="4" applyNumberFormat="1" applyFont="1" applyFill="1" applyBorder="1" applyAlignment="1">
      <alignment horizontal="right"/>
    </xf>
    <xf numFmtId="191" fontId="11" fillId="123" borderId="0" xfId="4" applyNumberFormat="1" applyFont="1" applyFill="1" applyBorder="1" applyAlignment="1">
      <alignment horizontal="right"/>
    </xf>
    <xf numFmtId="170" fontId="11" fillId="123" borderId="7" xfId="4" applyNumberFormat="1" applyFont="1" applyFill="1" applyBorder="1" applyAlignment="1">
      <alignment horizontal="right"/>
    </xf>
    <xf numFmtId="174" fontId="142" fillId="123" borderId="0" xfId="4" applyNumberFormat="1" applyFont="1" applyFill="1" applyBorder="1" applyAlignment="1">
      <alignment horizontal="right"/>
    </xf>
    <xf numFmtId="170" fontId="41" fillId="123" borderId="0" xfId="4" applyNumberFormat="1" applyFont="1" applyFill="1" applyBorder="1" applyAlignment="1">
      <alignment horizontal="right"/>
    </xf>
    <xf numFmtId="170" fontId="41" fillId="123" borderId="7" xfId="4" applyNumberFormat="1" applyFont="1" applyFill="1" applyBorder="1" applyAlignment="1">
      <alignment horizontal="right"/>
    </xf>
    <xf numFmtId="184" fontId="154" fillId="40" borderId="4" xfId="4532" applyNumberFormat="1" applyFont="1" applyFill="1" applyBorder="1" applyAlignment="1">
      <alignment horizontal="right" vertical="center" indent="1"/>
    </xf>
    <xf numFmtId="184" fontId="154" fillId="40" borderId="0" xfId="4532" applyNumberFormat="1" applyFont="1" applyFill="1" applyBorder="1" applyAlignment="1">
      <alignment horizontal="right" vertical="center" indent="1"/>
    </xf>
    <xf numFmtId="184" fontId="154" fillId="40" borderId="1" xfId="4532" applyNumberFormat="1" applyFont="1" applyFill="1" applyBorder="1" applyAlignment="1">
      <alignment horizontal="right" vertical="center" indent="1"/>
    </xf>
    <xf numFmtId="2" fontId="154" fillId="40" borderId="4" xfId="4532" applyNumberFormat="1" applyFont="1" applyFill="1" applyBorder="1" applyAlignment="1">
      <alignment horizontal="right" vertical="center" indent="1"/>
    </xf>
    <xf numFmtId="2" fontId="154" fillId="40" borderId="0" xfId="4532" applyNumberFormat="1" applyFont="1" applyFill="1" applyBorder="1" applyAlignment="1">
      <alignment horizontal="right" vertical="center" indent="1"/>
    </xf>
    <xf numFmtId="2" fontId="154" fillId="40" borderId="1" xfId="4532" applyNumberFormat="1" applyFont="1" applyFill="1" applyBorder="1" applyAlignment="1">
      <alignment horizontal="right" vertical="center" indent="1"/>
    </xf>
    <xf numFmtId="0" fontId="151" fillId="6" borderId="81" xfId="4532" applyFont="1" applyFill="1" applyBorder="1" applyAlignment="1">
      <alignment horizontal="center"/>
    </xf>
    <xf numFmtId="0" fontId="151" fillId="6" borderId="77" xfId="4532" applyFont="1" applyFill="1" applyBorder="1" applyAlignment="1">
      <alignment horizontal="center"/>
    </xf>
    <xf numFmtId="171" fontId="1" fillId="6" borderId="60" xfId="4532" applyNumberFormat="1" applyFont="1" applyFill="1" applyBorder="1" applyAlignment="1">
      <alignment horizontal="right" vertical="center" indent="1"/>
    </xf>
    <xf numFmtId="171" fontId="1" fillId="6" borderId="57" xfId="4532" applyNumberFormat="1" applyFont="1" applyFill="1" applyBorder="1" applyAlignment="1">
      <alignment horizontal="right" vertical="center" indent="1"/>
    </xf>
    <xf numFmtId="0" fontId="151" fillId="6" borderId="82" xfId="4532" applyFont="1" applyFill="1" applyBorder="1" applyAlignment="1">
      <alignment horizontal="left" vertical="center"/>
    </xf>
    <xf numFmtId="0" fontId="151" fillId="6" borderId="79" xfId="4532" applyFont="1" applyFill="1" applyBorder="1" applyAlignment="1">
      <alignment horizontal="left" vertical="center"/>
    </xf>
    <xf numFmtId="171" fontId="151" fillId="6" borderId="60" xfId="4532" applyNumberFormat="1" applyFont="1" applyFill="1" applyBorder="1" applyAlignment="1">
      <alignment horizontal="right" vertical="center" indent="1"/>
    </xf>
    <xf numFmtId="171" fontId="151" fillId="6" borderId="57" xfId="4532" applyNumberFormat="1" applyFont="1" applyFill="1" applyBorder="1" applyAlignment="1">
      <alignment horizontal="right" vertical="center" indent="1"/>
    </xf>
    <xf numFmtId="0" fontId="151" fillId="6" borderId="82" xfId="4532" applyFont="1" applyFill="1" applyBorder="1" applyAlignment="1">
      <alignment horizontal="center"/>
    </xf>
    <xf numFmtId="0" fontId="151" fillId="6" borderId="79" xfId="4532" applyFont="1" applyFill="1" applyBorder="1" applyAlignment="1">
      <alignment horizontal="center"/>
    </xf>
    <xf numFmtId="192" fontId="154" fillId="40" borderId="4" xfId="4532" applyNumberFormat="1" applyFont="1" applyFill="1" applyBorder="1" applyAlignment="1">
      <alignment horizontal="right" vertical="center" indent="1"/>
    </xf>
    <xf numFmtId="0" fontId="154" fillId="40" borderId="0" xfId="4532" applyFont="1" applyFill="1" applyBorder="1" applyAlignment="1">
      <alignment horizontal="right" vertical="center" indent="1"/>
    </xf>
    <xf numFmtId="0" fontId="154" fillId="40" borderId="1" xfId="4532" applyFont="1" applyFill="1" applyBorder="1" applyAlignment="1">
      <alignment horizontal="right" vertical="center" indent="1"/>
    </xf>
    <xf numFmtId="0" fontId="152" fillId="40" borderId="3" xfId="4532" applyFont="1" applyFill="1" applyBorder="1" applyAlignment="1">
      <alignment horizontal="left" vertical="center"/>
    </xf>
    <xf numFmtId="0" fontId="152" fillId="40" borderId="6" xfId="4532" applyFont="1" applyFill="1" applyBorder="1" applyAlignment="1">
      <alignment horizontal="left" vertical="center"/>
    </xf>
    <xf numFmtId="0" fontId="152" fillId="40" borderId="8" xfId="4532" applyFont="1" applyFill="1" applyBorder="1" applyAlignment="1">
      <alignment horizontal="left" vertical="center"/>
    </xf>
    <xf numFmtId="0" fontId="152" fillId="40" borderId="4" xfId="4532" applyFont="1" applyFill="1" applyBorder="1" applyAlignment="1">
      <alignment horizontal="left" vertical="center"/>
    </xf>
    <xf numFmtId="0" fontId="152" fillId="40" borderId="0" xfId="4532" applyFont="1" applyFill="1" applyBorder="1" applyAlignment="1">
      <alignment horizontal="left" vertical="center"/>
    </xf>
    <xf numFmtId="0" fontId="152" fillId="40" borderId="1" xfId="4532" applyFont="1" applyFill="1" applyBorder="1" applyAlignment="1">
      <alignment horizontal="left" vertical="center"/>
    </xf>
    <xf numFmtId="0" fontId="153" fillId="40" borderId="5" xfId="4532" applyFont="1" applyFill="1" applyBorder="1" applyAlignment="1">
      <alignment horizontal="right" vertical="center" indent="1"/>
    </xf>
    <xf numFmtId="0" fontId="153" fillId="40" borderId="7" xfId="4532" applyFont="1" applyFill="1" applyBorder="1" applyAlignment="1">
      <alignment horizontal="right" vertical="center" indent="1"/>
    </xf>
    <xf numFmtId="0" fontId="153" fillId="40" borderId="9" xfId="4532" applyFont="1" applyFill="1" applyBorder="1" applyAlignment="1">
      <alignment horizontal="right" vertical="center" indent="1"/>
    </xf>
    <xf numFmtId="0" fontId="154" fillId="118" borderId="3" xfId="4532" applyFont="1" applyFill="1" applyBorder="1" applyAlignment="1">
      <alignment horizontal="center" vertical="center"/>
    </xf>
    <xf numFmtId="0" fontId="154" fillId="118" borderId="4" xfId="4532" applyFont="1" applyFill="1" applyBorder="1" applyAlignment="1">
      <alignment horizontal="center" vertical="center"/>
    </xf>
    <xf numFmtId="0" fontId="154" fillId="118" borderId="5" xfId="4532" applyFont="1" applyFill="1" applyBorder="1" applyAlignment="1">
      <alignment horizontal="center" vertical="center"/>
    </xf>
    <xf numFmtId="0" fontId="154" fillId="118" borderId="6" xfId="4532" applyFont="1" applyFill="1" applyBorder="1" applyAlignment="1">
      <alignment horizontal="center" vertical="center"/>
    </xf>
    <xf numFmtId="0" fontId="154" fillId="118" borderId="0" xfId="4532" applyFont="1" applyFill="1" applyBorder="1" applyAlignment="1">
      <alignment horizontal="center" vertical="center"/>
    </xf>
    <xf numFmtId="0" fontId="154" fillId="118" borderId="7" xfId="4532" applyFont="1" applyFill="1" applyBorder="1" applyAlignment="1">
      <alignment horizontal="center" vertical="center"/>
    </xf>
    <xf numFmtId="0" fontId="154" fillId="118" borderId="8" xfId="4532" applyFont="1" applyFill="1" applyBorder="1" applyAlignment="1">
      <alignment horizontal="center" vertical="center"/>
    </xf>
    <xf numFmtId="0" fontId="154" fillId="118" borderId="1" xfId="4532" applyFont="1" applyFill="1" applyBorder="1" applyAlignment="1">
      <alignment horizontal="center" vertical="center"/>
    </xf>
    <xf numFmtId="0" fontId="154" fillId="118" borderId="9" xfId="4532" applyFont="1" applyFill="1" applyBorder="1" applyAlignment="1">
      <alignment horizontal="center" vertical="center"/>
    </xf>
    <xf numFmtId="0" fontId="160" fillId="118" borderId="10" xfId="4532" applyFont="1" applyFill="1" applyBorder="1" applyAlignment="1">
      <alignment horizontal="center"/>
    </xf>
    <xf numFmtId="0" fontId="160" fillId="118" borderId="2" xfId="4532" applyFont="1" applyFill="1" applyBorder="1" applyAlignment="1">
      <alignment horizontal="center"/>
    </xf>
    <xf numFmtId="0" fontId="160" fillId="118" borderId="11" xfId="4532" applyFont="1" applyFill="1" applyBorder="1" applyAlignment="1">
      <alignment horizontal="center"/>
    </xf>
    <xf numFmtId="192" fontId="147" fillId="118" borderId="3" xfId="4" applyNumberFormat="1" applyFont="1" applyFill="1" applyBorder="1" applyAlignment="1">
      <alignment horizontal="center"/>
    </xf>
    <xf numFmtId="192" fontId="147" fillId="118" borderId="4" xfId="4" applyNumberFormat="1" applyFont="1" applyFill="1" applyBorder="1" applyAlignment="1">
      <alignment horizontal="center"/>
    </xf>
    <xf numFmtId="0" fontId="147" fillId="121" borderId="3" xfId="4" applyFont="1" applyFill="1" applyBorder="1" applyAlignment="1">
      <alignment horizontal="center"/>
    </xf>
    <xf numFmtId="0" fontId="147" fillId="121" borderId="4" xfId="4" applyFont="1" applyFill="1" applyBorder="1" applyAlignment="1">
      <alignment horizontal="center"/>
    </xf>
    <xf numFmtId="0" fontId="147" fillId="121" borderId="5" xfId="4" applyFont="1" applyFill="1" applyBorder="1" applyAlignment="1">
      <alignment horizontal="center"/>
    </xf>
    <xf numFmtId="0" fontId="11" fillId="40" borderId="3" xfId="4" applyFont="1" applyFill="1" applyBorder="1" applyAlignment="1">
      <alignment horizontal="left" vertical="center" indent="1"/>
    </xf>
    <xf numFmtId="0" fontId="11" fillId="40" borderId="4" xfId="4" applyFont="1" applyFill="1" applyBorder="1" applyAlignment="1">
      <alignment horizontal="left" vertical="center" indent="1"/>
    </xf>
    <xf numFmtId="0" fontId="11" fillId="40" borderId="8" xfId="4" applyFont="1" applyFill="1" applyBorder="1" applyAlignment="1">
      <alignment horizontal="left" vertical="center" indent="1"/>
    </xf>
    <xf numFmtId="0" fontId="11" fillId="40" borderId="1" xfId="4" applyFont="1" applyFill="1" applyBorder="1" applyAlignment="1">
      <alignment horizontal="left" vertical="center" indent="1"/>
    </xf>
    <xf numFmtId="0" fontId="11" fillId="40" borderId="5" xfId="4" applyFont="1" applyFill="1" applyBorder="1" applyAlignment="1">
      <alignment horizontal="left" vertical="center" indent="1"/>
    </xf>
  </cellXfs>
  <cellStyles count="4534">
    <cellStyle name="_02 Evol Inver Amort y Obras en Curso SAL 2007" xfId="372"/>
    <cellStyle name="_02 Evol Inver Amort y Obras en Curso SAL 2007 2" xfId="373"/>
    <cellStyle name="_02 Evol Inver Amort y Obras en Curso SAN 2007" xfId="374"/>
    <cellStyle name="_02 Evol Inver Amort y Obras en Curso SAN 2007 2" xfId="375"/>
    <cellStyle name="_02 Resumen, detalle inversiones y dep 2007" xfId="376"/>
    <cellStyle name="_02 Resumen, detalle inversiones y dep 2007 2" xfId="377"/>
    <cellStyle name="_02 Resumen,detalle inver y dep SAL 2007" xfId="378"/>
    <cellStyle name="_03 ACTIVACION CAPEX Y OBRAS EN CURSO 2007" xfId="379"/>
    <cellStyle name="_03 ACTIVACION CAPEX Y OBRAS EN CURSO 2007 2" xfId="380"/>
    <cellStyle name="_03 ACTIVACION CAPEX Y OBRAS EN CURSO 2007 2 2" xfId="381"/>
    <cellStyle name="_03 ACTIVACION CAPEX Y OBRAS EN CURSO 2007 2 2 2" xfId="382"/>
    <cellStyle name="_03 ACTIVACION CAPEX Y OBRAS EN CURSO 2007 2 3" xfId="383"/>
    <cellStyle name="_03 ACTIVACION CAPEX Y OBRAS EN CURSO 2007 2_20110401_SAL_Rev#1_ PTP 2011" xfId="384"/>
    <cellStyle name="_03 ACTIVACION CAPEX Y OBRAS EN CURSO 2007 2_20110401_SAN_Rev#1_ PTP 2012" xfId="385"/>
    <cellStyle name="_03 ACTIVACION CAPEX Y OBRAS EN CURSO 2007 2_20110401_SAN_Rev#2_ PTP 2012" xfId="386"/>
    <cellStyle name="_03 ACTIVACION CAPEX Y OBRAS EN CURSO 2007 2_PERF SAL101i" xfId="387"/>
    <cellStyle name="_03 ACTIVACION CAPEX Y OBRAS EN CURSO 2007 2_PERF SAL16" xfId="388"/>
    <cellStyle name="_03 ACTIVACION CAPEX Y OBRAS EN CURSO 2007 2_PERF SBL101i" xfId="389"/>
    <cellStyle name="_03 ACTIVACION CAPEX Y OBRAS EN CURSO 2007 2_REENTRY SAL X11" xfId="390"/>
    <cellStyle name="_03 ACTIVACION CAPEX Y OBRAS EN CURSO 2007 2_TERM REENTRY SAL X11" xfId="391"/>
    <cellStyle name="_03 ACTIVACION CAPEX Y OBRAS EN CURSO 2007 2_TERM SBL101i" xfId="392"/>
    <cellStyle name="_03 ACTIVACION CAPEX Y OBRAS EN CURSO 2007 3" xfId="393"/>
    <cellStyle name="_03 ACTIVACION CAPEX Y OBRAS EN CURSO 2007_20110401_SAL_Rev#1_ PTP 2011" xfId="394"/>
    <cellStyle name="_03 ACTIVACION CAPEX Y OBRAS EN CURSO 2007_20110401_SAN_Rev#1_ PTP 2012" xfId="395"/>
    <cellStyle name="_03 ACTIVACION CAPEX Y OBRAS EN CURSO 2007_DESCARTE AGUA" xfId="396"/>
    <cellStyle name="_03 ACTIVACION CAPEX Y OBRAS EN CURSO 2007_DESCARTE AGUA 2" xfId="397"/>
    <cellStyle name="_03 ACTIVACION CAPEX Y OBRAS EN CURSO 2007_DNCR T-03 TOTAL" xfId="398"/>
    <cellStyle name="_03 ACTIVACION CAPEX Y OBRAS EN CURSO 2007_DNCR-AUX-01-SEG." xfId="399"/>
    <cellStyle name="_03 ACTIVACION CAPEX Y OBRAS EN CURSO 2007_DNCR-AUX-01-SEG._DNCR T-03 TOTAL" xfId="400"/>
    <cellStyle name="_03 ACTIVACION CAPEX Y OBRAS EN CURSO 2007_DNCR-AUX-01-SEG._FORM. DNCR T-03 2008" xfId="401"/>
    <cellStyle name="_03 ACTIVACION CAPEX Y OBRAS EN CURSO 2007_FORM. DNCR T-03 2008" xfId="402"/>
    <cellStyle name="_03 ACTIVACION CAPEX Y OBRAS EN CURSO 2007_PERF SAL101i" xfId="403"/>
    <cellStyle name="_03 ACTIVACION CAPEX Y OBRAS EN CURSO 2007_PERF SAL16" xfId="404"/>
    <cellStyle name="_03 ACTIVACION CAPEX Y OBRAS EN CURSO 2007_REENTRY SAL X11" xfId="405"/>
    <cellStyle name="_03 ACTIVACION CAPEX Y OBRAS EN CURSO 2007_Revisión Seguros 2008_ DNCR-AUX-01-SEG" xfId="406"/>
    <cellStyle name="_03 ACTIVACION CAPEX Y OBRAS EN CURSO 2007_Revisión Seguros 2008_ DNCR-AUX-01-SEG_DNCR T-03 TOTAL" xfId="407"/>
    <cellStyle name="_03 ACTIVACION CAPEX Y OBRAS EN CURSO 2007_Revisión Seguros 2008_ DNCR-AUX-01-SEG_FORM. DNCR T-03 2008" xfId="408"/>
    <cellStyle name="_03 ACTIVACION CAPEX Y OBRAS EN CURSO 2007_Seguro médico" xfId="409"/>
    <cellStyle name="_03 ACTIVACION CAPEX Y OBRAS EN CURSO 2007_Seguro médico_DNCR T-03 TOTAL" xfId="410"/>
    <cellStyle name="_03 ACTIVACION CAPEX Y OBRAS EN CURSO 2007_Seguro médico_FORM. DNCR T-03 2008" xfId="411"/>
    <cellStyle name="_03 ACTIVACION CAPEX Y OBRAS EN CURSO 2007_Seguros" xfId="412"/>
    <cellStyle name="_03 ACTIVACION CAPEX Y OBRAS EN CURSO 2007_TERM REENTRY SAL X11" xfId="413"/>
    <cellStyle name="_2 Evol Inver Amort y Obras en Curso BG 2007" xfId="414"/>
    <cellStyle name="_2 Evol Inver Amort y Obras en Curso SAL 2007" xfId="415"/>
    <cellStyle name="_2 Evol Inver Amort y Obras en Curso SAL 2007 2" xfId="416"/>
    <cellStyle name="_20 centralizador Capex BGL mayo dic-2007" xfId="417"/>
    <cellStyle name="_20 centralizador Capex BGL mayo dic-2007_20 Revis Costos Recup BG may dic-2007 VER 2" xfId="418"/>
    <cellStyle name="_20 centralizador Capex BGL mayo dic-2007_20 Revis Costos Recup BG may dic-2007 VER 2_DNCR T-03 TOTAL" xfId="419"/>
    <cellStyle name="_20 centralizador Capex BGL mayo dic-2007_20 Revis Costos Recup BG may dic-2007 VER 2_DNCR-AUX-01-SEG." xfId="420"/>
    <cellStyle name="_20 centralizador Capex BGL mayo dic-2007_20 Revis Costos Recup BG may dic-2007 VER 2_DNCR-AUX-01-SEG._DNCR T-03 TOTAL" xfId="421"/>
    <cellStyle name="_20 centralizador Capex BGL mayo dic-2007_20 Revis Costos Recup BG may dic-2007 VER 2_DNCR-AUX-01-SEG._FORM. DNCR T-03 2008" xfId="422"/>
    <cellStyle name="_20 centralizador Capex BGL mayo dic-2007_20 Revis Costos Recup BG may dic-2007 VER 2_FORM. DNCR T-03 2008" xfId="423"/>
    <cellStyle name="_20 centralizador Capex BGL mayo dic-2007_20 Revis Costos Recup BG may dic-2007 VER 2_Revisión Seguros 2008_ DNCR-AUX-01-SEG" xfId="424"/>
    <cellStyle name="_20 centralizador Capex BGL mayo dic-2007_20 Revis Costos Recup BG may dic-2007 VER 2_Revisión Seguros 2008_ DNCR-AUX-01-SEG_DNCR T-03 TOTAL" xfId="425"/>
    <cellStyle name="_20 centralizador Capex BGL mayo dic-2007_20 Revis Costos Recup BG may dic-2007 VER 2_Revisión Seguros 2008_ DNCR-AUX-01-SEG_FORM. DNCR T-03 2008" xfId="426"/>
    <cellStyle name="_20 centralizador Capex BGL mayo dic-2007_20 Revis Costos Recup BG may dic-2007 VER 2_Seguro médico" xfId="427"/>
    <cellStyle name="_20 centralizador Capex BGL mayo dic-2007_20 Revis Costos Recup BG may dic-2007 VER 2_Seguro médico_DNCR T-03 TOTAL" xfId="428"/>
    <cellStyle name="_20 centralizador Capex BGL mayo dic-2007_20 Revis Costos Recup BG may dic-2007 VER 2_Seguro médico_FORM. DNCR T-03 2008" xfId="429"/>
    <cellStyle name="_20 centralizador Capex BGL mayo dic-2007_20 REVIS COSTOS RECUP PESA may dic-2007 VER 2" xfId="430"/>
    <cellStyle name="_20 centralizador Capex BGL mayo dic-2007_20 REVIS COSTOS RECUP PESA may dic-2007 VER 2_DNCR T-03 TOTAL" xfId="431"/>
    <cellStyle name="_20 centralizador Capex BGL mayo dic-2007_20 REVIS COSTOS RECUP PESA may dic-2007 VER 2_FORM. DNCR T-03 2008" xfId="432"/>
    <cellStyle name="_20 centralizador Capex BGL mayo dic-2007_DNCR T-03 TOTAL" xfId="433"/>
    <cellStyle name="_20 centralizador Capex BGL mayo dic-2007_DNCR-AUX-01-SEG." xfId="434"/>
    <cellStyle name="_20 centralizador Capex BGL mayo dic-2007_DNCR-AUX-01-SEG._DNCR T-03 TOTAL" xfId="435"/>
    <cellStyle name="_20 centralizador Capex BGL mayo dic-2007_DNCR-AUX-01-SEG._FORM. DNCR T-03 2008" xfId="436"/>
    <cellStyle name="_20 centralizador Capex BGL mayo dic-2007_FORM. DNCR T-03 2008" xfId="437"/>
    <cellStyle name="_20 centralizador Capex BGL mayo dic-2007_Revisión Seguros 2008_ DNCR-AUX-01-SEG" xfId="438"/>
    <cellStyle name="_20 centralizador Capex BGL mayo dic-2007_Revisión Seguros 2008_ DNCR-AUX-01-SEG_DNCR T-03 TOTAL" xfId="439"/>
    <cellStyle name="_20 centralizador Capex BGL mayo dic-2007_Revisión Seguros 2008_ DNCR-AUX-01-SEG_FORM. DNCR T-03 2008" xfId="440"/>
    <cellStyle name="_20 centralizador Capex BGL mayo dic-2007_Seguro médico" xfId="441"/>
    <cellStyle name="_20 centralizador Capex BGL mayo dic-2007_Seguro médico_DNCR T-03 TOTAL" xfId="442"/>
    <cellStyle name="_20 centralizador Capex BGL mayo dic-2007_Seguro médico_FORM. DNCR T-03 2008" xfId="443"/>
    <cellStyle name="_20 centralizador Capex BGL mayo dic-2007_Seguros" xfId="444"/>
    <cellStyle name="_20 centralizador Capex BGL mayo dic-2007_SEGUROS PEB MAY DIC 07" xfId="445"/>
    <cellStyle name="_20 centralizador Capex BGL mayo dic-2007_SEGUROS PEB MAY DIC 07_20 Revis Costos Recup BG may dic-2007 VER 2" xfId="446"/>
    <cellStyle name="_20 centralizador Capex BGL mayo dic-2007_SEGUROS PEB MAY DIC 07_20 Revis Costos Recup BG may dic-2007 VER 2_DNCR T-03 TOTAL" xfId="447"/>
    <cellStyle name="_20 centralizador Capex BGL mayo dic-2007_SEGUROS PEB MAY DIC 07_20 Revis Costos Recup BG may dic-2007 VER 2_FORM. DNCR T-03 2008" xfId="448"/>
    <cellStyle name="_20 centralizador Capex BGL mayo dic-2007_SEGUROS PEB MAY DIC 07_DNCR T-03 TOTAL" xfId="449"/>
    <cellStyle name="_20 centralizador Capex BGL mayo dic-2007_SEGUROS PEB MAY DIC 07_DNCR-AUX-01-SEG." xfId="450"/>
    <cellStyle name="_20 centralizador Capex BGL mayo dic-2007_SEGUROS PEB MAY DIC 07_DNCR-AUX-01-SEG._DNCR T-03 TOTAL" xfId="451"/>
    <cellStyle name="_20 centralizador Capex BGL mayo dic-2007_SEGUROS PEB MAY DIC 07_DNCR-AUX-01-SEG._FORM. DNCR T-03 2008" xfId="452"/>
    <cellStyle name="_20 centralizador Capex BGL mayo dic-2007_SEGUROS PEB MAY DIC 07_FORM. DNCR T-03 2008" xfId="453"/>
    <cellStyle name="_20 centralizador Capex BGL mayo dic-2007_SEGUROS PEB MAY DIC 07_Revisión Seguros 2008_ DNCR-AUX-01-SEG" xfId="454"/>
    <cellStyle name="_20 centralizador Capex BGL mayo dic-2007_SEGUROS PEB MAY DIC 07_Revisión Seguros 2008_ DNCR-AUX-01-SEG_DNCR T-03 TOTAL" xfId="455"/>
    <cellStyle name="_20 centralizador Capex BGL mayo dic-2007_SEGUROS PEB MAY DIC 07_Revisión Seguros 2008_ DNCR-AUX-01-SEG_FORM. DNCR T-03 2008" xfId="456"/>
    <cellStyle name="_20 centralizador Capex BGL mayo dic-2007_SEGUROS PEB MAY DIC 07_Seguro médico" xfId="457"/>
    <cellStyle name="_20 centralizador Capex BGL mayo dic-2007_SEGUROS PEB MAY DIC 07_Seguro médico_DNCR T-03 TOTAL" xfId="458"/>
    <cellStyle name="_20 centralizador Capex BGL mayo dic-2007_SEGUROS PEB MAY DIC 07_Seguro médico_FORM. DNCR T-03 2008" xfId="459"/>
    <cellStyle name="_20 centralizador Capex BGL mayo dic-2007_seguros PEB v. final 2" xfId="460"/>
    <cellStyle name="_20 centralizador Capex BGL mayo dic-2007_seguros PEB v. final 2_DNCR T-03 TOTAL" xfId="461"/>
    <cellStyle name="_20 centralizador Capex BGL mayo dic-2007_seguros PEB v. final 2_DNCR-AUX-01-SEG." xfId="462"/>
    <cellStyle name="_20 centralizador Capex BGL mayo dic-2007_seguros PEB v. final 2_DNCR-AUX-01-SEG._DNCR T-03 TOTAL" xfId="463"/>
    <cellStyle name="_20 centralizador Capex BGL mayo dic-2007_seguros PEB v. final 2_DNCR-AUX-01-SEG._FORM. DNCR T-03 2008" xfId="464"/>
    <cellStyle name="_20 centralizador Capex BGL mayo dic-2007_seguros PEB v. final 2_FORM. DNCR T-03 2008" xfId="465"/>
    <cellStyle name="_20 centralizador Capex BGL mayo dic-2007_seguros PEB v. final 2_Revisión Seguros 2008_ DNCR-AUX-01-SEG" xfId="466"/>
    <cellStyle name="_20 centralizador Capex BGL mayo dic-2007_seguros PEB v. final 2_Revisión Seguros 2008_ DNCR-AUX-01-SEG_DNCR T-03 TOTAL" xfId="467"/>
    <cellStyle name="_20 centralizador Capex BGL mayo dic-2007_seguros PEB v. final 2_Revisión Seguros 2008_ DNCR-AUX-01-SEG_FORM. DNCR T-03 2008" xfId="468"/>
    <cellStyle name="_20 centralizador Capex BGL mayo dic-2007_seguros PEB v. final 2_Seguro médico" xfId="469"/>
    <cellStyle name="_20 centralizador Capex BGL mayo dic-2007_seguros PEB v. final 2_Seguro médico_DNCR T-03 TOTAL" xfId="470"/>
    <cellStyle name="_20 centralizador Capex BGL mayo dic-2007_seguros PEB v. final 2_Seguro médico_FORM. DNCR T-03 2008" xfId="471"/>
    <cellStyle name="_20 centralizador Capex SAL mayo jul-2007" xfId="472"/>
    <cellStyle name="_20 centralizador Capex SAL mayo jul-2007 2" xfId="473"/>
    <cellStyle name="_20 centralizador Capex SAL mayo jul-2007 2 2" xfId="474"/>
    <cellStyle name="_20 centralizador Capex SAL mayo jul-2007 2 2 2" xfId="475"/>
    <cellStyle name="_20 centralizador Capex SAL mayo jul-2007 2 3" xfId="476"/>
    <cellStyle name="_20 centralizador Capex SAL mayo jul-2007 2_20110401_SAL_Rev#1_ PTP 2011" xfId="477"/>
    <cellStyle name="_20 centralizador Capex SAL mayo jul-2007 2_20110401_SAN_Rev#1_ PTP 2012" xfId="478"/>
    <cellStyle name="_20 centralizador Capex SAL mayo jul-2007 2_20110401_SAN_Rev#2_ PTP 2012" xfId="479"/>
    <cellStyle name="_20 centralizador Capex SAL mayo jul-2007 2_PERF SAL101i" xfId="480"/>
    <cellStyle name="_20 centralizador Capex SAL mayo jul-2007 2_PERF SAL16" xfId="481"/>
    <cellStyle name="_20 centralizador Capex SAL mayo jul-2007 2_PERF SBL101i" xfId="482"/>
    <cellStyle name="_20 centralizador Capex SAL mayo jul-2007 2_REENTRY SAL X11" xfId="483"/>
    <cellStyle name="_20 centralizador Capex SAL mayo jul-2007 2_TERM REENTRY SAL X11" xfId="484"/>
    <cellStyle name="_20 centralizador Capex SAL mayo jul-2007 2_TERM SBL101i" xfId="485"/>
    <cellStyle name="_20 centralizador Capex SAL mayo jul-2007 3" xfId="486"/>
    <cellStyle name="_20 centralizador Capex SAL mayo jul-2007_20110401_SAL_Rev#1_ PTP 2011" xfId="487"/>
    <cellStyle name="_20 centralizador Capex SAL mayo jul-2007_20110401_SAN_Rev#1_ PTP 2012" xfId="488"/>
    <cellStyle name="_20 centralizador Capex SAL mayo jul-2007_DESCARTE AGUA" xfId="489"/>
    <cellStyle name="_20 centralizador Capex SAL mayo jul-2007_DESCARTE AGUA 2" xfId="490"/>
    <cellStyle name="_20 centralizador Capex SAL mayo jul-2007_DNCR T-03 TOTAL" xfId="491"/>
    <cellStyle name="_20 centralizador Capex SAL mayo jul-2007_DNCR-AUX-01-SEG." xfId="492"/>
    <cellStyle name="_20 centralizador Capex SAL mayo jul-2007_DNCR-AUX-01-SEG._DNCR T-03 TOTAL" xfId="493"/>
    <cellStyle name="_20 centralizador Capex SAL mayo jul-2007_DNCR-AUX-01-SEG._FORM. DNCR T-03 2008" xfId="494"/>
    <cellStyle name="_20 centralizador Capex SAL mayo jul-2007_FORM. DNCR T-03 2008" xfId="495"/>
    <cellStyle name="_20 centralizador Capex SAL mayo jul-2007_PERF SAL101i" xfId="496"/>
    <cellStyle name="_20 centralizador Capex SAL mayo jul-2007_PERF SAL16" xfId="497"/>
    <cellStyle name="_20 centralizador Capex SAL mayo jul-2007_REENTRY SAL X11" xfId="498"/>
    <cellStyle name="_20 centralizador Capex SAL mayo jul-2007_Revisión Seguros 2008_ DNCR-AUX-01-SEG" xfId="499"/>
    <cellStyle name="_20 centralizador Capex SAL mayo jul-2007_Revisión Seguros 2008_ DNCR-AUX-01-SEG_DNCR T-03 TOTAL" xfId="500"/>
    <cellStyle name="_20 centralizador Capex SAL mayo jul-2007_Revisión Seguros 2008_ DNCR-AUX-01-SEG_FORM. DNCR T-03 2008" xfId="501"/>
    <cellStyle name="_20 centralizador Capex SAL mayo jul-2007_Seguro médico" xfId="502"/>
    <cellStyle name="_20 centralizador Capex SAL mayo jul-2007_Seguro médico_DNCR T-03 TOTAL" xfId="503"/>
    <cellStyle name="_20 centralizador Capex SAL mayo jul-2007_Seguro médico_FORM. DNCR T-03 2008" xfId="504"/>
    <cellStyle name="_20 centralizador Capex SAL mayo jul-2007_Seguros" xfId="505"/>
    <cellStyle name="_20 centralizador Capex SAL mayo jul-2007_TERM REENTRY SAL X11" xfId="506"/>
    <cellStyle name="_20 centralizador Capex SAN mayo jul-2007" xfId="507"/>
    <cellStyle name="_20 centralizador Capex SAN mayo jul-2007 2" xfId="508"/>
    <cellStyle name="_20 centralizador Capex SAN mayo jul-2007 2 2" xfId="509"/>
    <cellStyle name="_20 centralizador Capex SAN mayo jul-2007 2 2 2" xfId="510"/>
    <cellStyle name="_20 centralizador Capex SAN mayo jul-2007 2 3" xfId="511"/>
    <cellStyle name="_20 centralizador Capex SAN mayo jul-2007 2_20110401_SAL_Rev#1_ PTP 2011" xfId="512"/>
    <cellStyle name="_20 centralizador Capex SAN mayo jul-2007 2_20110401_SAN_Rev#1_ PTP 2012" xfId="513"/>
    <cellStyle name="_20 centralizador Capex SAN mayo jul-2007 2_20110401_SAN_Rev#2_ PTP 2012" xfId="514"/>
    <cellStyle name="_20 centralizador Capex SAN mayo jul-2007 2_PERF SAL101i" xfId="515"/>
    <cellStyle name="_20 centralizador Capex SAN mayo jul-2007 2_PERF SAL16" xfId="516"/>
    <cellStyle name="_20 centralizador Capex SAN mayo jul-2007 2_PERF SBL101i" xfId="517"/>
    <cellStyle name="_20 centralizador Capex SAN mayo jul-2007 2_REENTRY SAL X11" xfId="518"/>
    <cellStyle name="_20 centralizador Capex SAN mayo jul-2007 2_TERM REENTRY SAL X11" xfId="519"/>
    <cellStyle name="_20 centralizador Capex SAN mayo jul-2007 2_TERM SBL101i" xfId="520"/>
    <cellStyle name="_20 centralizador Capex SAN mayo jul-2007 3" xfId="521"/>
    <cellStyle name="_20 centralizador Capex SAN mayo jul-2007_20110401_SAL_Rev#1_ PTP 2011" xfId="522"/>
    <cellStyle name="_20 centralizador Capex SAN mayo jul-2007_20110401_SAN_Rev#1_ PTP 2012" xfId="523"/>
    <cellStyle name="_20 centralizador Capex SAN mayo jul-2007_DESCARTE AGUA" xfId="524"/>
    <cellStyle name="_20 centralizador Capex SAN mayo jul-2007_DESCARTE AGUA 2" xfId="525"/>
    <cellStyle name="_20 centralizador Capex SAN mayo jul-2007_DNCR T-03 TOTAL" xfId="526"/>
    <cellStyle name="_20 centralizador Capex SAN mayo jul-2007_DNCR-AUX-01-SEG." xfId="527"/>
    <cellStyle name="_20 centralizador Capex SAN mayo jul-2007_DNCR-AUX-01-SEG._DNCR T-03 TOTAL" xfId="528"/>
    <cellStyle name="_20 centralizador Capex SAN mayo jul-2007_DNCR-AUX-01-SEG._FORM. DNCR T-03 2008" xfId="529"/>
    <cellStyle name="_20 centralizador Capex SAN mayo jul-2007_FORM. DNCR T-03 2008" xfId="530"/>
    <cellStyle name="_20 centralizador Capex SAN mayo jul-2007_PERF SAL101i" xfId="531"/>
    <cellStyle name="_20 centralizador Capex SAN mayo jul-2007_PERF SAL16" xfId="532"/>
    <cellStyle name="_20 centralizador Capex SAN mayo jul-2007_REENTRY SAL X11" xfId="533"/>
    <cellStyle name="_20 centralizador Capex SAN mayo jul-2007_Revisión Seguros 2008_ DNCR-AUX-01-SEG" xfId="534"/>
    <cellStyle name="_20 centralizador Capex SAN mayo jul-2007_Revisión Seguros 2008_ DNCR-AUX-01-SEG_DNCR T-03 TOTAL" xfId="535"/>
    <cellStyle name="_20 centralizador Capex SAN mayo jul-2007_Revisión Seguros 2008_ DNCR-AUX-01-SEG_FORM. DNCR T-03 2008" xfId="536"/>
    <cellStyle name="_20 centralizador Capex SAN mayo jul-2007_Seguro médico" xfId="537"/>
    <cellStyle name="_20 centralizador Capex SAN mayo jul-2007_Seguro médico_DNCR T-03 TOTAL" xfId="538"/>
    <cellStyle name="_20 centralizador Capex SAN mayo jul-2007_Seguro médico_FORM. DNCR T-03 2008" xfId="539"/>
    <cellStyle name="_20 centralizador Capex SAN mayo jul-2007_Seguros" xfId="540"/>
    <cellStyle name="_20 centralizador Capex SAN mayo jul-2007_TERM REENTRY SAL X11" xfId="541"/>
    <cellStyle name="_20 revis OBC CAPEX PESA May Dic-07" xfId="542"/>
    <cellStyle name="_20 revis OBC CAPEX PESA May Dic-07_20 Revis Costos Recup BG may dic-2007 VER 2" xfId="543"/>
    <cellStyle name="_20 revis OBC CAPEX PESA May Dic-07_20 Revis Costos Recup BG may dic-2007 VER 2_DNCR T-03 TOTAL" xfId="544"/>
    <cellStyle name="_20 revis OBC CAPEX PESA May Dic-07_20 Revis Costos Recup BG may dic-2007 VER 2_DNCR-AUX-01-SEG." xfId="545"/>
    <cellStyle name="_20 revis OBC CAPEX PESA May Dic-07_20 Revis Costos Recup BG may dic-2007 VER 2_DNCR-AUX-01-SEG._DNCR T-03 TOTAL" xfId="546"/>
    <cellStyle name="_20 revis OBC CAPEX PESA May Dic-07_20 Revis Costos Recup BG may dic-2007 VER 2_DNCR-AUX-01-SEG._FORM. DNCR T-03 2008" xfId="547"/>
    <cellStyle name="_20 revis OBC CAPEX PESA May Dic-07_20 Revis Costos Recup BG may dic-2007 VER 2_FORM. DNCR T-03 2008" xfId="548"/>
    <cellStyle name="_20 revis OBC CAPEX PESA May Dic-07_20 Revis Costos Recup BG may dic-2007 VER 2_Revisión Seguros 2008_ DNCR-AUX-01-SEG" xfId="549"/>
    <cellStyle name="_20 revis OBC CAPEX PESA May Dic-07_20 Revis Costos Recup BG may dic-2007 VER 2_Revisión Seguros 2008_ DNCR-AUX-01-SEG_DNCR T-03 TOTAL" xfId="550"/>
    <cellStyle name="_20 revis OBC CAPEX PESA May Dic-07_20 Revis Costos Recup BG may dic-2007 VER 2_Revisión Seguros 2008_ DNCR-AUX-01-SEG_FORM. DNCR T-03 2008" xfId="551"/>
    <cellStyle name="_20 revis OBC CAPEX PESA May Dic-07_20 Revis Costos Recup BG may dic-2007 VER 2_Seguro médico" xfId="552"/>
    <cellStyle name="_20 revis OBC CAPEX PESA May Dic-07_20 Revis Costos Recup BG may dic-2007 VER 2_Seguro médico_DNCR T-03 TOTAL" xfId="553"/>
    <cellStyle name="_20 revis OBC CAPEX PESA May Dic-07_20 Revis Costos Recup BG may dic-2007 VER 2_Seguro médico_FORM. DNCR T-03 2008" xfId="554"/>
    <cellStyle name="_20 revis OBC CAPEX PESA May Dic-07_DNCR T-03 TOTAL" xfId="555"/>
    <cellStyle name="_20 revis OBC CAPEX PESA May Dic-07_FORM. DNCR T-03 2008" xfId="556"/>
    <cellStyle name="_Conciliación Anexo G  2007 MODIF JOBAR" xfId="557"/>
    <cellStyle name="_COSTOS RECUPERABLES-PESA May-07 a Dic-07 (conciliacion)" xfId="558"/>
    <cellStyle name="_COSTOS RECUPERABLES-PESA May-07 a Dic-07 muestra" xfId="559"/>
    <cellStyle name="_Depreciaciones Bloques modelo YPFB Gestion 2007 V2" xfId="560"/>
    <cellStyle name="_Depreciaciones Bloques modelo YPFB Gestion 2007 V2 2" xfId="561"/>
    <cellStyle name="_Depreciaciones Bloques modelo YPFB Gestion 2008" xfId="562"/>
    <cellStyle name="_Depreciaciones Bloques modelo YPFB Gestion 2008 2" xfId="563"/>
    <cellStyle name="_Depreciaciones Bloques modelo YPFB Gestion 2008 V1" xfId="564"/>
    <cellStyle name="_Depreciaciones Bloques modelo YPFB Gestion 2008 V1 2" xfId="565"/>
    <cellStyle name="_EVOLUCION INVERSIONES Y AJUSTE DEPRECIAC MAYO A DICBRE 2007" xfId="566"/>
    <cellStyle name="_EVOLUCION INVERSIONES Y AJUSTE DEPRECIAC MAYO A DICBRE 2007 (2)" xfId="567"/>
    <cellStyle name="=C:\WINNT\SYSTEM32\COMMAND.COM" xfId="568"/>
    <cellStyle name="=C:\WINNT35\SYSTEM32\COMMAND.COM" xfId="6"/>
    <cellStyle name="=C:\WINNT35\SYSTEM32\COMMAND.COM 2" xfId="569"/>
    <cellStyle name="0,0_x000d__x000a_NA_x000d__x000a_" xfId="570"/>
    <cellStyle name="0,0_x000d__x000a_NA_x000d__x000a_ 10" xfId="571"/>
    <cellStyle name="0,0_x000d__x000a_NA_x000d__x000a_ 11" xfId="572"/>
    <cellStyle name="0,0_x000d__x000a_NA_x000d__x000a_ 12" xfId="573"/>
    <cellStyle name="0,0_x000d__x000a_NA_x000d__x000a_ 2" xfId="574"/>
    <cellStyle name="0,0_x000d__x000a_NA_x000d__x000a_ 2 2" xfId="575"/>
    <cellStyle name="0,0_x000d__x000a_NA_x000d__x000a_ 2 2 2" xfId="576"/>
    <cellStyle name="0,0_x000d__x000a_NA_x000d__x000a_ 2 3" xfId="577"/>
    <cellStyle name="0,0_x000d__x000a_NA_x000d__x000a_ 2_20110401_SAL_Rev#1_ PTP 2011" xfId="578"/>
    <cellStyle name="0,0_x000d__x000a_NA_x000d__x000a_ 3" xfId="579"/>
    <cellStyle name="0,0_x000d__x000a_NA_x000d__x000a_ 3 2" xfId="580"/>
    <cellStyle name="0,0_x000d__x000a_NA_x000d__x000a_ 4" xfId="581"/>
    <cellStyle name="0,0_x000d__x000a_NA_x000d__x000a_ 4 2" xfId="582"/>
    <cellStyle name="0,0_x000d__x000a_NA_x000d__x000a_ 4 3" xfId="583"/>
    <cellStyle name="0,0_x000d__x000a_NA_x000d__x000a_ 5" xfId="584"/>
    <cellStyle name="0,0_x000d__x000a_NA_x000d__x000a_ 5 2" xfId="585"/>
    <cellStyle name="0,0_x000d__x000a_NA_x000d__x000a_ 5 3" xfId="586"/>
    <cellStyle name="0,0_x000d__x000a_NA_x000d__x000a_ 6" xfId="587"/>
    <cellStyle name="0,0_x000d__x000a_NA_x000d__x000a_ 6 2" xfId="588"/>
    <cellStyle name="0,0_x000d__x000a_NA_x000d__x000a_ 7" xfId="589"/>
    <cellStyle name="0,0_x000d__x000a_NA_x000d__x000a_ 7 2" xfId="590"/>
    <cellStyle name="0,0_x000d__x000a_NA_x000d__x000a_ 8" xfId="591"/>
    <cellStyle name="0,0_x000d__x000a_NA_x000d__x000a_ 9" xfId="592"/>
    <cellStyle name="0,0_x000d__x000a_NA_x000d__x000a__20110401_SAN_Rev#1_ PTP 2012" xfId="593"/>
    <cellStyle name="0752-93035" xfId="594"/>
    <cellStyle name="0752-93035 10" xfId="595"/>
    <cellStyle name="0752-93035 11" xfId="596"/>
    <cellStyle name="0752-93035 2" xfId="597"/>
    <cellStyle name="0752-93035 2 2" xfId="598"/>
    <cellStyle name="0752-93035 2 2 2" xfId="599"/>
    <cellStyle name="0752-93035 2 3" xfId="600"/>
    <cellStyle name="0752-93035 2_20110401_SAL_Rev#1_ PTP 2011" xfId="601"/>
    <cellStyle name="0752-93035 3" xfId="602"/>
    <cellStyle name="0752-93035 3 2" xfId="603"/>
    <cellStyle name="0752-93035 4" xfId="604"/>
    <cellStyle name="0752-93035 4 2" xfId="605"/>
    <cellStyle name="0752-93035 5" xfId="606"/>
    <cellStyle name="0752-93035 5 2" xfId="607"/>
    <cellStyle name="0752-93035 5 3" xfId="608"/>
    <cellStyle name="0752-93035 6" xfId="609"/>
    <cellStyle name="0752-93035 7" xfId="610"/>
    <cellStyle name="0752-93035 8" xfId="611"/>
    <cellStyle name="0752-93035 9" xfId="612"/>
    <cellStyle name="0752-93035_20110401_SAN_Rev#1_ PTP 2012" xfId="613"/>
    <cellStyle name="20% - Accent1" xfId="346" builtinId="30" customBuiltin="1"/>
    <cellStyle name="20% - Accent1 2" xfId="7"/>
    <cellStyle name="20% - Accent1 2 2" xfId="8"/>
    <cellStyle name="20% - Accent1 2 3" xfId="4438"/>
    <cellStyle name="20% - Accent1 3" xfId="9"/>
    <cellStyle name="20% - Accent1 4" xfId="620"/>
    <cellStyle name="20% - Accent1 4 2" xfId="4514"/>
    <cellStyle name="20% - Accent2" xfId="350" builtinId="34" customBuiltin="1"/>
    <cellStyle name="20% - Accent2 2" xfId="10"/>
    <cellStyle name="20% - Accent2 2 2" xfId="11"/>
    <cellStyle name="20% - Accent2 2 3" xfId="4442"/>
    <cellStyle name="20% - Accent2 3" xfId="12"/>
    <cellStyle name="20% - Accent2 4" xfId="637"/>
    <cellStyle name="20% - Accent2 4 2" xfId="4516"/>
    <cellStyle name="20% - Accent3" xfId="354" builtinId="38" customBuiltin="1"/>
    <cellStyle name="20% - Accent3 2" xfId="13"/>
    <cellStyle name="20% - Accent3 2 2" xfId="14"/>
    <cellStyle name="20% - Accent3 2 3" xfId="4446"/>
    <cellStyle name="20% - Accent3 3" xfId="15"/>
    <cellStyle name="20% - Accent3 4" xfId="654"/>
    <cellStyle name="20% - Accent3 4 2" xfId="4518"/>
    <cellStyle name="20% - Accent4" xfId="358" builtinId="42" customBuiltin="1"/>
    <cellStyle name="20% - Accent4 2" xfId="16"/>
    <cellStyle name="20% - Accent4 2 2" xfId="17"/>
    <cellStyle name="20% - Accent4 2 3" xfId="4450"/>
    <cellStyle name="20% - Accent4 3" xfId="18"/>
    <cellStyle name="20% - Accent4 4" xfId="671"/>
    <cellStyle name="20% - Accent4 4 2" xfId="4520"/>
    <cellStyle name="20% - Accent5" xfId="362" builtinId="46" customBuiltin="1"/>
    <cellStyle name="20% - Accent5 2" xfId="19"/>
    <cellStyle name="20% - Accent5 2 2" xfId="20"/>
    <cellStyle name="20% - Accent5 2 3" xfId="4454"/>
    <cellStyle name="20% - Accent5 3" xfId="21"/>
    <cellStyle name="20% - Accent5 4" xfId="688"/>
    <cellStyle name="20% - Accent5 4 2" xfId="4522"/>
    <cellStyle name="20% - Accent6" xfId="366" builtinId="50" customBuiltin="1"/>
    <cellStyle name="20% - Accent6 2" xfId="22"/>
    <cellStyle name="20% - Accent6 2 2" xfId="23"/>
    <cellStyle name="20% - Accent6 2 3" xfId="4458"/>
    <cellStyle name="20% - Accent6 3" xfId="24"/>
    <cellStyle name="20% - Accent6 4" xfId="705"/>
    <cellStyle name="20% - Accent6 4 2" xfId="4524"/>
    <cellStyle name="20% - Ênfase1" xfId="614"/>
    <cellStyle name="20% - Ênfase2" xfId="615"/>
    <cellStyle name="20% - Ênfase3" xfId="616"/>
    <cellStyle name="20% - Ênfase4" xfId="617"/>
    <cellStyle name="20% - Ênfase5" xfId="618"/>
    <cellStyle name="20% - Ênfase6" xfId="619"/>
    <cellStyle name="20% - Énfasis1" xfId="25"/>
    <cellStyle name="20% - Énfasis1 10" xfId="621"/>
    <cellStyle name="20% - Énfasis1 11" xfId="622"/>
    <cellStyle name="20% - Énfasis1 12" xfId="623"/>
    <cellStyle name="20% - Énfasis1 13" xfId="624"/>
    <cellStyle name="20% - Énfasis1 14" xfId="625"/>
    <cellStyle name="20% - Énfasis1 2" xfId="626"/>
    <cellStyle name="20% - Énfasis1 2 2" xfId="627"/>
    <cellStyle name="20% - Énfasis1 2 3" xfId="628"/>
    <cellStyle name="20% - Énfasis1 3" xfId="629"/>
    <cellStyle name="20% - Énfasis1 3 2" xfId="630"/>
    <cellStyle name="20% - Énfasis1 4" xfId="631"/>
    <cellStyle name="20% - Énfasis1 5" xfId="632"/>
    <cellStyle name="20% - Énfasis1 6" xfId="633"/>
    <cellStyle name="20% - Énfasis1 7" xfId="634"/>
    <cellStyle name="20% - Énfasis1 8" xfId="635"/>
    <cellStyle name="20% - Énfasis1 9" xfId="636"/>
    <cellStyle name="20% - Énfasis2" xfId="26"/>
    <cellStyle name="20% - Énfasis2 10" xfId="638"/>
    <cellStyle name="20% - Énfasis2 11" xfId="639"/>
    <cellStyle name="20% - Énfasis2 12" xfId="640"/>
    <cellStyle name="20% - Énfasis2 13" xfId="641"/>
    <cellStyle name="20% - Énfasis2 14" xfId="642"/>
    <cellStyle name="20% - Énfasis2 2" xfId="643"/>
    <cellStyle name="20% - Énfasis2 2 2" xfId="644"/>
    <cellStyle name="20% - Énfasis2 2 3" xfId="645"/>
    <cellStyle name="20% - Énfasis2 3" xfId="646"/>
    <cellStyle name="20% - Énfasis2 3 2" xfId="647"/>
    <cellStyle name="20% - Énfasis2 4" xfId="648"/>
    <cellStyle name="20% - Énfasis2 5" xfId="649"/>
    <cellStyle name="20% - Énfasis2 6" xfId="650"/>
    <cellStyle name="20% - Énfasis2 7" xfId="651"/>
    <cellStyle name="20% - Énfasis2 8" xfId="652"/>
    <cellStyle name="20% - Énfasis2 9" xfId="653"/>
    <cellStyle name="20% - Énfasis3" xfId="27"/>
    <cellStyle name="20% - Énfasis3 10" xfId="655"/>
    <cellStyle name="20% - Énfasis3 11" xfId="656"/>
    <cellStyle name="20% - Énfasis3 12" xfId="657"/>
    <cellStyle name="20% - Énfasis3 13" xfId="658"/>
    <cellStyle name="20% - Énfasis3 14" xfId="659"/>
    <cellStyle name="20% - Énfasis3 2" xfId="660"/>
    <cellStyle name="20% - Énfasis3 2 2" xfId="661"/>
    <cellStyle name="20% - Énfasis3 2 3" xfId="662"/>
    <cellStyle name="20% - Énfasis3 3" xfId="663"/>
    <cellStyle name="20% - Énfasis3 3 2" xfId="664"/>
    <cellStyle name="20% - Énfasis3 4" xfId="665"/>
    <cellStyle name="20% - Énfasis3 5" xfId="666"/>
    <cellStyle name="20% - Énfasis3 6" xfId="667"/>
    <cellStyle name="20% - Énfasis3 7" xfId="668"/>
    <cellStyle name="20% - Énfasis3 8" xfId="669"/>
    <cellStyle name="20% - Énfasis3 9" xfId="670"/>
    <cellStyle name="20% - Énfasis4" xfId="28"/>
    <cellStyle name="20% - Énfasis4 10" xfId="672"/>
    <cellStyle name="20% - Énfasis4 11" xfId="673"/>
    <cellStyle name="20% - Énfasis4 12" xfId="674"/>
    <cellStyle name="20% - Énfasis4 13" xfId="675"/>
    <cellStyle name="20% - Énfasis4 14" xfId="676"/>
    <cellStyle name="20% - Énfasis4 2" xfId="677"/>
    <cellStyle name="20% - Énfasis4 2 2" xfId="678"/>
    <cellStyle name="20% - Énfasis4 2 3" xfId="679"/>
    <cellStyle name="20% - Énfasis4 3" xfId="680"/>
    <cellStyle name="20% - Énfasis4 3 2" xfId="681"/>
    <cellStyle name="20% - Énfasis4 4" xfId="682"/>
    <cellStyle name="20% - Énfasis4 5" xfId="683"/>
    <cellStyle name="20% - Énfasis4 6" xfId="684"/>
    <cellStyle name="20% - Énfasis4 7" xfId="685"/>
    <cellStyle name="20% - Énfasis4 8" xfId="686"/>
    <cellStyle name="20% - Énfasis4 9" xfId="687"/>
    <cellStyle name="20% - Énfasis5" xfId="29"/>
    <cellStyle name="20% - Énfasis5 10" xfId="689"/>
    <cellStyle name="20% - Énfasis5 11" xfId="690"/>
    <cellStyle name="20% - Énfasis5 12" xfId="691"/>
    <cellStyle name="20% - Énfasis5 13" xfId="692"/>
    <cellStyle name="20% - Énfasis5 14" xfId="693"/>
    <cellStyle name="20% - Énfasis5 2" xfId="694"/>
    <cellStyle name="20% - Énfasis5 2 2" xfId="695"/>
    <cellStyle name="20% - Énfasis5 2 3" xfId="696"/>
    <cellStyle name="20% - Énfasis5 3" xfId="697"/>
    <cellStyle name="20% - Énfasis5 3 2" xfId="698"/>
    <cellStyle name="20% - Énfasis5 4" xfId="699"/>
    <cellStyle name="20% - Énfasis5 5" xfId="700"/>
    <cellStyle name="20% - Énfasis5 6" xfId="701"/>
    <cellStyle name="20% - Énfasis5 7" xfId="702"/>
    <cellStyle name="20% - Énfasis5 8" xfId="703"/>
    <cellStyle name="20% - Énfasis5 9" xfId="704"/>
    <cellStyle name="20% - Énfasis6" xfId="30"/>
    <cellStyle name="20% - Énfasis6 10" xfId="706"/>
    <cellStyle name="20% - Énfasis6 11" xfId="707"/>
    <cellStyle name="20% - Énfasis6 12" xfId="708"/>
    <cellStyle name="20% - Énfasis6 13" xfId="709"/>
    <cellStyle name="20% - Énfasis6 14" xfId="710"/>
    <cellStyle name="20% - Énfasis6 2" xfId="711"/>
    <cellStyle name="20% - Énfasis6 2 2" xfId="712"/>
    <cellStyle name="20% - Énfasis6 2 3" xfId="713"/>
    <cellStyle name="20% - Énfasis6 3" xfId="714"/>
    <cellStyle name="20% - Énfasis6 3 2" xfId="715"/>
    <cellStyle name="20% - Énfasis6 4" xfId="716"/>
    <cellStyle name="20% - Énfasis6 5" xfId="717"/>
    <cellStyle name="20% - Énfasis6 6" xfId="718"/>
    <cellStyle name="20% - Énfasis6 7" xfId="719"/>
    <cellStyle name="20% - Énfasis6 8" xfId="720"/>
    <cellStyle name="20% - Énfasis6 9" xfId="721"/>
    <cellStyle name="40% - Accent1" xfId="347" builtinId="31" customBuiltin="1"/>
    <cellStyle name="40% - Accent1 2" xfId="31"/>
    <cellStyle name="40% - Accent1 2 2" xfId="32"/>
    <cellStyle name="40% - Accent1 2 3" xfId="4439"/>
    <cellStyle name="40% - Accent1 3" xfId="33"/>
    <cellStyle name="40% - Accent1 4" xfId="728"/>
    <cellStyle name="40% - Accent1 4 2" xfId="4515"/>
    <cellStyle name="40% - Accent2" xfId="351" builtinId="35" customBuiltin="1"/>
    <cellStyle name="40% - Accent2 2" xfId="34"/>
    <cellStyle name="40% - Accent2 2 2" xfId="35"/>
    <cellStyle name="40% - Accent2 2 3" xfId="4443"/>
    <cellStyle name="40% - Accent2 3" xfId="36"/>
    <cellStyle name="40% - Accent2 4" xfId="745"/>
    <cellStyle name="40% - Accent2 4 2" xfId="4517"/>
    <cellStyle name="40% - Accent3" xfId="355" builtinId="39" customBuiltin="1"/>
    <cellStyle name="40% - Accent3 2" xfId="37"/>
    <cellStyle name="40% - Accent3 2 2" xfId="38"/>
    <cellStyle name="40% - Accent3 2 3" xfId="4447"/>
    <cellStyle name="40% - Accent3 3" xfId="39"/>
    <cellStyle name="40% - Accent3 4" xfId="762"/>
    <cellStyle name="40% - Accent3 4 2" xfId="4519"/>
    <cellStyle name="40% - Accent4" xfId="359" builtinId="43" customBuiltin="1"/>
    <cellStyle name="40% - Accent4 2" xfId="40"/>
    <cellStyle name="40% - Accent4 2 2" xfId="41"/>
    <cellStyle name="40% - Accent4 2 3" xfId="4451"/>
    <cellStyle name="40% - Accent4 3" xfId="42"/>
    <cellStyle name="40% - Accent4 4" xfId="779"/>
    <cellStyle name="40% - Accent4 4 2" xfId="4521"/>
    <cellStyle name="40% - Accent5" xfId="363" builtinId="47" customBuiltin="1"/>
    <cellStyle name="40% - Accent5 2" xfId="43"/>
    <cellStyle name="40% - Accent5 2 2" xfId="44"/>
    <cellStyle name="40% - Accent5 2 3" xfId="4455"/>
    <cellStyle name="40% - Accent5 3" xfId="45"/>
    <cellStyle name="40% - Accent5 4" xfId="796"/>
    <cellStyle name="40% - Accent5 4 2" xfId="4523"/>
    <cellStyle name="40% - Accent6" xfId="367" builtinId="51" customBuiltin="1"/>
    <cellStyle name="40% - Accent6 2" xfId="46"/>
    <cellStyle name="40% - Accent6 2 2" xfId="47"/>
    <cellStyle name="40% - Accent6 2 3" xfId="4459"/>
    <cellStyle name="40% - Accent6 3" xfId="48"/>
    <cellStyle name="40% - Accent6 4" xfId="813"/>
    <cellStyle name="40% - Accent6 4 2" xfId="4525"/>
    <cellStyle name="40% - Ênfase1" xfId="722"/>
    <cellStyle name="40% - Ênfase2" xfId="723"/>
    <cellStyle name="40% - Ênfase3" xfId="724"/>
    <cellStyle name="40% - Ênfase4" xfId="725"/>
    <cellStyle name="40% - Ênfase5" xfId="726"/>
    <cellStyle name="40% - Ênfase6" xfId="727"/>
    <cellStyle name="40% - Énfasis1" xfId="49"/>
    <cellStyle name="40% - Énfasis1 10" xfId="729"/>
    <cellStyle name="40% - Énfasis1 11" xfId="730"/>
    <cellStyle name="40% - Énfasis1 12" xfId="731"/>
    <cellStyle name="40% - Énfasis1 13" xfId="732"/>
    <cellStyle name="40% - Énfasis1 14" xfId="733"/>
    <cellStyle name="40% - Énfasis1 2" xfId="734"/>
    <cellStyle name="40% - Énfasis1 2 2" xfId="735"/>
    <cellStyle name="40% - Énfasis1 2 3" xfId="736"/>
    <cellStyle name="40% - Énfasis1 3" xfId="737"/>
    <cellStyle name="40% - Énfasis1 3 2" xfId="738"/>
    <cellStyle name="40% - Énfasis1 4" xfId="739"/>
    <cellStyle name="40% - Énfasis1 5" xfId="740"/>
    <cellStyle name="40% - Énfasis1 6" xfId="741"/>
    <cellStyle name="40% - Énfasis1 7" xfId="742"/>
    <cellStyle name="40% - Énfasis1 8" xfId="743"/>
    <cellStyle name="40% - Énfasis1 9" xfId="744"/>
    <cellStyle name="40% - Énfasis2" xfId="50"/>
    <cellStyle name="40% - Énfasis2 10" xfId="746"/>
    <cellStyle name="40% - Énfasis2 11" xfId="747"/>
    <cellStyle name="40% - Énfasis2 12" xfId="748"/>
    <cellStyle name="40% - Énfasis2 13" xfId="749"/>
    <cellStyle name="40% - Énfasis2 14" xfId="750"/>
    <cellStyle name="40% - Énfasis2 2" xfId="751"/>
    <cellStyle name="40% - Énfasis2 2 2" xfId="752"/>
    <cellStyle name="40% - Énfasis2 2 3" xfId="753"/>
    <cellStyle name="40% - Énfasis2 3" xfId="754"/>
    <cellStyle name="40% - Énfasis2 3 2" xfId="755"/>
    <cellStyle name="40% - Énfasis2 4" xfId="756"/>
    <cellStyle name="40% - Énfasis2 5" xfId="757"/>
    <cellStyle name="40% - Énfasis2 6" xfId="758"/>
    <cellStyle name="40% - Énfasis2 7" xfId="759"/>
    <cellStyle name="40% - Énfasis2 8" xfId="760"/>
    <cellStyle name="40% - Énfasis2 9" xfId="761"/>
    <cellStyle name="40% - Énfasis3" xfId="51"/>
    <cellStyle name="40% - Énfasis3 10" xfId="763"/>
    <cellStyle name="40% - Énfasis3 11" xfId="764"/>
    <cellStyle name="40% - Énfasis3 12" xfId="765"/>
    <cellStyle name="40% - Énfasis3 13" xfId="766"/>
    <cellStyle name="40% - Énfasis3 14" xfId="767"/>
    <cellStyle name="40% - Énfasis3 2" xfId="768"/>
    <cellStyle name="40% - Énfasis3 2 2" xfId="769"/>
    <cellStyle name="40% - Énfasis3 2 3" xfId="770"/>
    <cellStyle name="40% - Énfasis3 3" xfId="771"/>
    <cellStyle name="40% - Énfasis3 3 2" xfId="772"/>
    <cellStyle name="40% - Énfasis3 4" xfId="773"/>
    <cellStyle name="40% - Énfasis3 5" xfId="774"/>
    <cellStyle name="40% - Énfasis3 6" xfId="775"/>
    <cellStyle name="40% - Énfasis3 7" xfId="776"/>
    <cellStyle name="40% - Énfasis3 8" xfId="777"/>
    <cellStyle name="40% - Énfasis3 9" xfId="778"/>
    <cellStyle name="40% - Énfasis4" xfId="52"/>
    <cellStyle name="40% - Énfasis4 10" xfId="780"/>
    <cellStyle name="40% - Énfasis4 11" xfId="781"/>
    <cellStyle name="40% - Énfasis4 12" xfId="782"/>
    <cellStyle name="40% - Énfasis4 13" xfId="783"/>
    <cellStyle name="40% - Énfasis4 14" xfId="784"/>
    <cellStyle name="40% - Énfasis4 2" xfId="785"/>
    <cellStyle name="40% - Énfasis4 2 2" xfId="786"/>
    <cellStyle name="40% - Énfasis4 2 3" xfId="787"/>
    <cellStyle name="40% - Énfasis4 3" xfId="788"/>
    <cellStyle name="40% - Énfasis4 3 2" xfId="789"/>
    <cellStyle name="40% - Énfasis4 4" xfId="790"/>
    <cellStyle name="40% - Énfasis4 5" xfId="791"/>
    <cellStyle name="40% - Énfasis4 6" xfId="792"/>
    <cellStyle name="40% - Énfasis4 7" xfId="793"/>
    <cellStyle name="40% - Énfasis4 8" xfId="794"/>
    <cellStyle name="40% - Énfasis4 9" xfId="795"/>
    <cellStyle name="40% - Énfasis5" xfId="53"/>
    <cellStyle name="40% - Énfasis5 10" xfId="797"/>
    <cellStyle name="40% - Énfasis5 11" xfId="798"/>
    <cellStyle name="40% - Énfasis5 12" xfId="799"/>
    <cellStyle name="40% - Énfasis5 13" xfId="800"/>
    <cellStyle name="40% - Énfasis5 14" xfId="801"/>
    <cellStyle name="40% - Énfasis5 2" xfId="802"/>
    <cellStyle name="40% - Énfasis5 2 2" xfId="803"/>
    <cellStyle name="40% - Énfasis5 2 3" xfId="804"/>
    <cellStyle name="40% - Énfasis5 3" xfId="805"/>
    <cellStyle name="40% - Énfasis5 3 2" xfId="806"/>
    <cellStyle name="40% - Énfasis5 4" xfId="807"/>
    <cellStyle name="40% - Énfasis5 5" xfId="808"/>
    <cellStyle name="40% - Énfasis5 6" xfId="809"/>
    <cellStyle name="40% - Énfasis5 7" xfId="810"/>
    <cellStyle name="40% - Énfasis5 8" xfId="811"/>
    <cellStyle name="40% - Énfasis5 9" xfId="812"/>
    <cellStyle name="40% - Énfasis6" xfId="54"/>
    <cellStyle name="40% - Énfasis6 10" xfId="814"/>
    <cellStyle name="40% - Énfasis6 11" xfId="815"/>
    <cellStyle name="40% - Énfasis6 12" xfId="816"/>
    <cellStyle name="40% - Énfasis6 13" xfId="817"/>
    <cellStyle name="40% - Énfasis6 14" xfId="818"/>
    <cellStyle name="40% - Énfasis6 2" xfId="819"/>
    <cellStyle name="40% - Énfasis6 2 2" xfId="820"/>
    <cellStyle name="40% - Énfasis6 2 3" xfId="821"/>
    <cellStyle name="40% - Énfasis6 3" xfId="822"/>
    <cellStyle name="40% - Énfasis6 3 2" xfId="823"/>
    <cellStyle name="40% - Énfasis6 4" xfId="824"/>
    <cellStyle name="40% - Énfasis6 5" xfId="825"/>
    <cellStyle name="40% - Énfasis6 6" xfId="826"/>
    <cellStyle name="40% - Énfasis6 7" xfId="827"/>
    <cellStyle name="40% - Énfasis6 8" xfId="828"/>
    <cellStyle name="40% - Énfasis6 9" xfId="829"/>
    <cellStyle name="60% - Accent1" xfId="348" builtinId="32" customBuiltin="1"/>
    <cellStyle name="60% - Accent1 2" xfId="55"/>
    <cellStyle name="60% - Accent1 2 2" xfId="56"/>
    <cellStyle name="60% - Accent1 2 3" xfId="4440"/>
    <cellStyle name="60% - Accent1 3" xfId="57"/>
    <cellStyle name="60% - Accent1 4" xfId="836"/>
    <cellStyle name="60% - Accent2" xfId="352" builtinId="36" customBuiltin="1"/>
    <cellStyle name="60% - Accent2 2" xfId="58"/>
    <cellStyle name="60% - Accent2 2 2" xfId="59"/>
    <cellStyle name="60% - Accent2 2 3" xfId="4444"/>
    <cellStyle name="60% - Accent2 3" xfId="60"/>
    <cellStyle name="60% - Accent2 4" xfId="852"/>
    <cellStyle name="60% - Accent3" xfId="356" builtinId="40" customBuiltin="1"/>
    <cellStyle name="60% - Accent3 2" xfId="61"/>
    <cellStyle name="60% - Accent3 2 2" xfId="62"/>
    <cellStyle name="60% - Accent3 2 3" xfId="4448"/>
    <cellStyle name="60% - Accent3 3" xfId="63"/>
    <cellStyle name="60% - Accent3 4" xfId="868"/>
    <cellStyle name="60% - Accent4" xfId="360" builtinId="44" customBuiltin="1"/>
    <cellStyle name="60% - Accent4 2" xfId="64"/>
    <cellStyle name="60% - Accent4 2 2" xfId="65"/>
    <cellStyle name="60% - Accent4 2 3" xfId="4452"/>
    <cellStyle name="60% - Accent4 3" xfId="66"/>
    <cellStyle name="60% - Accent4 4" xfId="884"/>
    <cellStyle name="60% - Accent5" xfId="364" builtinId="48" customBuiltin="1"/>
    <cellStyle name="60% - Accent5 2" xfId="67"/>
    <cellStyle name="60% - Accent5 2 2" xfId="68"/>
    <cellStyle name="60% - Accent5 2 3" xfId="4456"/>
    <cellStyle name="60% - Accent5 3" xfId="69"/>
    <cellStyle name="60% - Accent5 4" xfId="900"/>
    <cellStyle name="60% - Accent6" xfId="368" builtinId="52" customBuiltin="1"/>
    <cellStyle name="60% - Accent6 2" xfId="70"/>
    <cellStyle name="60% - Accent6 2 2" xfId="71"/>
    <cellStyle name="60% - Accent6 2 3" xfId="4460"/>
    <cellStyle name="60% - Accent6 3" xfId="72"/>
    <cellStyle name="60% - Accent6 4" xfId="916"/>
    <cellStyle name="60% - Ênfase1" xfId="830"/>
    <cellStyle name="60% - Ênfase2" xfId="831"/>
    <cellStyle name="60% - Ênfase3" xfId="832"/>
    <cellStyle name="60% - Ênfase4" xfId="833"/>
    <cellStyle name="60% - Ênfase5" xfId="834"/>
    <cellStyle name="60% - Ênfase6" xfId="835"/>
    <cellStyle name="60% - Énfasis1" xfId="73"/>
    <cellStyle name="60% - Énfasis1 10" xfId="837"/>
    <cellStyle name="60% - Énfasis1 11" xfId="838"/>
    <cellStyle name="60% - Énfasis1 12" xfId="839"/>
    <cellStyle name="60% - Énfasis1 13" xfId="840"/>
    <cellStyle name="60% - Énfasis1 14" xfId="841"/>
    <cellStyle name="60% - Énfasis1 2" xfId="842"/>
    <cellStyle name="60% - Énfasis1 2 2" xfId="843"/>
    <cellStyle name="60% - Énfasis1 3" xfId="844"/>
    <cellStyle name="60% - Énfasis1 3 2" xfId="845"/>
    <cellStyle name="60% - Énfasis1 4" xfId="846"/>
    <cellStyle name="60% - Énfasis1 5" xfId="847"/>
    <cellStyle name="60% - Énfasis1 6" xfId="848"/>
    <cellStyle name="60% - Énfasis1 7" xfId="849"/>
    <cellStyle name="60% - Énfasis1 8" xfId="850"/>
    <cellStyle name="60% - Énfasis1 9" xfId="851"/>
    <cellStyle name="60% - Énfasis2" xfId="74"/>
    <cellStyle name="60% - Énfasis2 10" xfId="853"/>
    <cellStyle name="60% - Énfasis2 11" xfId="854"/>
    <cellStyle name="60% - Énfasis2 12" xfId="855"/>
    <cellStyle name="60% - Énfasis2 13" xfId="856"/>
    <cellStyle name="60% - Énfasis2 14" xfId="857"/>
    <cellStyle name="60% - Énfasis2 2" xfId="858"/>
    <cellStyle name="60% - Énfasis2 2 2" xfId="859"/>
    <cellStyle name="60% - Énfasis2 3" xfId="860"/>
    <cellStyle name="60% - Énfasis2 3 2" xfId="861"/>
    <cellStyle name="60% - Énfasis2 4" xfId="862"/>
    <cellStyle name="60% - Énfasis2 5" xfId="863"/>
    <cellStyle name="60% - Énfasis2 6" xfId="864"/>
    <cellStyle name="60% - Énfasis2 7" xfId="865"/>
    <cellStyle name="60% - Énfasis2 8" xfId="866"/>
    <cellStyle name="60% - Énfasis2 9" xfId="867"/>
    <cellStyle name="60% - Énfasis3" xfId="75"/>
    <cellStyle name="60% - Énfasis3 10" xfId="869"/>
    <cellStyle name="60% - Énfasis3 11" xfId="870"/>
    <cellStyle name="60% - Énfasis3 12" xfId="871"/>
    <cellStyle name="60% - Énfasis3 13" xfId="872"/>
    <cellStyle name="60% - Énfasis3 14" xfId="873"/>
    <cellStyle name="60% - Énfasis3 2" xfId="874"/>
    <cellStyle name="60% - Énfasis3 2 2" xfId="875"/>
    <cellStyle name="60% - Énfasis3 3" xfId="876"/>
    <cellStyle name="60% - Énfasis3 3 2" xfId="877"/>
    <cellStyle name="60% - Énfasis3 4" xfId="878"/>
    <cellStyle name="60% - Énfasis3 5" xfId="879"/>
    <cellStyle name="60% - Énfasis3 6" xfId="880"/>
    <cellStyle name="60% - Énfasis3 7" xfId="881"/>
    <cellStyle name="60% - Énfasis3 8" xfId="882"/>
    <cellStyle name="60% - Énfasis3 9" xfId="883"/>
    <cellStyle name="60% - Énfasis4" xfId="76"/>
    <cellStyle name="60% - Énfasis4 10" xfId="885"/>
    <cellStyle name="60% - Énfasis4 11" xfId="886"/>
    <cellStyle name="60% - Énfasis4 12" xfId="887"/>
    <cellStyle name="60% - Énfasis4 13" xfId="888"/>
    <cellStyle name="60% - Énfasis4 14" xfId="889"/>
    <cellStyle name="60% - Énfasis4 2" xfId="890"/>
    <cellStyle name="60% - Énfasis4 2 2" xfId="891"/>
    <cellStyle name="60% - Énfasis4 3" xfId="892"/>
    <cellStyle name="60% - Énfasis4 3 2" xfId="893"/>
    <cellStyle name="60% - Énfasis4 4" xfId="894"/>
    <cellStyle name="60% - Énfasis4 5" xfId="895"/>
    <cellStyle name="60% - Énfasis4 6" xfId="896"/>
    <cellStyle name="60% - Énfasis4 7" xfId="897"/>
    <cellStyle name="60% - Énfasis4 8" xfId="898"/>
    <cellStyle name="60% - Énfasis4 9" xfId="899"/>
    <cellStyle name="60% - Énfasis5" xfId="77"/>
    <cellStyle name="60% - Énfasis5 10" xfId="901"/>
    <cellStyle name="60% - Énfasis5 11" xfId="902"/>
    <cellStyle name="60% - Énfasis5 12" xfId="903"/>
    <cellStyle name="60% - Énfasis5 13" xfId="904"/>
    <cellStyle name="60% - Énfasis5 14" xfId="905"/>
    <cellStyle name="60% - Énfasis5 2" xfId="906"/>
    <cellStyle name="60% - Énfasis5 2 2" xfId="907"/>
    <cellStyle name="60% - Énfasis5 3" xfId="908"/>
    <cellStyle name="60% - Énfasis5 3 2" xfId="909"/>
    <cellStyle name="60% - Énfasis5 4" xfId="910"/>
    <cellStyle name="60% - Énfasis5 5" xfId="911"/>
    <cellStyle name="60% - Énfasis5 6" xfId="912"/>
    <cellStyle name="60% - Énfasis5 7" xfId="913"/>
    <cellStyle name="60% - Énfasis5 8" xfId="914"/>
    <cellStyle name="60% - Énfasis5 9" xfId="915"/>
    <cellStyle name="60% - Énfasis6" xfId="78"/>
    <cellStyle name="60% - Énfasis6 10" xfId="917"/>
    <cellStyle name="60% - Énfasis6 11" xfId="918"/>
    <cellStyle name="60% - Énfasis6 12" xfId="919"/>
    <cellStyle name="60% - Énfasis6 13" xfId="920"/>
    <cellStyle name="60% - Énfasis6 14" xfId="921"/>
    <cellStyle name="60% - Énfasis6 2" xfId="922"/>
    <cellStyle name="60% - Énfasis6 2 2" xfId="923"/>
    <cellStyle name="60% - Énfasis6 3" xfId="924"/>
    <cellStyle name="60% - Énfasis6 3 2" xfId="925"/>
    <cellStyle name="60% - Énfasis6 4" xfId="926"/>
    <cellStyle name="60% - Énfasis6 5" xfId="927"/>
    <cellStyle name="60% - Énfasis6 6" xfId="928"/>
    <cellStyle name="60% - Énfasis6 7" xfId="929"/>
    <cellStyle name="60% - Énfasis6 8" xfId="930"/>
    <cellStyle name="60% - Énfasis6 9" xfId="931"/>
    <cellStyle name="Accent1" xfId="345" builtinId="29" customBuiltin="1"/>
    <cellStyle name="Accent1 - 20%" xfId="932"/>
    <cellStyle name="Accent1 - 20% 2" xfId="933"/>
    <cellStyle name="Accent1 - 20% 3" xfId="934"/>
    <cellStyle name="Accent1 - 20% 4" xfId="935"/>
    <cellStyle name="Accent1 - 20% 5" xfId="936"/>
    <cellStyle name="Accent1 - 40%" xfId="937"/>
    <cellStyle name="Accent1 - 40% 2" xfId="938"/>
    <cellStyle name="Accent1 - 40% 3" xfId="939"/>
    <cellStyle name="Accent1 - 40% 4" xfId="940"/>
    <cellStyle name="Accent1 - 40% 5" xfId="941"/>
    <cellStyle name="Accent1 - 60%" xfId="942"/>
    <cellStyle name="Accent1 - 60% 2" xfId="943"/>
    <cellStyle name="Accent1 - 60% 3" xfId="944"/>
    <cellStyle name="Accent1 - 60% 4" xfId="945"/>
    <cellStyle name="Accent1 10" xfId="946"/>
    <cellStyle name="Accent1 11" xfId="947"/>
    <cellStyle name="Accent1 12" xfId="948"/>
    <cellStyle name="Accent1 13" xfId="949"/>
    <cellStyle name="Accent1 14" xfId="950"/>
    <cellStyle name="Accent1 15" xfId="951"/>
    <cellStyle name="Accent1 16" xfId="952"/>
    <cellStyle name="Accent1 17" xfId="953"/>
    <cellStyle name="Accent1 18" xfId="954"/>
    <cellStyle name="Accent1 19" xfId="955"/>
    <cellStyle name="Accent1 2" xfId="79"/>
    <cellStyle name="Accent1 2 2" xfId="80"/>
    <cellStyle name="Accent1 2 2 2" xfId="4470"/>
    <cellStyle name="Accent1 2 2 3" xfId="956"/>
    <cellStyle name="Accent1 2 3" xfId="957"/>
    <cellStyle name="Accent1 2 4" xfId="958"/>
    <cellStyle name="Accent1 2 5" xfId="4437"/>
    <cellStyle name="Accent1 20" xfId="959"/>
    <cellStyle name="Accent1 21" xfId="960"/>
    <cellStyle name="Accent1 22" xfId="961"/>
    <cellStyle name="Accent1 23" xfId="962"/>
    <cellStyle name="Accent1 24" xfId="963"/>
    <cellStyle name="Accent1 25" xfId="964"/>
    <cellStyle name="Accent1 26" xfId="965"/>
    <cellStyle name="Accent1 27" xfId="966"/>
    <cellStyle name="Accent1 28" xfId="967"/>
    <cellStyle name="Accent1 29" xfId="968"/>
    <cellStyle name="Accent1 3" xfId="81"/>
    <cellStyle name="Accent1 3 2" xfId="969"/>
    <cellStyle name="Accent1 3 3" xfId="970"/>
    <cellStyle name="Accent1 30" xfId="971"/>
    <cellStyle name="Accent1 31" xfId="972"/>
    <cellStyle name="Accent1 32" xfId="973"/>
    <cellStyle name="Accent1 33" xfId="974"/>
    <cellStyle name="Accent1 34" xfId="975"/>
    <cellStyle name="Accent1 35" xfId="976"/>
    <cellStyle name="Accent1 36" xfId="977"/>
    <cellStyle name="Accent1 37" xfId="1715"/>
    <cellStyle name="Accent1 38" xfId="4376"/>
    <cellStyle name="Accent1 4" xfId="978"/>
    <cellStyle name="Accent1 5" xfId="979"/>
    <cellStyle name="Accent1 6" xfId="980"/>
    <cellStyle name="Accent1 7" xfId="981"/>
    <cellStyle name="Accent1 8" xfId="982"/>
    <cellStyle name="Accent1 9" xfId="983"/>
    <cellStyle name="Accent2" xfId="349" builtinId="33" customBuiltin="1"/>
    <cellStyle name="Accent2 - 20%" xfId="984"/>
    <cellStyle name="Accent2 - 20% 2" xfId="985"/>
    <cellStyle name="Accent2 - 20% 3" xfId="986"/>
    <cellStyle name="Accent2 - 20% 4" xfId="987"/>
    <cellStyle name="Accent2 - 20% 5" xfId="988"/>
    <cellStyle name="Accent2 - 40%" xfId="989"/>
    <cellStyle name="Accent2 - 40% 2" xfId="990"/>
    <cellStyle name="Accent2 - 40% 3" xfId="991"/>
    <cellStyle name="Accent2 - 40% 4" xfId="992"/>
    <cellStyle name="Accent2 - 40% 5" xfId="993"/>
    <cellStyle name="Accent2 - 60%" xfId="994"/>
    <cellStyle name="Accent2 - 60% 2" xfId="995"/>
    <cellStyle name="Accent2 - 60% 3" xfId="996"/>
    <cellStyle name="Accent2 - 60% 4" xfId="997"/>
    <cellStyle name="Accent2 10" xfId="998"/>
    <cellStyle name="Accent2 11" xfId="999"/>
    <cellStyle name="Accent2 12" xfId="1000"/>
    <cellStyle name="Accent2 13" xfId="1001"/>
    <cellStyle name="Accent2 14" xfId="1002"/>
    <cellStyle name="Accent2 15" xfId="1003"/>
    <cellStyle name="Accent2 16" xfId="1004"/>
    <cellStyle name="Accent2 17" xfId="1005"/>
    <cellStyle name="Accent2 18" xfId="1006"/>
    <cellStyle name="Accent2 19" xfId="1007"/>
    <cellStyle name="Accent2 2" xfId="82"/>
    <cellStyle name="Accent2 2 2" xfId="83"/>
    <cellStyle name="Accent2 2 2 2" xfId="4471"/>
    <cellStyle name="Accent2 2 2 3" xfId="1008"/>
    <cellStyle name="Accent2 2 3" xfId="1009"/>
    <cellStyle name="Accent2 2 4" xfId="1010"/>
    <cellStyle name="Accent2 2 5" xfId="4441"/>
    <cellStyle name="Accent2 20" xfId="1011"/>
    <cellStyle name="Accent2 21" xfId="1012"/>
    <cellStyle name="Accent2 22" xfId="1013"/>
    <cellStyle name="Accent2 23" xfId="1014"/>
    <cellStyle name="Accent2 24" xfId="1015"/>
    <cellStyle name="Accent2 25" xfId="1016"/>
    <cellStyle name="Accent2 26" xfId="1017"/>
    <cellStyle name="Accent2 27" xfId="1018"/>
    <cellStyle name="Accent2 28" xfId="1019"/>
    <cellStyle name="Accent2 29" xfId="1020"/>
    <cellStyle name="Accent2 3" xfId="84"/>
    <cellStyle name="Accent2 3 2" xfId="1021"/>
    <cellStyle name="Accent2 3 3" xfId="1022"/>
    <cellStyle name="Accent2 30" xfId="1023"/>
    <cellStyle name="Accent2 31" xfId="1024"/>
    <cellStyle name="Accent2 32" xfId="1025"/>
    <cellStyle name="Accent2 33" xfId="1026"/>
    <cellStyle name="Accent2 34" xfId="1027"/>
    <cellStyle name="Accent2 35" xfId="1028"/>
    <cellStyle name="Accent2 36" xfId="1029"/>
    <cellStyle name="Accent2 37" xfId="1731"/>
    <cellStyle name="Accent2 38" xfId="4377"/>
    <cellStyle name="Accent2 4" xfId="1030"/>
    <cellStyle name="Accent2 5" xfId="1031"/>
    <cellStyle name="Accent2 6" xfId="1032"/>
    <cellStyle name="Accent2 7" xfId="1033"/>
    <cellStyle name="Accent2 8" xfId="1034"/>
    <cellStyle name="Accent2 9" xfId="1035"/>
    <cellStyle name="Accent3" xfId="353" builtinId="37" customBuiltin="1"/>
    <cellStyle name="Accent3 - 20%" xfId="1036"/>
    <cellStyle name="Accent3 - 20% 2" xfId="1037"/>
    <cellStyle name="Accent3 - 20% 3" xfId="1038"/>
    <cellStyle name="Accent3 - 20% 4" xfId="1039"/>
    <cellStyle name="Accent3 - 20% 5" xfId="1040"/>
    <cellStyle name="Accent3 - 40%" xfId="1041"/>
    <cellStyle name="Accent3 - 40% 2" xfId="1042"/>
    <cellStyle name="Accent3 - 40% 3" xfId="1043"/>
    <cellStyle name="Accent3 - 40% 4" xfId="1044"/>
    <cellStyle name="Accent3 - 40% 5" xfId="1045"/>
    <cellStyle name="Accent3 - 60%" xfId="1046"/>
    <cellStyle name="Accent3 - 60% 2" xfId="1047"/>
    <cellStyle name="Accent3 - 60% 3" xfId="1048"/>
    <cellStyle name="Accent3 - 60% 4" xfId="1049"/>
    <cellStyle name="Accent3 10" xfId="1050"/>
    <cellStyle name="Accent3 11" xfId="1051"/>
    <cellStyle name="Accent3 12" xfId="1052"/>
    <cellStyle name="Accent3 13" xfId="1053"/>
    <cellStyle name="Accent3 14" xfId="1054"/>
    <cellStyle name="Accent3 15" xfId="1055"/>
    <cellStyle name="Accent3 16" xfId="1056"/>
    <cellStyle name="Accent3 17" xfId="1057"/>
    <cellStyle name="Accent3 18" xfId="1058"/>
    <cellStyle name="Accent3 19" xfId="1059"/>
    <cellStyle name="Accent3 2" xfId="85"/>
    <cellStyle name="Accent3 2 2" xfId="86"/>
    <cellStyle name="Accent3 2 2 2" xfId="1061"/>
    <cellStyle name="Accent3 2 2 3" xfId="1062"/>
    <cellStyle name="Accent3 2 2 4" xfId="4472"/>
    <cellStyle name="Accent3 2 2 5" xfId="1060"/>
    <cellStyle name="Accent3 2 3" xfId="1063"/>
    <cellStyle name="Accent3 2 4" xfId="1064"/>
    <cellStyle name="Accent3 2 5" xfId="1065"/>
    <cellStyle name="Accent3 2 6" xfId="1066"/>
    <cellStyle name="Accent3 2 7" xfId="1067"/>
    <cellStyle name="Accent3 2 8" xfId="1068"/>
    <cellStyle name="Accent3 2 9" xfId="4445"/>
    <cellStyle name="Accent3 20" xfId="1069"/>
    <cellStyle name="Accent3 21" xfId="1070"/>
    <cellStyle name="Accent3 22" xfId="1071"/>
    <cellStyle name="Accent3 23" xfId="1072"/>
    <cellStyle name="Accent3 24" xfId="1073"/>
    <cellStyle name="Accent3 25" xfId="1074"/>
    <cellStyle name="Accent3 26" xfId="1075"/>
    <cellStyle name="Accent3 27" xfId="1076"/>
    <cellStyle name="Accent3 28" xfId="1077"/>
    <cellStyle name="Accent3 29" xfId="1078"/>
    <cellStyle name="Accent3 3" xfId="87"/>
    <cellStyle name="Accent3 3 2" xfId="1079"/>
    <cellStyle name="Accent3 3 3" xfId="1080"/>
    <cellStyle name="Accent3 3 4" xfId="1081"/>
    <cellStyle name="Accent3 3 5" xfId="1082"/>
    <cellStyle name="Accent3 30" xfId="1083"/>
    <cellStyle name="Accent3 31" xfId="1084"/>
    <cellStyle name="Accent3 32" xfId="1085"/>
    <cellStyle name="Accent3 33" xfId="1086"/>
    <cellStyle name="Accent3 34" xfId="1087"/>
    <cellStyle name="Accent3 35" xfId="1088"/>
    <cellStyle name="Accent3 36" xfId="1089"/>
    <cellStyle name="Accent3 37" xfId="1090"/>
    <cellStyle name="Accent3 38" xfId="1747"/>
    <cellStyle name="Accent3 39" xfId="4378"/>
    <cellStyle name="Accent3 4" xfId="1091"/>
    <cellStyle name="Accent3 5" xfId="1092"/>
    <cellStyle name="Accent3 6" xfId="1093"/>
    <cellStyle name="Accent3 7" xfId="1094"/>
    <cellStyle name="Accent3 8" xfId="1095"/>
    <cellStyle name="Accent3 9" xfId="1096"/>
    <cellStyle name="Accent4" xfId="357" builtinId="41" customBuiltin="1"/>
    <cellStyle name="Accent4 - 20%" xfId="1097"/>
    <cellStyle name="Accent4 - 20% 2" xfId="1098"/>
    <cellStyle name="Accent4 - 20% 3" xfId="1099"/>
    <cellStyle name="Accent4 - 20% 4" xfId="1100"/>
    <cellStyle name="Accent4 - 20% 5" xfId="1101"/>
    <cellStyle name="Accent4 - 40%" xfId="1102"/>
    <cellStyle name="Accent4 - 40% 2" xfId="1103"/>
    <cellStyle name="Accent4 - 40% 3" xfId="1104"/>
    <cellStyle name="Accent4 - 40% 4" xfId="1105"/>
    <cellStyle name="Accent4 - 40% 5" xfId="1106"/>
    <cellStyle name="Accent4 - 60%" xfId="1107"/>
    <cellStyle name="Accent4 - 60% 2" xfId="1108"/>
    <cellStyle name="Accent4 - 60% 3" xfId="1109"/>
    <cellStyle name="Accent4 - 60% 4" xfId="1110"/>
    <cellStyle name="Accent4 10" xfId="1111"/>
    <cellStyle name="Accent4 11" xfId="1112"/>
    <cellStyle name="Accent4 12" xfId="1113"/>
    <cellStyle name="Accent4 13" xfId="1114"/>
    <cellStyle name="Accent4 14" xfId="1115"/>
    <cellStyle name="Accent4 15" xfId="1116"/>
    <cellStyle name="Accent4 16" xfId="1117"/>
    <cellStyle name="Accent4 17" xfId="1118"/>
    <cellStyle name="Accent4 18" xfId="1119"/>
    <cellStyle name="Accent4 19" xfId="1120"/>
    <cellStyle name="Accent4 2" xfId="88"/>
    <cellStyle name="Accent4 2 2" xfId="89"/>
    <cellStyle name="Accent4 2 2 2" xfId="1122"/>
    <cellStyle name="Accent4 2 2 3" xfId="1123"/>
    <cellStyle name="Accent4 2 2 4" xfId="4473"/>
    <cellStyle name="Accent4 2 2 5" xfId="1121"/>
    <cellStyle name="Accent4 2 3" xfId="1124"/>
    <cellStyle name="Accent4 2 4" xfId="1125"/>
    <cellStyle name="Accent4 2 5" xfId="1126"/>
    <cellStyle name="Accent4 2 6" xfId="1127"/>
    <cellStyle name="Accent4 2 7" xfId="1128"/>
    <cellStyle name="Accent4 2 8" xfId="1129"/>
    <cellStyle name="Accent4 2 9" xfId="4449"/>
    <cellStyle name="Accent4 20" xfId="1130"/>
    <cellStyle name="Accent4 21" xfId="1131"/>
    <cellStyle name="Accent4 22" xfId="1132"/>
    <cellStyle name="Accent4 23" xfId="1133"/>
    <cellStyle name="Accent4 24" xfId="1134"/>
    <cellStyle name="Accent4 25" xfId="1135"/>
    <cellStyle name="Accent4 26" xfId="1136"/>
    <cellStyle name="Accent4 27" xfId="1137"/>
    <cellStyle name="Accent4 28" xfId="1138"/>
    <cellStyle name="Accent4 29" xfId="1139"/>
    <cellStyle name="Accent4 3" xfId="90"/>
    <cellStyle name="Accent4 3 2" xfId="1140"/>
    <cellStyle name="Accent4 3 3" xfId="1141"/>
    <cellStyle name="Accent4 3 4" xfId="1142"/>
    <cellStyle name="Accent4 3 5" xfId="1143"/>
    <cellStyle name="Accent4 30" xfId="1144"/>
    <cellStyle name="Accent4 31" xfId="1145"/>
    <cellStyle name="Accent4 32" xfId="1146"/>
    <cellStyle name="Accent4 33" xfId="1147"/>
    <cellStyle name="Accent4 34" xfId="1148"/>
    <cellStyle name="Accent4 35" xfId="1149"/>
    <cellStyle name="Accent4 36" xfId="1150"/>
    <cellStyle name="Accent4 37" xfId="1151"/>
    <cellStyle name="Accent4 38" xfId="1763"/>
    <cellStyle name="Accent4 39" xfId="4379"/>
    <cellStyle name="Accent4 4" xfId="1152"/>
    <cellStyle name="Accent4 5" xfId="1153"/>
    <cellStyle name="Accent4 6" xfId="1154"/>
    <cellStyle name="Accent4 7" xfId="1155"/>
    <cellStyle name="Accent4 8" xfId="1156"/>
    <cellStyle name="Accent4 9" xfId="1157"/>
    <cellStyle name="Accent5" xfId="361" builtinId="45" customBuiltin="1"/>
    <cellStyle name="Accent5 - 20%" xfId="1158"/>
    <cellStyle name="Accent5 - 20% 2" xfId="1159"/>
    <cellStyle name="Accent5 - 20% 3" xfId="1160"/>
    <cellStyle name="Accent5 - 20% 4" xfId="1161"/>
    <cellStyle name="Accent5 - 20% 5" xfId="1162"/>
    <cellStyle name="Accent5 - 40%" xfId="1163"/>
    <cellStyle name="Accent5 - 40% 2" xfId="1164"/>
    <cellStyle name="Accent5 - 40% 3" xfId="1165"/>
    <cellStyle name="Accent5 - 60%" xfId="1166"/>
    <cellStyle name="Accent5 - 60% 2" xfId="1167"/>
    <cellStyle name="Accent5 - 60% 3" xfId="1168"/>
    <cellStyle name="Accent5 - 60% 4" xfId="1169"/>
    <cellStyle name="Accent5 10" xfId="1170"/>
    <cellStyle name="Accent5 11" xfId="1171"/>
    <cellStyle name="Accent5 12" xfId="1172"/>
    <cellStyle name="Accent5 13" xfId="1173"/>
    <cellStyle name="Accent5 14" xfId="1174"/>
    <cellStyle name="Accent5 15" xfId="1175"/>
    <cellStyle name="Accent5 16" xfId="1176"/>
    <cellStyle name="Accent5 17" xfId="1177"/>
    <cellStyle name="Accent5 18" xfId="1178"/>
    <cellStyle name="Accent5 19" xfId="1179"/>
    <cellStyle name="Accent5 2" xfId="91"/>
    <cellStyle name="Accent5 2 2" xfId="92"/>
    <cellStyle name="Accent5 2 2 2" xfId="1181"/>
    <cellStyle name="Accent5 2 2 3" xfId="1182"/>
    <cellStyle name="Accent5 2 2 4" xfId="4474"/>
    <cellStyle name="Accent5 2 2 5" xfId="1180"/>
    <cellStyle name="Accent5 2 3" xfId="1183"/>
    <cellStyle name="Accent5 2 4" xfId="1184"/>
    <cellStyle name="Accent5 2 5" xfId="1185"/>
    <cellStyle name="Accent5 2 6" xfId="1186"/>
    <cellStyle name="Accent5 2 7" xfId="1187"/>
    <cellStyle name="Accent5 2 8" xfId="1188"/>
    <cellStyle name="Accent5 2 9" xfId="4453"/>
    <cellStyle name="Accent5 20" xfId="1189"/>
    <cellStyle name="Accent5 21" xfId="1190"/>
    <cellStyle name="Accent5 22" xfId="1191"/>
    <cellStyle name="Accent5 23" xfId="1192"/>
    <cellStyle name="Accent5 24" xfId="1193"/>
    <cellStyle name="Accent5 25" xfId="1194"/>
    <cellStyle name="Accent5 26" xfId="1195"/>
    <cellStyle name="Accent5 27" xfId="1196"/>
    <cellStyle name="Accent5 28" xfId="1197"/>
    <cellStyle name="Accent5 29" xfId="1198"/>
    <cellStyle name="Accent5 3" xfId="93"/>
    <cellStyle name="Accent5 3 2" xfId="1199"/>
    <cellStyle name="Accent5 3 3" xfId="1200"/>
    <cellStyle name="Accent5 3 4" xfId="1201"/>
    <cellStyle name="Accent5 3 5" xfId="1202"/>
    <cellStyle name="Accent5 30" xfId="1203"/>
    <cellStyle name="Accent5 31" xfId="1204"/>
    <cellStyle name="Accent5 32" xfId="1205"/>
    <cellStyle name="Accent5 33" xfId="1206"/>
    <cellStyle name="Accent5 34" xfId="1207"/>
    <cellStyle name="Accent5 35" xfId="1208"/>
    <cellStyle name="Accent5 36" xfId="1209"/>
    <cellStyle name="Accent5 37" xfId="1210"/>
    <cellStyle name="Accent5 38" xfId="1779"/>
    <cellStyle name="Accent5 39" xfId="4380"/>
    <cellStyle name="Accent5 4" xfId="1211"/>
    <cellStyle name="Accent5 5" xfId="1212"/>
    <cellStyle name="Accent5 6" xfId="1213"/>
    <cellStyle name="Accent5 7" xfId="1214"/>
    <cellStyle name="Accent5 8" xfId="1215"/>
    <cellStyle name="Accent5 9" xfId="1216"/>
    <cellStyle name="Accent6" xfId="365" builtinId="49" customBuiltin="1"/>
    <cellStyle name="Accent6 - 20%" xfId="1217"/>
    <cellStyle name="Accent6 - 20% 2" xfId="1218"/>
    <cellStyle name="Accent6 - 20% 3" xfId="1219"/>
    <cellStyle name="Accent6 - 40%" xfId="1220"/>
    <cellStyle name="Accent6 - 40% 2" xfId="1221"/>
    <cellStyle name="Accent6 - 40% 3" xfId="1222"/>
    <cellStyle name="Accent6 - 40% 4" xfId="1223"/>
    <cellStyle name="Accent6 - 40% 5" xfId="1224"/>
    <cellStyle name="Accent6 - 60%" xfId="1225"/>
    <cellStyle name="Accent6 - 60% 2" xfId="1226"/>
    <cellStyle name="Accent6 - 60% 3" xfId="1227"/>
    <cellStyle name="Accent6 - 60% 4" xfId="1228"/>
    <cellStyle name="Accent6 10" xfId="1229"/>
    <cellStyle name="Accent6 11" xfId="1230"/>
    <cellStyle name="Accent6 12" xfId="1231"/>
    <cellStyle name="Accent6 13" xfId="1232"/>
    <cellStyle name="Accent6 14" xfId="1233"/>
    <cellStyle name="Accent6 15" xfId="1234"/>
    <cellStyle name="Accent6 16" xfId="1235"/>
    <cellStyle name="Accent6 17" xfId="1236"/>
    <cellStyle name="Accent6 18" xfId="1237"/>
    <cellStyle name="Accent6 19" xfId="1238"/>
    <cellStyle name="Accent6 2" xfId="94"/>
    <cellStyle name="Accent6 2 2" xfId="95"/>
    <cellStyle name="Accent6 2 2 2" xfId="1240"/>
    <cellStyle name="Accent6 2 2 3" xfId="1241"/>
    <cellStyle name="Accent6 2 2 4" xfId="4475"/>
    <cellStyle name="Accent6 2 2 5" xfId="1239"/>
    <cellStyle name="Accent6 2 3" xfId="1242"/>
    <cellStyle name="Accent6 2 4" xfId="1243"/>
    <cellStyle name="Accent6 2 5" xfId="1244"/>
    <cellStyle name="Accent6 2 6" xfId="1245"/>
    <cellStyle name="Accent6 2 7" xfId="1246"/>
    <cellStyle name="Accent6 2 8" xfId="1247"/>
    <cellStyle name="Accent6 2 9" xfId="4457"/>
    <cellStyle name="Accent6 20" xfId="1248"/>
    <cellStyle name="Accent6 21" xfId="1249"/>
    <cellStyle name="Accent6 22" xfId="1250"/>
    <cellStyle name="Accent6 23" xfId="1251"/>
    <cellStyle name="Accent6 24" xfId="1252"/>
    <cellStyle name="Accent6 25" xfId="1253"/>
    <cellStyle name="Accent6 26" xfId="1254"/>
    <cellStyle name="Accent6 27" xfId="1255"/>
    <cellStyle name="Accent6 28" xfId="1256"/>
    <cellStyle name="Accent6 29" xfId="1257"/>
    <cellStyle name="Accent6 3" xfId="96"/>
    <cellStyle name="Accent6 3 2" xfId="1258"/>
    <cellStyle name="Accent6 3 3" xfId="1259"/>
    <cellStyle name="Accent6 3 4" xfId="1260"/>
    <cellStyle name="Accent6 3 5" xfId="1261"/>
    <cellStyle name="Accent6 30" xfId="1262"/>
    <cellStyle name="Accent6 31" xfId="1263"/>
    <cellStyle name="Accent6 32" xfId="1264"/>
    <cellStyle name="Accent6 33" xfId="1265"/>
    <cellStyle name="Accent6 34" xfId="1266"/>
    <cellStyle name="Accent6 35" xfId="1267"/>
    <cellStyle name="Accent6 36" xfId="1268"/>
    <cellStyle name="Accent6 37" xfId="1269"/>
    <cellStyle name="Accent6 38" xfId="1795"/>
    <cellStyle name="Accent6 39" xfId="4381"/>
    <cellStyle name="Accent6 4" xfId="1270"/>
    <cellStyle name="Accent6 5" xfId="1271"/>
    <cellStyle name="Accent6 6" xfId="1272"/>
    <cellStyle name="Accent6 7" xfId="1273"/>
    <cellStyle name="Accent6 8" xfId="1274"/>
    <cellStyle name="Accent6 9" xfId="1275"/>
    <cellStyle name="Aro-para" xfId="1276"/>
    <cellStyle name="Bad" xfId="335" builtinId="27" customBuiltin="1"/>
    <cellStyle name="Bad 2" xfId="97"/>
    <cellStyle name="Bad 2 2" xfId="98"/>
    <cellStyle name="Bad 2 2 2" xfId="1278"/>
    <cellStyle name="Bad 2 2 3" xfId="1279"/>
    <cellStyle name="Bad 2 2 4" xfId="4476"/>
    <cellStyle name="Bad 2 2 5" xfId="1277"/>
    <cellStyle name="Bad 2 3" xfId="1280"/>
    <cellStyle name="Bad 2 4" xfId="1281"/>
    <cellStyle name="Bad 2 5" xfId="1282"/>
    <cellStyle name="Bad 2 6" xfId="1283"/>
    <cellStyle name="Bad 2 7" xfId="1284"/>
    <cellStyle name="Bad 2 8" xfId="1285"/>
    <cellStyle name="Bad 2 9" xfId="4427"/>
    <cellStyle name="Bad 3" xfId="99"/>
    <cellStyle name="Bad 3 2" xfId="1286"/>
    <cellStyle name="Bad 3 3" xfId="1287"/>
    <cellStyle name="Bad 3 4" xfId="1288"/>
    <cellStyle name="Bad 3 5" xfId="1289"/>
    <cellStyle name="Bad 4" xfId="1290"/>
    <cellStyle name="Bad 5" xfId="1291"/>
    <cellStyle name="Bad 6" xfId="2125"/>
    <cellStyle name="Bom" xfId="1292"/>
    <cellStyle name="Buena" xfId="100"/>
    <cellStyle name="Buena 10" xfId="1293"/>
    <cellStyle name="Buena 11" xfId="1294"/>
    <cellStyle name="Buena 12" xfId="1295"/>
    <cellStyle name="Buena 13" xfId="1296"/>
    <cellStyle name="Buena 14" xfId="1297"/>
    <cellStyle name="Buena 15" xfId="4361"/>
    <cellStyle name="Buena 2" xfId="1298"/>
    <cellStyle name="Buena 2 2" xfId="1299"/>
    <cellStyle name="Buena 3" xfId="1300"/>
    <cellStyle name="Buena 3 2" xfId="1301"/>
    <cellStyle name="Buena 4" xfId="1302"/>
    <cellStyle name="Buena 5" xfId="1303"/>
    <cellStyle name="Buena 6" xfId="1304"/>
    <cellStyle name="Buena 7" xfId="1305"/>
    <cellStyle name="Buena 8" xfId="1306"/>
    <cellStyle name="Buena 9" xfId="1307"/>
    <cellStyle name="Calc" xfId="101"/>
    <cellStyle name="Calc 2" xfId="1308"/>
    <cellStyle name="Calc 2 2" xfId="1309"/>
    <cellStyle name="Calc 3" xfId="1310"/>
    <cellStyle name="Calc 4" xfId="1311"/>
    <cellStyle name="Calculation" xfId="339" builtinId="22" customBuiltin="1"/>
    <cellStyle name="Calculation 2" xfId="102"/>
    <cellStyle name="Calculation 2 2" xfId="103"/>
    <cellStyle name="Calculation 2 2 2" xfId="1313"/>
    <cellStyle name="Calculation 2 2 3" xfId="1314"/>
    <cellStyle name="Calculation 2 2 4" xfId="4477"/>
    <cellStyle name="Calculation 2 2 5" xfId="1312"/>
    <cellStyle name="Calculation 2 3" xfId="1315"/>
    <cellStyle name="Calculation 2 4" xfId="1316"/>
    <cellStyle name="Calculation 2 5" xfId="1317"/>
    <cellStyle name="Calculation 2 6" xfId="1318"/>
    <cellStyle name="Calculation 2 7" xfId="1319"/>
    <cellStyle name="Calculation 2 8" xfId="1320"/>
    <cellStyle name="Calculation 2 9" xfId="4431"/>
    <cellStyle name="Calculation 3" xfId="104"/>
    <cellStyle name="Calculation 3 2" xfId="1321"/>
    <cellStyle name="Calculation 3 3" xfId="1322"/>
    <cellStyle name="Calculation 3 4" xfId="1323"/>
    <cellStyle name="Calculation 3 5" xfId="1324"/>
    <cellStyle name="Calculation 4" xfId="1325"/>
    <cellStyle name="Calculation 5" xfId="1326"/>
    <cellStyle name="Calculation 6" xfId="1327"/>
    <cellStyle name="Cálculo" xfId="105"/>
    <cellStyle name="Cálculo 10" xfId="1328"/>
    <cellStyle name="Cálculo 11" xfId="1329"/>
    <cellStyle name="Cálculo 12" xfId="1330"/>
    <cellStyle name="Cálculo 13" xfId="1331"/>
    <cellStyle name="Cálculo 14" xfId="1332"/>
    <cellStyle name="Cálculo 2" xfId="1333"/>
    <cellStyle name="Cálculo 2 2" xfId="1334"/>
    <cellStyle name="Cálculo 3" xfId="1335"/>
    <cellStyle name="Cálculo 3 2" xfId="1336"/>
    <cellStyle name="Cálculo 4" xfId="1337"/>
    <cellStyle name="Cálculo 5" xfId="1338"/>
    <cellStyle name="Cálculo 6" xfId="1339"/>
    <cellStyle name="Cálculo 7" xfId="1340"/>
    <cellStyle name="Cálculo 8" xfId="1341"/>
    <cellStyle name="Cálculo 9" xfId="1342"/>
    <cellStyle name="Cancel" xfId="1343"/>
    <cellStyle name="Cancel 2" xfId="1344"/>
    <cellStyle name="Celda de comprobación" xfId="106"/>
    <cellStyle name="Celda de comprobación 10" xfId="1345"/>
    <cellStyle name="Celda de comprobación 11" xfId="1346"/>
    <cellStyle name="Celda de comprobación 12" xfId="1347"/>
    <cellStyle name="Celda de comprobación 13" xfId="1348"/>
    <cellStyle name="Celda de comprobación 14" xfId="1349"/>
    <cellStyle name="Celda de comprobación 15" xfId="4364"/>
    <cellStyle name="Celda de comprobación 2" xfId="1350"/>
    <cellStyle name="Celda de comprobación 2 2" xfId="1351"/>
    <cellStyle name="Celda de comprobación 2 3" xfId="1352"/>
    <cellStyle name="Celda de comprobación 3" xfId="1353"/>
    <cellStyle name="Celda de comprobación 3 2" xfId="1354"/>
    <cellStyle name="Celda de comprobación 4" xfId="1355"/>
    <cellStyle name="Celda de comprobación 5" xfId="1356"/>
    <cellStyle name="Celda de comprobación 6" xfId="1357"/>
    <cellStyle name="Celda de comprobación 7" xfId="1358"/>
    <cellStyle name="Celda de comprobación 8" xfId="1359"/>
    <cellStyle name="Celda de comprobación 9" xfId="1360"/>
    <cellStyle name="Celda vinculada" xfId="107"/>
    <cellStyle name="Celda vinculada 10" xfId="1361"/>
    <cellStyle name="Celda vinculada 11" xfId="1362"/>
    <cellStyle name="Celda vinculada 12" xfId="1363"/>
    <cellStyle name="Celda vinculada 13" xfId="1364"/>
    <cellStyle name="Celda vinculada 14" xfId="1365"/>
    <cellStyle name="Celda vinculada 15" xfId="4363"/>
    <cellStyle name="Celda vinculada 2" xfId="1366"/>
    <cellStyle name="Celda vinculada 2 2" xfId="1367"/>
    <cellStyle name="Celda vinculada 3" xfId="1368"/>
    <cellStyle name="Celda vinculada 3 2" xfId="1369"/>
    <cellStyle name="Celda vinculada 4" xfId="1370"/>
    <cellStyle name="Celda vinculada 5" xfId="1371"/>
    <cellStyle name="Celda vinculada 6" xfId="1372"/>
    <cellStyle name="Celda vinculada 7" xfId="1373"/>
    <cellStyle name="Celda vinculada 8" xfId="1374"/>
    <cellStyle name="Celda vinculada 9" xfId="1375"/>
    <cellStyle name="Célula de Verificação" xfId="1376"/>
    <cellStyle name="Célula Vinculada" xfId="1377"/>
    <cellStyle name="Check Cell" xfId="341" builtinId="23" customBuiltin="1"/>
    <cellStyle name="Check Cell 2" xfId="108"/>
    <cellStyle name="Check Cell 2 10" xfId="4433"/>
    <cellStyle name="Check Cell 2 2" xfId="109"/>
    <cellStyle name="Check Cell 2 2 2" xfId="1379"/>
    <cellStyle name="Check Cell 2 2 3" xfId="1380"/>
    <cellStyle name="Check Cell 2 2 4" xfId="1381"/>
    <cellStyle name="Check Cell 2 2 5" xfId="1382"/>
    <cellStyle name="Check Cell 2 2 6" xfId="4478"/>
    <cellStyle name="Check Cell 2 2 7" xfId="1378"/>
    <cellStyle name="Check Cell 2 3" xfId="1383"/>
    <cellStyle name="Check Cell 2 4" xfId="1384"/>
    <cellStyle name="Check Cell 2 5" xfId="1385"/>
    <cellStyle name="Check Cell 2 6" xfId="1386"/>
    <cellStyle name="Check Cell 2 7" xfId="1387"/>
    <cellStyle name="Check Cell 2 8" xfId="1388"/>
    <cellStyle name="Check Cell 2 9" xfId="1389"/>
    <cellStyle name="Check Cell 3" xfId="110"/>
    <cellStyle name="Check Cell 3 2" xfId="1390"/>
    <cellStyle name="Check Cell 3 3" xfId="1391"/>
    <cellStyle name="Check Cell 3 4" xfId="1392"/>
    <cellStyle name="Check Cell 3 5" xfId="1393"/>
    <cellStyle name="Check Cell 4" xfId="1394"/>
    <cellStyle name="Check Cell 5" xfId="1395"/>
    <cellStyle name="Check Cell 6" xfId="1396"/>
    <cellStyle name="Comma" xfId="4531" builtinId="3"/>
    <cellStyle name="Comma  - Style1" xfId="111"/>
    <cellStyle name="Comma  - Style1 2" xfId="1397"/>
    <cellStyle name="Comma  - Style1 3" xfId="1398"/>
    <cellStyle name="Comma  - Style2" xfId="112"/>
    <cellStyle name="Comma  - Style2 2" xfId="1399"/>
    <cellStyle name="Comma  - Style2 3" xfId="1400"/>
    <cellStyle name="Comma  - Style3" xfId="113"/>
    <cellStyle name="Comma  - Style3 2" xfId="1401"/>
    <cellStyle name="Comma  - Style3 3" xfId="1402"/>
    <cellStyle name="Comma  - Style4" xfId="114"/>
    <cellStyle name="Comma  - Style4 2" xfId="1403"/>
    <cellStyle name="Comma  - Style4 3" xfId="1404"/>
    <cellStyle name="Comma  - Style5" xfId="115"/>
    <cellStyle name="Comma  - Style5 2" xfId="1405"/>
    <cellStyle name="Comma  - Style5 3" xfId="1406"/>
    <cellStyle name="Comma  - Style6" xfId="116"/>
    <cellStyle name="Comma  - Style6 2" xfId="1407"/>
    <cellStyle name="Comma  - Style6 3" xfId="1408"/>
    <cellStyle name="Comma  - Style7" xfId="117"/>
    <cellStyle name="Comma  - Style7 2" xfId="1409"/>
    <cellStyle name="Comma  - Style7 3" xfId="1410"/>
    <cellStyle name="Comma  - Style8" xfId="118"/>
    <cellStyle name="Comma  - Style8 2" xfId="1411"/>
    <cellStyle name="Comma  - Style8 3" xfId="1412"/>
    <cellStyle name="Comma [0] 2" xfId="1413"/>
    <cellStyle name="Comma [0] 3" xfId="1414"/>
    <cellStyle name="Comma 10" xfId="1415"/>
    <cellStyle name="Comma 11" xfId="1416"/>
    <cellStyle name="Comma 12" xfId="1417"/>
    <cellStyle name="Comma 13" xfId="1418"/>
    <cellStyle name="Comma 14" xfId="1419"/>
    <cellStyle name="Comma 14 2" xfId="1420"/>
    <cellStyle name="Comma 15" xfId="1421"/>
    <cellStyle name="Comma 15 2" xfId="1422"/>
    <cellStyle name="Comma 16" xfId="1423"/>
    <cellStyle name="Comma 16 2" xfId="1424"/>
    <cellStyle name="Comma 17" xfId="1425"/>
    <cellStyle name="Comma 18" xfId="1426"/>
    <cellStyle name="Comma 19" xfId="1427"/>
    <cellStyle name="Comma 2" xfId="119"/>
    <cellStyle name="Comma 2 2" xfId="120"/>
    <cellStyle name="Comma 2 2 2" xfId="121"/>
    <cellStyle name="Comma 2 2 2 2" xfId="1430"/>
    <cellStyle name="Comma 2 2 2 3" xfId="1431"/>
    <cellStyle name="Comma 2 2 2 4" xfId="1429"/>
    <cellStyle name="Comma 2 2 3" xfId="1432"/>
    <cellStyle name="Comma 2 2 3 2" xfId="1433"/>
    <cellStyle name="Comma 2 2 3 3" xfId="1434"/>
    <cellStyle name="Comma 2 2 4" xfId="4396"/>
    <cellStyle name="Comma 2 3" xfId="122"/>
    <cellStyle name="Comma 2 3 2" xfId="123"/>
    <cellStyle name="Comma 2 3 2 2" xfId="124"/>
    <cellStyle name="Comma 2 3 2 2 2" xfId="125"/>
    <cellStyle name="Comma 2 3 2 3" xfId="126"/>
    <cellStyle name="Comma 2 3 2 4" xfId="4406"/>
    <cellStyle name="Comma 2 3 2 5" xfId="1436"/>
    <cellStyle name="Comma 2 3 3" xfId="127"/>
    <cellStyle name="Comma 2 3 3 2" xfId="128"/>
    <cellStyle name="Comma 2 3 3 3" xfId="4411"/>
    <cellStyle name="Comma 2 3 3 4" xfId="1437"/>
    <cellStyle name="Comma 2 3 4" xfId="129"/>
    <cellStyle name="Comma 2 3 4 2" xfId="4461"/>
    <cellStyle name="Comma 2 3 4 3" xfId="1438"/>
    <cellStyle name="Comma 2 3 5" xfId="4400"/>
    <cellStyle name="Comma 2 3 6" xfId="1435"/>
    <cellStyle name="Comma 2 4" xfId="130"/>
    <cellStyle name="Comma 2 4 2" xfId="131"/>
    <cellStyle name="Comma 2 4 2 2" xfId="132"/>
    <cellStyle name="Comma 2 4 2 3" xfId="4413"/>
    <cellStyle name="Comma 2 4 2 4" xfId="1440"/>
    <cellStyle name="Comma 2 4 3" xfId="133"/>
    <cellStyle name="Comma 2 4 3 2" xfId="4462"/>
    <cellStyle name="Comma 2 4 3 3" xfId="1441"/>
    <cellStyle name="Comma 2 4 4" xfId="4404"/>
    <cellStyle name="Comma 2 4 5" xfId="1439"/>
    <cellStyle name="Comma 2 5" xfId="134"/>
    <cellStyle name="Comma 2 5 2" xfId="135"/>
    <cellStyle name="Comma 2 5 2 2" xfId="4463"/>
    <cellStyle name="Comma 2 5 2 3" xfId="1443"/>
    <cellStyle name="Comma 2 5 3" xfId="4410"/>
    <cellStyle name="Comma 2 5 4" xfId="1442"/>
    <cellStyle name="Comma 2 6" xfId="136"/>
    <cellStyle name="Comma 2 6 2" xfId="4464"/>
    <cellStyle name="Comma 2 6 3" xfId="1444"/>
    <cellStyle name="Comma 2 7" xfId="1428"/>
    <cellStyle name="Comma 20" xfId="1445"/>
    <cellStyle name="Comma 21" xfId="1446"/>
    <cellStyle name="Comma 22" xfId="1447"/>
    <cellStyle name="Comma 23" xfId="1448"/>
    <cellStyle name="Comma 24" xfId="1449"/>
    <cellStyle name="Comma 25" xfId="1450"/>
    <cellStyle name="Comma 26" xfId="1451"/>
    <cellStyle name="Comma 27" xfId="1452"/>
    <cellStyle name="Comma 28" xfId="1453"/>
    <cellStyle name="Comma 29" xfId="1454"/>
    <cellStyle name="Comma 3" xfId="137"/>
    <cellStyle name="Comma 3 2" xfId="138"/>
    <cellStyle name="Comma 3 2 2" xfId="1456"/>
    <cellStyle name="Comma 3 2 2 2" xfId="1457"/>
    <cellStyle name="Comma 3 2 3" xfId="1458"/>
    <cellStyle name="Comma 3 2 4" xfId="1459"/>
    <cellStyle name="Comma 3 2 5" xfId="1455"/>
    <cellStyle name="Comma 3 3" xfId="1460"/>
    <cellStyle name="Comma 3 4" xfId="1461"/>
    <cellStyle name="Comma 3 5" xfId="1462"/>
    <cellStyle name="Comma 3 6" xfId="4399"/>
    <cellStyle name="Comma 30" xfId="1463"/>
    <cellStyle name="Comma 31" xfId="1464"/>
    <cellStyle name="Comma 32" xfId="1465"/>
    <cellStyle name="Comma 33" xfId="1466"/>
    <cellStyle name="Comma 34" xfId="1467"/>
    <cellStyle name="Comma 35" xfId="1468"/>
    <cellStyle name="Comma 36" xfId="1469"/>
    <cellStyle name="Comma 37" xfId="1470"/>
    <cellStyle name="Comma 38" xfId="1471"/>
    <cellStyle name="Comma 39" xfId="1472"/>
    <cellStyle name="Comma 4" xfId="139"/>
    <cellStyle name="Comma 4 2" xfId="1473"/>
    <cellStyle name="Comma 4 2 2" xfId="1474"/>
    <cellStyle name="Comma 4 2 3" xfId="1475"/>
    <cellStyle name="Comma 4 3" xfId="1476"/>
    <cellStyle name="Comma 4 3 2" xfId="1477"/>
    <cellStyle name="Comma 40" xfId="1478"/>
    <cellStyle name="Comma 41" xfId="1479"/>
    <cellStyle name="Comma 42" xfId="1480"/>
    <cellStyle name="Comma 43" xfId="1481"/>
    <cellStyle name="Comma 44" xfId="1482"/>
    <cellStyle name="Comma 45" xfId="4385"/>
    <cellStyle name="Comma 46" xfId="4387"/>
    <cellStyle name="Comma 47" xfId="4389"/>
    <cellStyle name="Comma 48" xfId="4390"/>
    <cellStyle name="Comma 49" xfId="4392"/>
    <cellStyle name="Comma 5" xfId="140"/>
    <cellStyle name="Comma 5 2" xfId="1483"/>
    <cellStyle name="Comma 5 2 2" xfId="1484"/>
    <cellStyle name="Comma 5 2 3" xfId="1485"/>
    <cellStyle name="Comma 5 3" xfId="1486"/>
    <cellStyle name="Comma 5 3 2" xfId="1487"/>
    <cellStyle name="Comma 50" xfId="4533"/>
    <cellStyle name="Comma 6" xfId="141"/>
    <cellStyle name="Comma 6 2" xfId="142"/>
    <cellStyle name="Comma 6 2 2" xfId="143"/>
    <cellStyle name="Comma 6 2 2 2" xfId="144"/>
    <cellStyle name="Comma 6 2 2 3" xfId="1490"/>
    <cellStyle name="Comma 6 2 3" xfId="145"/>
    <cellStyle name="Comma 6 2 3 2" xfId="1491"/>
    <cellStyle name="Comma 6 2 4" xfId="4497"/>
    <cellStyle name="Comma 6 2 5" xfId="1489"/>
    <cellStyle name="Comma 6 3" xfId="146"/>
    <cellStyle name="Comma 6 3 2" xfId="147"/>
    <cellStyle name="Comma 6 3 2 2" xfId="148"/>
    <cellStyle name="Comma 6 3 3" xfId="149"/>
    <cellStyle name="Comma 6 3 4" xfId="1492"/>
    <cellStyle name="Comma 6 4" xfId="150"/>
    <cellStyle name="Comma 6 4 2" xfId="151"/>
    <cellStyle name="Comma 6 5" xfId="152"/>
    <cellStyle name="Comma 6 6" xfId="1488"/>
    <cellStyle name="Comma 7" xfId="153"/>
    <cellStyle name="Comma 7 2" xfId="154"/>
    <cellStyle name="Comma 7 2 2" xfId="155"/>
    <cellStyle name="Comma 7 2 2 2" xfId="156"/>
    <cellStyle name="Comma 7 2 2 3" xfId="1495"/>
    <cellStyle name="Comma 7 2 3" xfId="157"/>
    <cellStyle name="Comma 7 2 3 2" xfId="1496"/>
    <cellStyle name="Comma 7 2 4" xfId="4498"/>
    <cellStyle name="Comma 7 2 5" xfId="1494"/>
    <cellStyle name="Comma 7 3" xfId="158"/>
    <cellStyle name="Comma 7 3 2" xfId="159"/>
    <cellStyle name="Comma 7 3 2 2" xfId="160"/>
    <cellStyle name="Comma 7 3 3" xfId="161"/>
    <cellStyle name="Comma 7 3 4" xfId="1497"/>
    <cellStyle name="Comma 7 4" xfId="162"/>
    <cellStyle name="Comma 7 4 2" xfId="163"/>
    <cellStyle name="Comma 7 5" xfId="164"/>
    <cellStyle name="Comma 7 6" xfId="1493"/>
    <cellStyle name="Comma 8" xfId="1498"/>
    <cellStyle name="Comma 8 2" xfId="1499"/>
    <cellStyle name="Comma 8 3" xfId="1500"/>
    <cellStyle name="Comma 8 4" xfId="1501"/>
    <cellStyle name="Comma 9" xfId="1502"/>
    <cellStyle name="Comma 9 2" xfId="1503"/>
    <cellStyle name="Contabilidad" xfId="1504"/>
    <cellStyle name="Contabilidad (0)" xfId="1505"/>
    <cellStyle name="Contabilidad (0) 2" xfId="1506"/>
    <cellStyle name="Contabilidad (0) 2 2" xfId="1507"/>
    <cellStyle name="Contabilidad (0) 2_20110401_SAL_Rev#1_ PTP 2011" xfId="1508"/>
    <cellStyle name="Contabilidad (0)_20110401_SAL_Rev#1_ PTP 2011" xfId="1509"/>
    <cellStyle name="Contabilidad 10" xfId="1510"/>
    <cellStyle name="Contabilidad 10 2" xfId="1511"/>
    <cellStyle name="Contabilidad 10_20110401_SAN_Rev#1_ PTP 2012" xfId="1512"/>
    <cellStyle name="Contabilidad 2" xfId="1513"/>
    <cellStyle name="Contabilidad 2 2" xfId="1514"/>
    <cellStyle name="Contabilidad 2_20110401_SAL_Rev#1_ PTP 2011" xfId="1515"/>
    <cellStyle name="Contabilidad 3" xfId="1516"/>
    <cellStyle name="Contabilidad 3 2" xfId="1517"/>
    <cellStyle name="Contabilidad 3_20110401_SAL_Rev#1_ PTP 2011" xfId="1518"/>
    <cellStyle name="Contabilidad 4" xfId="1519"/>
    <cellStyle name="Contabilidad 4 2" xfId="1520"/>
    <cellStyle name="Contabilidad 4_20110401_SAL_Rev#1_ PTP 2011" xfId="1521"/>
    <cellStyle name="Contabilidad 5" xfId="1522"/>
    <cellStyle name="Contabilidad 5 2" xfId="1523"/>
    <cellStyle name="Contabilidad 5_20110401_SAN_Rev#1_ PTP 2012" xfId="1524"/>
    <cellStyle name="Contabilidad 6" xfId="1525"/>
    <cellStyle name="Contabilidad 6 2" xfId="1526"/>
    <cellStyle name="Contabilidad 6_20110401_SAN_Rev#1_ PTP 2012" xfId="1527"/>
    <cellStyle name="Contabilidad 7" xfId="1528"/>
    <cellStyle name="Contabilidad 7 2" xfId="1529"/>
    <cellStyle name="Contabilidad 7_20110401_SAN_Rev#1_ PTP 2012" xfId="1530"/>
    <cellStyle name="Contabilidad 8" xfId="1531"/>
    <cellStyle name="Contabilidad 8 2" xfId="1532"/>
    <cellStyle name="Contabilidad 8_20110401_SAN_Rev#1_ PTP 2012" xfId="1533"/>
    <cellStyle name="Contabilidad 9" xfId="1534"/>
    <cellStyle name="Contabilidad 9 2" xfId="1535"/>
    <cellStyle name="Contabilidad 9_20110401_SAN_Rev#1_ PTP 2012" xfId="1536"/>
    <cellStyle name="Contabilidad_20110401_SAL_Rev#1_ PTP 2011" xfId="1537"/>
    <cellStyle name="Currency [0] 2" xfId="1538"/>
    <cellStyle name="Currency [0] 3" xfId="1539"/>
    <cellStyle name="Currency 2" xfId="1540"/>
    <cellStyle name="Currency 2 2" xfId="1541"/>
    <cellStyle name="Currency 3" xfId="1542"/>
    <cellStyle name="Date" xfId="1543"/>
    <cellStyle name="Date [mmm-d-yyyy]" xfId="1544"/>
    <cellStyle name="Date [mmm-yyyy]" xfId="1545"/>
    <cellStyle name="Date 10" xfId="1546"/>
    <cellStyle name="Date 11" xfId="1547"/>
    <cellStyle name="Date 12" xfId="1548"/>
    <cellStyle name="Date 13" xfId="1549"/>
    <cellStyle name="Date 14" xfId="1550"/>
    <cellStyle name="Date 15" xfId="1551"/>
    <cellStyle name="Date 16" xfId="1552"/>
    <cellStyle name="Date 17" xfId="1553"/>
    <cellStyle name="Date 18" xfId="1554"/>
    <cellStyle name="Date 19" xfId="1555"/>
    <cellStyle name="Date 2" xfId="1556"/>
    <cellStyle name="Date 2 2" xfId="1557"/>
    <cellStyle name="Date 2_20110401_SAL_Rev#1_ PTP 2011" xfId="1558"/>
    <cellStyle name="Date 20" xfId="1559"/>
    <cellStyle name="Date 21" xfId="1560"/>
    <cellStyle name="Date 22" xfId="1561"/>
    <cellStyle name="Date 23" xfId="1562"/>
    <cellStyle name="Date 24" xfId="1563"/>
    <cellStyle name="Date 25" xfId="1564"/>
    <cellStyle name="Date 26" xfId="1565"/>
    <cellStyle name="Date 27" xfId="1566"/>
    <cellStyle name="Date 28" xfId="1567"/>
    <cellStyle name="Date 29" xfId="1568"/>
    <cellStyle name="Date 3" xfId="1569"/>
    <cellStyle name="Date 30" xfId="1570"/>
    <cellStyle name="Date 31" xfId="1571"/>
    <cellStyle name="Date 32" xfId="1572"/>
    <cellStyle name="Date 33" xfId="1573"/>
    <cellStyle name="Date 34" xfId="1574"/>
    <cellStyle name="Date 35" xfId="1575"/>
    <cellStyle name="Date 36" xfId="1576"/>
    <cellStyle name="Date 37" xfId="1577"/>
    <cellStyle name="Date 38" xfId="1578"/>
    <cellStyle name="Date 39" xfId="1579"/>
    <cellStyle name="Date 4" xfId="1580"/>
    <cellStyle name="Date 40" xfId="1581"/>
    <cellStyle name="Date 41" xfId="1582"/>
    <cellStyle name="Date 42" xfId="1583"/>
    <cellStyle name="Date 43" xfId="1584"/>
    <cellStyle name="Date 44" xfId="1585"/>
    <cellStyle name="Date 44 2" xfId="1586"/>
    <cellStyle name="Date 45" xfId="1587"/>
    <cellStyle name="Date 45 2" xfId="1588"/>
    <cellStyle name="Date 46" xfId="1589"/>
    <cellStyle name="Date 46 2" xfId="1590"/>
    <cellStyle name="Date 47" xfId="1591"/>
    <cellStyle name="Date 47 2" xfId="1592"/>
    <cellStyle name="Date 48" xfId="1593"/>
    <cellStyle name="Date 48 2" xfId="1594"/>
    <cellStyle name="Date 49" xfId="1595"/>
    <cellStyle name="Date 49 2" xfId="1596"/>
    <cellStyle name="Date 5" xfId="1597"/>
    <cellStyle name="Date 50" xfId="1598"/>
    <cellStyle name="Date 50 2" xfId="1599"/>
    <cellStyle name="Date 51" xfId="1600"/>
    <cellStyle name="Date 51 2" xfId="1601"/>
    <cellStyle name="Date 52" xfId="1602"/>
    <cellStyle name="Date 52 2" xfId="1603"/>
    <cellStyle name="Date 53" xfId="1604"/>
    <cellStyle name="Date 53 2" xfId="1605"/>
    <cellStyle name="Date 54" xfId="1606"/>
    <cellStyle name="Date 54 2" xfId="1607"/>
    <cellStyle name="Date 55" xfId="1608"/>
    <cellStyle name="Date 55 2" xfId="1609"/>
    <cellStyle name="Date 56" xfId="1610"/>
    <cellStyle name="Date 56 2" xfId="1611"/>
    <cellStyle name="Date 57" xfId="1612"/>
    <cellStyle name="Date 57 2" xfId="1613"/>
    <cellStyle name="Date 58" xfId="1614"/>
    <cellStyle name="Date 58 2" xfId="1615"/>
    <cellStyle name="Date 59" xfId="1616"/>
    <cellStyle name="Date 59 2" xfId="1617"/>
    <cellStyle name="Date 6" xfId="1618"/>
    <cellStyle name="Date 60" xfId="1619"/>
    <cellStyle name="Date 60 2" xfId="1620"/>
    <cellStyle name="Date 61" xfId="1621"/>
    <cellStyle name="Date 61 2" xfId="1622"/>
    <cellStyle name="Date 62" xfId="1623"/>
    <cellStyle name="Date 62 2" xfId="1624"/>
    <cellStyle name="Date 63" xfId="1625"/>
    <cellStyle name="Date 63 2" xfId="1626"/>
    <cellStyle name="Date 64" xfId="1627"/>
    <cellStyle name="Date 64 2" xfId="1628"/>
    <cellStyle name="Date 65" xfId="1629"/>
    <cellStyle name="Date 66" xfId="1630"/>
    <cellStyle name="Date 67" xfId="1631"/>
    <cellStyle name="Date 68" xfId="1632"/>
    <cellStyle name="Date 69" xfId="1633"/>
    <cellStyle name="Date 7" xfId="1634"/>
    <cellStyle name="Date 70" xfId="1635"/>
    <cellStyle name="Date 71" xfId="1636"/>
    <cellStyle name="Date 72" xfId="1637"/>
    <cellStyle name="Date 73" xfId="1638"/>
    <cellStyle name="Date 74" xfId="1639"/>
    <cellStyle name="Date 8" xfId="1640"/>
    <cellStyle name="Date 9" xfId="1641"/>
    <cellStyle name="Date_INGRE" xfId="1642"/>
    <cellStyle name="Date2" xfId="1643"/>
    <cellStyle name="DEC1" xfId="1644"/>
    <cellStyle name="Dia" xfId="1645"/>
    <cellStyle name="Dia 2" xfId="1646"/>
    <cellStyle name="Dia 2 2" xfId="1647"/>
    <cellStyle name="Dia 2 2 2" xfId="1648"/>
    <cellStyle name="Dia 2 3" xfId="1649"/>
    <cellStyle name="Dia 2_20110401_SAL_Rev#1_ PTP 2011" xfId="1650"/>
    <cellStyle name="Dia 3" xfId="1651"/>
    <cellStyle name="Dia 3 2" xfId="1652"/>
    <cellStyle name="Dia 4" xfId="1653"/>
    <cellStyle name="Dia_20110401_SAL_Rev#1_ PTP 2011" xfId="1654"/>
    <cellStyle name="ding" xfId="1655"/>
    <cellStyle name="Di-tri" xfId="1656"/>
    <cellStyle name="Di-tri 2" xfId="1657"/>
    <cellStyle name="Di-tri_20110401_SAN_Rev#1_ PTP 2012" xfId="1658"/>
    <cellStyle name="Emphasis 1" xfId="1659"/>
    <cellStyle name="Emphasis 1 2" xfId="1660"/>
    <cellStyle name="Emphasis 1 3" xfId="1661"/>
    <cellStyle name="Emphasis 1 4" xfId="1662"/>
    <cellStyle name="Emphasis 1 5" xfId="1663"/>
    <cellStyle name="Emphasis 2" xfId="1664"/>
    <cellStyle name="Emphasis 2 2" xfId="1665"/>
    <cellStyle name="Emphasis 2 3" xfId="1666"/>
    <cellStyle name="Emphasis 2 4" xfId="1667"/>
    <cellStyle name="Emphasis 2 5" xfId="1668"/>
    <cellStyle name="Emphasis 3" xfId="1669"/>
    <cellStyle name="Emphasis 3 2" xfId="1670"/>
    <cellStyle name="Emphasis 3 3" xfId="1671"/>
    <cellStyle name="Emphasis 3 4" xfId="1672"/>
    <cellStyle name="Emphasis 3 5" xfId="1673"/>
    <cellStyle name="Encabez1" xfId="1674"/>
    <cellStyle name="Encabez1 2" xfId="1675"/>
    <cellStyle name="Encabez1 2 2" xfId="1676"/>
    <cellStyle name="Encabez1 2 2 2" xfId="1677"/>
    <cellStyle name="Encabez1 2 3" xfId="1678"/>
    <cellStyle name="Encabez1 2_20110401_SAL_Rev#1_ PTP 2011" xfId="1679"/>
    <cellStyle name="Encabez1 3" xfId="1680"/>
    <cellStyle name="Encabez1 3 2" xfId="1681"/>
    <cellStyle name="Encabez1 4" xfId="1682"/>
    <cellStyle name="Encabez1_20110401_SAL_Rev#1_ PTP 2011" xfId="1683"/>
    <cellStyle name="Encabez2" xfId="1684"/>
    <cellStyle name="Encabez2 2" xfId="1685"/>
    <cellStyle name="Encabez2 2 2" xfId="1686"/>
    <cellStyle name="Encabez2 2 2 2" xfId="1687"/>
    <cellStyle name="Encabez2 2 3" xfId="1688"/>
    <cellStyle name="Encabez2 2_20110401_SAL_Rev#1_ PTP 2011" xfId="1689"/>
    <cellStyle name="Encabez2 3" xfId="1690"/>
    <cellStyle name="Encabez2 3 2" xfId="1691"/>
    <cellStyle name="Encabez2 4" xfId="1692"/>
    <cellStyle name="Encabez2_20110401_SAL_Rev#1_ PTP 2011" xfId="1693"/>
    <cellStyle name="Encabezado 4" xfId="165"/>
    <cellStyle name="Encabezado 4 10" xfId="1694"/>
    <cellStyle name="Encabezado 4 11" xfId="1695"/>
    <cellStyle name="Encabezado 4 12" xfId="1696"/>
    <cellStyle name="Encabezado 4 13" xfId="1697"/>
    <cellStyle name="Encabezado 4 14" xfId="1698"/>
    <cellStyle name="Encabezado 4 15" xfId="4360"/>
    <cellStyle name="Encabezado 4 2" xfId="1699"/>
    <cellStyle name="Encabezado 4 2 2" xfId="1700"/>
    <cellStyle name="Encabezado 4 3" xfId="1701"/>
    <cellStyle name="Encabezado 4 3 2" xfId="1702"/>
    <cellStyle name="Encabezado 4 4" xfId="1703"/>
    <cellStyle name="Encabezado 4 5" xfId="1704"/>
    <cellStyle name="Encabezado 4 6" xfId="1705"/>
    <cellStyle name="Encabezado 4 7" xfId="1706"/>
    <cellStyle name="Encabezado 4 8" xfId="1707"/>
    <cellStyle name="Encabezado 4 9" xfId="1708"/>
    <cellStyle name="Ênfase1" xfId="1709"/>
    <cellStyle name="Ênfase2" xfId="1710"/>
    <cellStyle name="Ênfase3" xfId="1711"/>
    <cellStyle name="Ênfase4" xfId="1712"/>
    <cellStyle name="Ênfase5" xfId="1713"/>
    <cellStyle name="Ênfase6" xfId="1714"/>
    <cellStyle name="Énfasis1" xfId="166"/>
    <cellStyle name="Énfasis1 10" xfId="1716"/>
    <cellStyle name="Énfasis1 11" xfId="1717"/>
    <cellStyle name="Énfasis1 12" xfId="1718"/>
    <cellStyle name="Énfasis1 13" xfId="1719"/>
    <cellStyle name="Énfasis1 14" xfId="1720"/>
    <cellStyle name="Énfasis1 2" xfId="1721"/>
    <cellStyle name="Énfasis1 2 2" xfId="1722"/>
    <cellStyle name="Énfasis1 3" xfId="1723"/>
    <cellStyle name="Énfasis1 3 2" xfId="1724"/>
    <cellStyle name="Énfasis1 4" xfId="1725"/>
    <cellStyle name="Énfasis1 5" xfId="1726"/>
    <cellStyle name="Énfasis1 6" xfId="1727"/>
    <cellStyle name="Énfasis1 7" xfId="1728"/>
    <cellStyle name="Énfasis1 8" xfId="1729"/>
    <cellStyle name="Énfasis1 9" xfId="1730"/>
    <cellStyle name="Énfasis2" xfId="167"/>
    <cellStyle name="Énfasis2 10" xfId="1732"/>
    <cellStyle name="Énfasis2 11" xfId="1733"/>
    <cellStyle name="Énfasis2 12" xfId="1734"/>
    <cellStyle name="Énfasis2 13" xfId="1735"/>
    <cellStyle name="Énfasis2 14" xfId="1736"/>
    <cellStyle name="Énfasis2 2" xfId="1737"/>
    <cellStyle name="Énfasis2 2 2" xfId="1738"/>
    <cellStyle name="Énfasis2 3" xfId="1739"/>
    <cellStyle name="Énfasis2 3 2" xfId="1740"/>
    <cellStyle name="Énfasis2 4" xfId="1741"/>
    <cellStyle name="Énfasis2 5" xfId="1742"/>
    <cellStyle name="Énfasis2 6" xfId="1743"/>
    <cellStyle name="Énfasis2 7" xfId="1744"/>
    <cellStyle name="Énfasis2 8" xfId="1745"/>
    <cellStyle name="Énfasis2 9" xfId="1746"/>
    <cellStyle name="Énfasis3" xfId="168"/>
    <cellStyle name="Énfasis3 10" xfId="1748"/>
    <cellStyle name="Énfasis3 11" xfId="1749"/>
    <cellStyle name="Énfasis3 12" xfId="1750"/>
    <cellStyle name="Énfasis3 13" xfId="1751"/>
    <cellStyle name="Énfasis3 14" xfId="1752"/>
    <cellStyle name="Énfasis3 2" xfId="1753"/>
    <cellStyle name="Énfasis3 2 2" xfId="1754"/>
    <cellStyle name="Énfasis3 3" xfId="1755"/>
    <cellStyle name="Énfasis3 3 2" xfId="1756"/>
    <cellStyle name="Énfasis3 4" xfId="1757"/>
    <cellStyle name="Énfasis3 5" xfId="1758"/>
    <cellStyle name="Énfasis3 6" xfId="1759"/>
    <cellStyle name="Énfasis3 7" xfId="1760"/>
    <cellStyle name="Énfasis3 8" xfId="1761"/>
    <cellStyle name="Énfasis3 9" xfId="1762"/>
    <cellStyle name="Énfasis4" xfId="169"/>
    <cellStyle name="Énfasis4 10" xfId="1764"/>
    <cellStyle name="Énfasis4 11" xfId="1765"/>
    <cellStyle name="Énfasis4 12" xfId="1766"/>
    <cellStyle name="Énfasis4 13" xfId="1767"/>
    <cellStyle name="Énfasis4 14" xfId="1768"/>
    <cellStyle name="Énfasis4 2" xfId="1769"/>
    <cellStyle name="Énfasis4 2 2" xfId="1770"/>
    <cellStyle name="Énfasis4 3" xfId="1771"/>
    <cellStyle name="Énfasis4 3 2" xfId="1772"/>
    <cellStyle name="Énfasis4 4" xfId="1773"/>
    <cellStyle name="Énfasis4 5" xfId="1774"/>
    <cellStyle name="Énfasis4 6" xfId="1775"/>
    <cellStyle name="Énfasis4 7" xfId="1776"/>
    <cellStyle name="Énfasis4 8" xfId="1777"/>
    <cellStyle name="Énfasis4 9" xfId="1778"/>
    <cellStyle name="Énfasis5" xfId="170"/>
    <cellStyle name="Énfasis5 10" xfId="1780"/>
    <cellStyle name="Énfasis5 11" xfId="1781"/>
    <cellStyle name="Énfasis5 12" xfId="1782"/>
    <cellStyle name="Énfasis5 13" xfId="1783"/>
    <cellStyle name="Énfasis5 14" xfId="1784"/>
    <cellStyle name="Énfasis5 2" xfId="1785"/>
    <cellStyle name="Énfasis5 2 2" xfId="1786"/>
    <cellStyle name="Énfasis5 3" xfId="1787"/>
    <cellStyle name="Énfasis5 3 2" xfId="1788"/>
    <cellStyle name="Énfasis5 4" xfId="1789"/>
    <cellStyle name="Énfasis5 5" xfId="1790"/>
    <cellStyle name="Énfasis5 6" xfId="1791"/>
    <cellStyle name="Énfasis5 7" xfId="1792"/>
    <cellStyle name="Énfasis5 8" xfId="1793"/>
    <cellStyle name="Énfasis5 9" xfId="1794"/>
    <cellStyle name="Énfasis6" xfId="171"/>
    <cellStyle name="Énfasis6 10" xfId="1796"/>
    <cellStyle name="Énfasis6 11" xfId="1797"/>
    <cellStyle name="Énfasis6 12" xfId="1798"/>
    <cellStyle name="Énfasis6 13" xfId="1799"/>
    <cellStyle name="Énfasis6 14" xfId="1800"/>
    <cellStyle name="Énfasis6 2" xfId="1801"/>
    <cellStyle name="Énfasis6 2 2" xfId="1802"/>
    <cellStyle name="Énfasis6 3" xfId="1803"/>
    <cellStyle name="Énfasis6 3 2" xfId="1804"/>
    <cellStyle name="Énfasis6 4" xfId="1805"/>
    <cellStyle name="Énfasis6 5" xfId="1806"/>
    <cellStyle name="Énfasis6 6" xfId="1807"/>
    <cellStyle name="Énfasis6 7" xfId="1808"/>
    <cellStyle name="Énfasis6 8" xfId="1809"/>
    <cellStyle name="Énfasis6 9" xfId="1810"/>
    <cellStyle name="Entrada" xfId="172"/>
    <cellStyle name="Entrada 10" xfId="1811"/>
    <cellStyle name="Entrada 11" xfId="1812"/>
    <cellStyle name="Entrada 12" xfId="1813"/>
    <cellStyle name="Entrada 13" xfId="1814"/>
    <cellStyle name="Entrada 14" xfId="1815"/>
    <cellStyle name="Entrada 15" xfId="4362"/>
    <cellStyle name="Entrada 2" xfId="1816"/>
    <cellStyle name="Entrada 2 2" xfId="1817"/>
    <cellStyle name="Entrada 3" xfId="1818"/>
    <cellStyle name="Entrada 3 2" xfId="1819"/>
    <cellStyle name="Entrada 4" xfId="1820"/>
    <cellStyle name="Entrada 5" xfId="1821"/>
    <cellStyle name="Entrada 6" xfId="1822"/>
    <cellStyle name="Entrada 7" xfId="1823"/>
    <cellStyle name="Entrada 8" xfId="1824"/>
    <cellStyle name="Entrada 9" xfId="1825"/>
    <cellStyle name="Estilo 1" xfId="1826"/>
    <cellStyle name="Estilo 1 2" xfId="1827"/>
    <cellStyle name="Estilo 1 2 2" xfId="1828"/>
    <cellStyle name="Estilo 1 2 3" xfId="1829"/>
    <cellStyle name="Estilo 1 3" xfId="1830"/>
    <cellStyle name="Estilo 1 4" xfId="1831"/>
    <cellStyle name="Estilo 1_1.400 Inversiones Oper ITAÚ" xfId="1832"/>
    <cellStyle name="Euro" xfId="173"/>
    <cellStyle name="Euro 10" xfId="1833"/>
    <cellStyle name="Euro 11" xfId="1834"/>
    <cellStyle name="Euro 12" xfId="1835"/>
    <cellStyle name="Euro 13" xfId="1836"/>
    <cellStyle name="Euro 14" xfId="1837"/>
    <cellStyle name="Euro 2" xfId="174"/>
    <cellStyle name="Euro 2 2" xfId="1839"/>
    <cellStyle name="Euro 2 2 2" xfId="1840"/>
    <cellStyle name="Euro 2 2 3" xfId="1841"/>
    <cellStyle name="Euro 2 3" xfId="1842"/>
    <cellStyle name="Euro 2 3 2" xfId="1843"/>
    <cellStyle name="Euro 2 4" xfId="1844"/>
    <cellStyle name="Euro 2 5" xfId="1845"/>
    <cellStyle name="Euro 2 6" xfId="1846"/>
    <cellStyle name="Euro 2 7" xfId="4493"/>
    <cellStyle name="Euro 2 8" xfId="1838"/>
    <cellStyle name="Euro 2_1.400 Inversiones Oper ITAÚ" xfId="1847"/>
    <cellStyle name="Euro 3" xfId="1848"/>
    <cellStyle name="Euro 3 2" xfId="1849"/>
    <cellStyle name="Euro 3 2 2" xfId="1850"/>
    <cellStyle name="Euro 3 3" xfId="1851"/>
    <cellStyle name="Euro 3 4" xfId="1852"/>
    <cellStyle name="Euro 3 5" xfId="1853"/>
    <cellStyle name="Euro 3_1.400 Inversiones Oper SAN" xfId="1854"/>
    <cellStyle name="Euro 4" xfId="1855"/>
    <cellStyle name="Euro 4 2" xfId="1856"/>
    <cellStyle name="Euro 5" xfId="1857"/>
    <cellStyle name="Euro 5 2" xfId="1858"/>
    <cellStyle name="Euro 6" xfId="1859"/>
    <cellStyle name="Euro 6 2" xfId="1860"/>
    <cellStyle name="Euro 7" xfId="1861"/>
    <cellStyle name="Euro 7 2" xfId="1862"/>
    <cellStyle name="Euro 7 3" xfId="1863"/>
    <cellStyle name="Euro 8" xfId="1864"/>
    <cellStyle name="Euro 9" xfId="1865"/>
    <cellStyle name="Euro_1.400 Inversiones Oper ITAÚ" xfId="1866"/>
    <cellStyle name="Explanatory Text" xfId="343" builtinId="53" customBuiltin="1"/>
    <cellStyle name="Explanatory Text 2" xfId="175"/>
    <cellStyle name="Explanatory Text 2 2" xfId="176"/>
    <cellStyle name="Explanatory Text 2 3" xfId="4435"/>
    <cellStyle name="Explanatory Text 3" xfId="177"/>
    <cellStyle name="Explanatory Text 4" xfId="1867"/>
    <cellStyle name="Explanatory Text 5" xfId="4165"/>
    <cellStyle name="F2" xfId="1868"/>
    <cellStyle name="F2 10" xfId="1869"/>
    <cellStyle name="F2 2" xfId="1870"/>
    <cellStyle name="F2 2 2" xfId="1871"/>
    <cellStyle name="F2 2 2 2" xfId="1872"/>
    <cellStyle name="F2 2 3" xfId="1873"/>
    <cellStyle name="F2 2 4" xfId="1874"/>
    <cellStyle name="F2 2_20110401_SAL_Rev#1_ PTP 2011" xfId="1875"/>
    <cellStyle name="F2 3" xfId="1876"/>
    <cellStyle name="F2 3 2" xfId="1877"/>
    <cellStyle name="F2 3 3" xfId="1878"/>
    <cellStyle name="F2 4" xfId="1879"/>
    <cellStyle name="F2 5" xfId="1880"/>
    <cellStyle name="F2 6" xfId="1881"/>
    <cellStyle name="F2 7" xfId="1882"/>
    <cellStyle name="F2 8" xfId="1883"/>
    <cellStyle name="F2 9" xfId="1884"/>
    <cellStyle name="F2_20110401_SAL_Rev#1_ PTP 2011" xfId="1885"/>
    <cellStyle name="F3" xfId="1886"/>
    <cellStyle name="F3 10" xfId="1887"/>
    <cellStyle name="F3 2" xfId="1888"/>
    <cellStyle name="F3 2 2" xfId="1889"/>
    <cellStyle name="F3 2 2 2" xfId="1890"/>
    <cellStyle name="F3 2 3" xfId="1891"/>
    <cellStyle name="F3 2 4" xfId="1892"/>
    <cellStyle name="F3 2_20110401_SAL_Rev#1_ PTP 2011" xfId="1893"/>
    <cellStyle name="F3 3" xfId="1894"/>
    <cellStyle name="F3 3 2" xfId="1895"/>
    <cellStyle name="F3 3 3" xfId="1896"/>
    <cellStyle name="F3 4" xfId="1897"/>
    <cellStyle name="F3 5" xfId="1898"/>
    <cellStyle name="F3 6" xfId="1899"/>
    <cellStyle name="F3 7" xfId="1900"/>
    <cellStyle name="F3 8" xfId="1901"/>
    <cellStyle name="F3 9" xfId="1902"/>
    <cellStyle name="F3_20110401_SAL_Rev#1_ PTP 2011" xfId="1903"/>
    <cellStyle name="F4" xfId="1904"/>
    <cellStyle name="F4 10" xfId="1905"/>
    <cellStyle name="F4 2" xfId="1906"/>
    <cellStyle name="F4 2 2" xfId="1907"/>
    <cellStyle name="F4 2 2 2" xfId="1908"/>
    <cellStyle name="F4 2 3" xfId="1909"/>
    <cellStyle name="F4 2 4" xfId="1910"/>
    <cellStyle name="F4 2_20110401_SAL_Rev#1_ PTP 2011" xfId="1911"/>
    <cellStyle name="F4 3" xfId="1912"/>
    <cellStyle name="F4 3 2" xfId="1913"/>
    <cellStyle name="F4 3 3" xfId="1914"/>
    <cellStyle name="F4 4" xfId="1915"/>
    <cellStyle name="F4 5" xfId="1916"/>
    <cellStyle name="F4 6" xfId="1917"/>
    <cellStyle name="F4 7" xfId="1918"/>
    <cellStyle name="F4 8" xfId="1919"/>
    <cellStyle name="F4 9" xfId="1920"/>
    <cellStyle name="F4_20110401_SAL_Rev#1_ PTP 2011" xfId="1921"/>
    <cellStyle name="F5" xfId="1922"/>
    <cellStyle name="F5 10" xfId="1923"/>
    <cellStyle name="F5 2" xfId="1924"/>
    <cellStyle name="F5 2 2" xfId="1925"/>
    <cellStyle name="F5 2 2 2" xfId="1926"/>
    <cellStyle name="F5 2 3" xfId="1927"/>
    <cellStyle name="F5 2 4" xfId="1928"/>
    <cellStyle name="F5 2_20110401_SAL_Rev#1_ PTP 2011" xfId="1929"/>
    <cellStyle name="F5 3" xfId="1930"/>
    <cellStyle name="F5 3 2" xfId="1931"/>
    <cellStyle name="F5 3 3" xfId="1932"/>
    <cellStyle name="F5 4" xfId="1933"/>
    <cellStyle name="F5 5" xfId="1934"/>
    <cellStyle name="F5 6" xfId="1935"/>
    <cellStyle name="F5 7" xfId="1936"/>
    <cellStyle name="F5 8" xfId="1937"/>
    <cellStyle name="F5 9" xfId="1938"/>
    <cellStyle name="F5_20110401_SAL_Rev#1_ PTP 2011" xfId="1939"/>
    <cellStyle name="F6" xfId="1940"/>
    <cellStyle name="F6 10" xfId="1941"/>
    <cellStyle name="F6 2" xfId="1942"/>
    <cellStyle name="F6 2 2" xfId="1943"/>
    <cellStyle name="F6 2 2 2" xfId="1944"/>
    <cellStyle name="F6 2 3" xfId="1945"/>
    <cellStyle name="F6 2 4" xfId="1946"/>
    <cellStyle name="F6 2_20110401_SAL_Rev#1_ PTP 2011" xfId="1947"/>
    <cellStyle name="F6 3" xfId="1948"/>
    <cellStyle name="F6 3 2" xfId="1949"/>
    <cellStyle name="F6 3 3" xfId="1950"/>
    <cellStyle name="F6 4" xfId="1951"/>
    <cellStyle name="F6 5" xfId="1952"/>
    <cellStyle name="F6 6" xfId="1953"/>
    <cellStyle name="F6 7" xfId="1954"/>
    <cellStyle name="F6 8" xfId="1955"/>
    <cellStyle name="F6 9" xfId="1956"/>
    <cellStyle name="F6_20110401_SAL_Rev#1_ PTP 2011" xfId="1957"/>
    <cellStyle name="F7" xfId="1958"/>
    <cellStyle name="F7 10" xfId="1959"/>
    <cellStyle name="F7 2" xfId="1960"/>
    <cellStyle name="F7 2 2" xfId="1961"/>
    <cellStyle name="F7 2 2 2" xfId="1962"/>
    <cellStyle name="F7 2 3" xfId="1963"/>
    <cellStyle name="F7 2 4" xfId="1964"/>
    <cellStyle name="F7 2_20110401_SAL_Rev#1_ PTP 2011" xfId="1965"/>
    <cellStyle name="F7 3" xfId="1966"/>
    <cellStyle name="F7 3 2" xfId="1967"/>
    <cellStyle name="F7 3 3" xfId="1968"/>
    <cellStyle name="F7 4" xfId="1969"/>
    <cellStyle name="F7 5" xfId="1970"/>
    <cellStyle name="F7 6" xfId="1971"/>
    <cellStyle name="F7 7" xfId="1972"/>
    <cellStyle name="F7 8" xfId="1973"/>
    <cellStyle name="F7 9" xfId="1974"/>
    <cellStyle name="F7_20110401_SAL_Rev#1_ PTP 2011" xfId="1975"/>
    <cellStyle name="F8" xfId="1976"/>
    <cellStyle name="F8 10" xfId="1977"/>
    <cellStyle name="F8 2" xfId="1978"/>
    <cellStyle name="F8 2 2" xfId="1979"/>
    <cellStyle name="F8 2 2 2" xfId="1980"/>
    <cellStyle name="F8 2 3" xfId="1981"/>
    <cellStyle name="F8 2 4" xfId="1982"/>
    <cellStyle name="F8 2_20110401_SAL_Rev#1_ PTP 2011" xfId="1983"/>
    <cellStyle name="F8 3" xfId="1984"/>
    <cellStyle name="F8 3 2" xfId="1985"/>
    <cellStyle name="F8 3 3" xfId="1986"/>
    <cellStyle name="F8 4" xfId="1987"/>
    <cellStyle name="F8 5" xfId="1988"/>
    <cellStyle name="F8 6" xfId="1989"/>
    <cellStyle name="F8 7" xfId="1990"/>
    <cellStyle name="F8 8" xfId="1991"/>
    <cellStyle name="F8 9" xfId="1992"/>
    <cellStyle name="F8_20110401_SAL_Rev#1_ PTP 2011" xfId="1993"/>
    <cellStyle name="Fijo" xfId="1994"/>
    <cellStyle name="Fijo 2" xfId="1995"/>
    <cellStyle name="Fijo 2 2" xfId="1996"/>
    <cellStyle name="Fijo 2_20110401_SAL_Rev#1_ PTP 2011" xfId="1997"/>
    <cellStyle name="Fijo 3" xfId="1998"/>
    <cellStyle name="Fijo_20110401_SAL_Rev#1_ PTP 2011" xfId="1999"/>
    <cellStyle name="Financiero" xfId="2000"/>
    <cellStyle name="Financiero 2" xfId="2001"/>
    <cellStyle name="Financiero 2 2" xfId="2002"/>
    <cellStyle name="Financiero 2_20110401_SAL_Rev#1_ PTP 2011" xfId="2003"/>
    <cellStyle name="Financiero 3" xfId="2004"/>
    <cellStyle name="Financiero_20110401_SAL_Rev#1_ PTP 2011" xfId="2005"/>
    <cellStyle name="Fixed" xfId="2006"/>
    <cellStyle name="Fixed 2" xfId="2007"/>
    <cellStyle name="Fixed 2 2" xfId="2008"/>
    <cellStyle name="Fixed 2_20110401_SAL_Rev#1_ PTP 2011" xfId="2009"/>
    <cellStyle name="Fixed 3" xfId="2010"/>
    <cellStyle name="Fixed 4" xfId="2011"/>
    <cellStyle name="Fixed 5" xfId="2012"/>
    <cellStyle name="Fixed 5 2" xfId="2013"/>
    <cellStyle name="Followed Hyperlink" xfId="2014"/>
    <cellStyle name="Followed Hyperlink 2" xfId="2015"/>
    <cellStyle name="Followed Hyperlink 2 2" xfId="2016"/>
    <cellStyle name="Followed Hyperlink 2 2 2" xfId="2017"/>
    <cellStyle name="Followed Hyperlink 2 3" xfId="2018"/>
    <cellStyle name="Followed Hyperlink 2_20110401_SAN_Rev#1_ PTP 2012" xfId="2019"/>
    <cellStyle name="Followed Hyperlink 3" xfId="2020"/>
    <cellStyle name="form" xfId="178"/>
    <cellStyle name="form 2" xfId="2021"/>
    <cellStyle name="Good" xfId="334" builtinId="26" customBuiltin="1"/>
    <cellStyle name="Good 2" xfId="179"/>
    <cellStyle name="Good 2 2" xfId="180"/>
    <cellStyle name="Good 2 2 2" xfId="2023"/>
    <cellStyle name="Good 2 2 3" xfId="2024"/>
    <cellStyle name="Good 2 2 4" xfId="2025"/>
    <cellStyle name="Good 2 2 5" xfId="2026"/>
    <cellStyle name="Good 2 2 6" xfId="4479"/>
    <cellStyle name="Good 2 2 7" xfId="2022"/>
    <cellStyle name="Good 2 3" xfId="2027"/>
    <cellStyle name="Good 2 4" xfId="2028"/>
    <cellStyle name="Good 2 5" xfId="2029"/>
    <cellStyle name="Good 2 6" xfId="2030"/>
    <cellStyle name="Good 2 7" xfId="2031"/>
    <cellStyle name="Good 2 8" xfId="2032"/>
    <cellStyle name="Good 2 9" xfId="4426"/>
    <cellStyle name="Good 3" xfId="181"/>
    <cellStyle name="Good 3 2" xfId="2033"/>
    <cellStyle name="Good 3 3" xfId="2034"/>
    <cellStyle name="Good 3 4" xfId="2035"/>
    <cellStyle name="Good 3 5" xfId="2036"/>
    <cellStyle name="Good 4" xfId="2037"/>
    <cellStyle name="Good 5" xfId="2038"/>
    <cellStyle name="Hard Percent" xfId="182"/>
    <cellStyle name="Hard Percent 2" xfId="2039"/>
    <cellStyle name="Heading 1" xfId="330" builtinId="16" customBuiltin="1"/>
    <cellStyle name="Heading 1 2" xfId="183"/>
    <cellStyle name="Heading 1 2 2" xfId="184"/>
    <cellStyle name="Heading 1 2 2 2" xfId="4480"/>
    <cellStyle name="Heading 1 2 2 3" xfId="2040"/>
    <cellStyle name="Heading 1 2 3" xfId="2041"/>
    <cellStyle name="Heading 1 2 4" xfId="2042"/>
    <cellStyle name="Heading 1 2 5" xfId="4422"/>
    <cellStyle name="Heading 1 3" xfId="185"/>
    <cellStyle name="Heading 1 3 2" xfId="2043"/>
    <cellStyle name="Heading 1 3 3" xfId="2044"/>
    <cellStyle name="Heading 1 4" xfId="2045"/>
    <cellStyle name="Heading 1 5" xfId="4182"/>
    <cellStyle name="Heading 2" xfId="331" builtinId="17" customBuiltin="1"/>
    <cellStyle name="Heading 2 2" xfId="186"/>
    <cellStyle name="Heading 2 2 2" xfId="187"/>
    <cellStyle name="Heading 2 2 2 2" xfId="2047"/>
    <cellStyle name="Heading 2 2 2 3" xfId="2048"/>
    <cellStyle name="Heading 2 2 2 4" xfId="4481"/>
    <cellStyle name="Heading 2 2 2 5" xfId="2046"/>
    <cellStyle name="Heading 2 2 3" xfId="2049"/>
    <cellStyle name="Heading 2 2 4" xfId="2050"/>
    <cellStyle name="Heading 2 2 5" xfId="2051"/>
    <cellStyle name="Heading 2 2 6" xfId="2052"/>
    <cellStyle name="Heading 2 2 7" xfId="2053"/>
    <cellStyle name="Heading 2 2 8" xfId="2054"/>
    <cellStyle name="Heading 2 2 9" xfId="4423"/>
    <cellStyle name="Heading 2 3" xfId="188"/>
    <cellStyle name="Heading 2 3 2" xfId="2055"/>
    <cellStyle name="Heading 2 3 3" xfId="2056"/>
    <cellStyle name="Heading 2 3 4" xfId="2057"/>
    <cellStyle name="Heading 2 3 5" xfId="2058"/>
    <cellStyle name="Heading 2 4" xfId="2059"/>
    <cellStyle name="Heading 2 5" xfId="2060"/>
    <cellStyle name="Heading 2 6" xfId="4208"/>
    <cellStyle name="Heading 3" xfId="332" builtinId="18" customBuiltin="1"/>
    <cellStyle name="Heading 3 2" xfId="189"/>
    <cellStyle name="Heading 3 2 2" xfId="190"/>
    <cellStyle name="Heading 3 2 2 2" xfId="2062"/>
    <cellStyle name="Heading 3 2 2 3" xfId="2063"/>
    <cellStyle name="Heading 3 2 2 4" xfId="4482"/>
    <cellStyle name="Heading 3 2 2 5" xfId="2061"/>
    <cellStyle name="Heading 3 2 3" xfId="2064"/>
    <cellStyle name="Heading 3 2 4" xfId="2065"/>
    <cellStyle name="Heading 3 2 5" xfId="2066"/>
    <cellStyle name="Heading 3 2 6" xfId="2067"/>
    <cellStyle name="Heading 3 2 7" xfId="2068"/>
    <cellStyle name="Heading 3 2 8" xfId="2069"/>
    <cellStyle name="Heading 3 2 9" xfId="4424"/>
    <cellStyle name="Heading 3 3" xfId="191"/>
    <cellStyle name="Heading 3 3 2" xfId="2070"/>
    <cellStyle name="Heading 3 3 3" xfId="2071"/>
    <cellStyle name="Heading 3 3 4" xfId="2072"/>
    <cellStyle name="Heading 3 3 5" xfId="2073"/>
    <cellStyle name="Heading 3 4" xfId="2074"/>
    <cellStyle name="Heading 3 5" xfId="2075"/>
    <cellStyle name="Heading 3 6" xfId="4234"/>
    <cellStyle name="Heading 4" xfId="333" builtinId="19" customBuiltin="1"/>
    <cellStyle name="Heading 4 2" xfId="192"/>
    <cellStyle name="Heading 4 2 2" xfId="193"/>
    <cellStyle name="Heading 4 2 2 2" xfId="2077"/>
    <cellStyle name="Heading 4 2 2 3" xfId="2078"/>
    <cellStyle name="Heading 4 2 2 4" xfId="4483"/>
    <cellStyle name="Heading 4 2 2 5" xfId="2076"/>
    <cellStyle name="Heading 4 2 3" xfId="2079"/>
    <cellStyle name="Heading 4 2 4" xfId="2080"/>
    <cellStyle name="Heading 4 2 5" xfId="4425"/>
    <cellStyle name="Heading 4 3" xfId="194"/>
    <cellStyle name="Heading 4 3 2" xfId="2081"/>
    <cellStyle name="Heading 4 3 3" xfId="2082"/>
    <cellStyle name="Heading 4 4" xfId="2083"/>
    <cellStyle name="Heading1" xfId="2084"/>
    <cellStyle name="Heading1 2" xfId="2085"/>
    <cellStyle name="Heading1 2 2" xfId="2086"/>
    <cellStyle name="Heading1 2_20110401_SAL_Rev#1_ PTP 2011" xfId="2087"/>
    <cellStyle name="Heading1 3" xfId="2088"/>
    <cellStyle name="Heading1 4" xfId="2089"/>
    <cellStyle name="Heading1 5" xfId="2090"/>
    <cellStyle name="Heading1 5 2" xfId="2091"/>
    <cellStyle name="Heading2" xfId="2092"/>
    <cellStyle name="Heading2 2" xfId="2093"/>
    <cellStyle name="Heading2 2 2" xfId="2094"/>
    <cellStyle name="Heading2 2_20110401_SAL_Rev#1_ PTP 2011" xfId="2095"/>
    <cellStyle name="Heading2 3" xfId="2096"/>
    <cellStyle name="Heading2 4" xfId="2097"/>
    <cellStyle name="Heading2 5" xfId="2098"/>
    <cellStyle name="Heading2 5 2" xfId="2099"/>
    <cellStyle name="Hipervínculo 2" xfId="2100"/>
    <cellStyle name="Hipervínculo 2 2" xfId="2101"/>
    <cellStyle name="Hipervínculo 2 2 2" xfId="2102"/>
    <cellStyle name="Hipervínculo 2 3" xfId="2103"/>
    <cellStyle name="Hipervínculo 2_20110401_SAL_Rev#1_ PTP 2011" xfId="2104"/>
    <cellStyle name="Hipervínculo 3" xfId="2105"/>
    <cellStyle name="Hipervínculo 3 2" xfId="2106"/>
    <cellStyle name="Hipervínculo 3 3" xfId="2107"/>
    <cellStyle name="Hipervínculo 3 4" xfId="2108"/>
    <cellStyle name="Hipervínculo 4" xfId="2109"/>
    <cellStyle name="Hyperlink" xfId="2110"/>
    <cellStyle name="Hyperlink 2" xfId="2111"/>
    <cellStyle name="Hyperlink 2 2" xfId="2112"/>
    <cellStyle name="Hyperlink 2 2 2" xfId="2113"/>
    <cellStyle name="Hyperlink 2 3" xfId="2114"/>
    <cellStyle name="Hyperlink 2_20110401_SAN_Rev#1_ PTP 2012" xfId="2115"/>
    <cellStyle name="Hyperlink 3" xfId="2116"/>
    <cellStyle name="Hyperlink 3 2" xfId="2117"/>
    <cellStyle name="Hyperlink 4" xfId="2118"/>
    <cellStyle name="Hyperlink 4 2" xfId="2119"/>
    <cellStyle name="Hyperlink 5" xfId="2120"/>
    <cellStyle name="Hyperlink 5 2" xfId="2121"/>
    <cellStyle name="Hyperlink 5 3" xfId="2122"/>
    <cellStyle name="Hyperlink 6" xfId="2123"/>
    <cellStyle name="Hyperlink 7" xfId="4369"/>
    <cellStyle name="Hyperlink_Capex SAN 2010" xfId="2124"/>
    <cellStyle name="Incorrecto" xfId="195"/>
    <cellStyle name="Incorrecto 10" xfId="2126"/>
    <cellStyle name="Incorrecto 11" xfId="2127"/>
    <cellStyle name="Incorrecto 12" xfId="2128"/>
    <cellStyle name="Incorrecto 13" xfId="2129"/>
    <cellStyle name="Incorrecto 14" xfId="2130"/>
    <cellStyle name="Incorrecto 2" xfId="2131"/>
    <cellStyle name="Incorrecto 2 2" xfId="2132"/>
    <cellStyle name="Incorrecto 3" xfId="2133"/>
    <cellStyle name="Incorrecto 3 2" xfId="2134"/>
    <cellStyle name="Incorrecto 4" xfId="2135"/>
    <cellStyle name="Incorrecto 5" xfId="2136"/>
    <cellStyle name="Incorrecto 6" xfId="2137"/>
    <cellStyle name="Incorrecto 7" xfId="2138"/>
    <cellStyle name="Incorrecto 8" xfId="2139"/>
    <cellStyle name="Incorrecto 9" xfId="2140"/>
    <cellStyle name="Incorreto" xfId="2141"/>
    <cellStyle name="Indefinido" xfId="2142"/>
    <cellStyle name="Indefinido 2" xfId="2143"/>
    <cellStyle name="Indefinido 2 2" xfId="2144"/>
    <cellStyle name="Indefinido 2 2 2" xfId="2145"/>
    <cellStyle name="Indefinido 2 3" xfId="2146"/>
    <cellStyle name="Indefinido 2_20110401_SAL_Rev#1_ PTP 2011" xfId="2147"/>
    <cellStyle name="Indefinido 3" xfId="2148"/>
    <cellStyle name="Indefinido 3 2" xfId="2149"/>
    <cellStyle name="Indefinido 4" xfId="2150"/>
    <cellStyle name="Indefinido 4 2" xfId="2151"/>
    <cellStyle name="Indefinido 5" xfId="2152"/>
    <cellStyle name="Indefinido 5 2" xfId="2153"/>
    <cellStyle name="Indefinido 5 3" xfId="2154"/>
    <cellStyle name="Indefinido 6" xfId="2155"/>
    <cellStyle name="Input" xfId="337" builtinId="20" customBuiltin="1"/>
    <cellStyle name="Input 2" xfId="196"/>
    <cellStyle name="Input 2 2" xfId="197"/>
    <cellStyle name="Input 2 2 2" xfId="2157"/>
    <cellStyle name="Input 2 2 3" xfId="2158"/>
    <cellStyle name="Input 2 2 4" xfId="2159"/>
    <cellStyle name="Input 2 2 5" xfId="2160"/>
    <cellStyle name="Input 2 2 6" xfId="4484"/>
    <cellStyle name="Input 2 2 7" xfId="2156"/>
    <cellStyle name="Input 2 3" xfId="2161"/>
    <cellStyle name="Input 2 4" xfId="2162"/>
    <cellStyle name="Input 2 5" xfId="2163"/>
    <cellStyle name="Input 2 6" xfId="2164"/>
    <cellStyle name="Input 2 7" xfId="2165"/>
    <cellStyle name="Input 2 8" xfId="2166"/>
    <cellStyle name="Input 2 9" xfId="4429"/>
    <cellStyle name="Input 3" xfId="198"/>
    <cellStyle name="Input 3 2" xfId="2167"/>
    <cellStyle name="Input 3 3" xfId="2168"/>
    <cellStyle name="Input 3 4" xfId="2169"/>
    <cellStyle name="Input 3 5" xfId="2170"/>
    <cellStyle name="Input 4" xfId="2171"/>
    <cellStyle name="Input 5" xfId="2172"/>
    <cellStyle name="Linked Cell" xfId="340" builtinId="24" customBuiltin="1"/>
    <cellStyle name="Linked Cell 2" xfId="199"/>
    <cellStyle name="Linked Cell 2 2" xfId="200"/>
    <cellStyle name="Linked Cell 2 2 2" xfId="2174"/>
    <cellStyle name="Linked Cell 2 2 3" xfId="2175"/>
    <cellStyle name="Linked Cell 2 2 4" xfId="2176"/>
    <cellStyle name="Linked Cell 2 2 5" xfId="2177"/>
    <cellStyle name="Linked Cell 2 2 6" xfId="4485"/>
    <cellStyle name="Linked Cell 2 2 7" xfId="2173"/>
    <cellStyle name="Linked Cell 2 3" xfId="2178"/>
    <cellStyle name="Linked Cell 2 4" xfId="2179"/>
    <cellStyle name="Linked Cell 2 5" xfId="2180"/>
    <cellStyle name="Linked Cell 2 6" xfId="2181"/>
    <cellStyle name="Linked Cell 2 7" xfId="2182"/>
    <cellStyle name="Linked Cell 2 8" xfId="2183"/>
    <cellStyle name="Linked Cell 2 9" xfId="4432"/>
    <cellStyle name="Linked Cell 3" xfId="201"/>
    <cellStyle name="Linked Cell 3 2" xfId="2184"/>
    <cellStyle name="Linked Cell 3 3" xfId="2185"/>
    <cellStyle name="Linked Cell 3 4" xfId="2186"/>
    <cellStyle name="Linked Cell 3 5" xfId="2187"/>
    <cellStyle name="Linked Cell 4" xfId="2188"/>
    <cellStyle name="Linked Cell 5" xfId="2189"/>
    <cellStyle name="MARTA" xfId="2190"/>
    <cellStyle name="MARTA 2" xfId="2191"/>
    <cellStyle name="Millares [0] 2" xfId="2192"/>
    <cellStyle name="Millares [0] 3" xfId="2193"/>
    <cellStyle name="Millares [0] 4" xfId="2194"/>
    <cellStyle name="Millares [0] 5" xfId="2195"/>
    <cellStyle name="Millares [0] 6" xfId="2196"/>
    <cellStyle name="Millares 10" xfId="2197"/>
    <cellStyle name="Millares 10 2" xfId="2198"/>
    <cellStyle name="Millares 10 2 2" xfId="2199"/>
    <cellStyle name="Millares 10 3" xfId="2200"/>
    <cellStyle name="Millares 10 4" xfId="2201"/>
    <cellStyle name="Millares 10 5" xfId="2202"/>
    <cellStyle name="Millares 10 6" xfId="2203"/>
    <cellStyle name="Millares 10_1.400 Inversiones Oper SAN" xfId="2204"/>
    <cellStyle name="Millares 11" xfId="2205"/>
    <cellStyle name="Millares 11 2" xfId="2206"/>
    <cellStyle name="Millares 11 2 2" xfId="2207"/>
    <cellStyle name="Millares 11 3" xfId="2208"/>
    <cellStyle name="Millares 11 4" xfId="2209"/>
    <cellStyle name="Millares 11 5" xfId="2210"/>
    <cellStyle name="Millares 12" xfId="2211"/>
    <cellStyle name="Millares 12 2" xfId="2212"/>
    <cellStyle name="Millares 12 3" xfId="2213"/>
    <cellStyle name="Millares 12 4" xfId="2214"/>
    <cellStyle name="Millares 13" xfId="2215"/>
    <cellStyle name="Millares 13 2" xfId="2216"/>
    <cellStyle name="Millares 14" xfId="2217"/>
    <cellStyle name="Millares 14 2" xfId="2218"/>
    <cellStyle name="Millares 15" xfId="2219"/>
    <cellStyle name="Millares 15 2" xfId="2220"/>
    <cellStyle name="Millares 15 3" xfId="2221"/>
    <cellStyle name="Millares 16" xfId="2222"/>
    <cellStyle name="Millares 16 2" xfId="2223"/>
    <cellStyle name="Millares 16 3" xfId="2224"/>
    <cellStyle name="Millares 17" xfId="2225"/>
    <cellStyle name="Millares 17 2" xfId="2226"/>
    <cellStyle name="Millares 17 3" xfId="2227"/>
    <cellStyle name="Millares 18" xfId="2228"/>
    <cellStyle name="Millares 18 2" xfId="2229"/>
    <cellStyle name="Millares 18 3" xfId="2230"/>
    <cellStyle name="Millares 19" xfId="2231"/>
    <cellStyle name="Millares 2" xfId="2232"/>
    <cellStyle name="Millares 2 10" xfId="2233"/>
    <cellStyle name="Millares 2 11" xfId="2234"/>
    <cellStyle name="Millares 2 12" xfId="2235"/>
    <cellStyle name="Millares 2 13" xfId="2236"/>
    <cellStyle name="Millares 2 14" xfId="2237"/>
    <cellStyle name="Millares 2 15" xfId="2238"/>
    <cellStyle name="Millares 2 16" xfId="2239"/>
    <cellStyle name="Millares 2 17" xfId="2240"/>
    <cellStyle name="Millares 2 18" xfId="2241"/>
    <cellStyle name="Millares 2 19" xfId="2242"/>
    <cellStyle name="Millares 2 2" xfId="2243"/>
    <cellStyle name="Millares 2 2 2" xfId="2244"/>
    <cellStyle name="Millares 2 2 3" xfId="2245"/>
    <cellStyle name="Millares 2 2 4" xfId="2246"/>
    <cellStyle name="Millares 2 2_1.400 Inversiones Oper ITAÚ" xfId="2247"/>
    <cellStyle name="Millares 2 3" xfId="2248"/>
    <cellStyle name="Millares 2 3 2" xfId="2249"/>
    <cellStyle name="Millares 2 3 3" xfId="2250"/>
    <cellStyle name="Millares 2 3 4" xfId="2251"/>
    <cellStyle name="Millares 2 3 5" xfId="2252"/>
    <cellStyle name="Millares 2 3 6" xfId="2253"/>
    <cellStyle name="Millares 2 4" xfId="2254"/>
    <cellStyle name="Millares 2 4 2" xfId="2255"/>
    <cellStyle name="Millares 2 4 2 2" xfId="2256"/>
    <cellStyle name="Millares 2 4 3" xfId="2257"/>
    <cellStyle name="Millares 2 4 4" xfId="2258"/>
    <cellStyle name="Millares 2 5" xfId="2259"/>
    <cellStyle name="Millares 2 5 2" xfId="2260"/>
    <cellStyle name="Millares 2 5 3" xfId="2261"/>
    <cellStyle name="Millares 2 6" xfId="2262"/>
    <cellStyle name="Millares 2 6 2" xfId="2263"/>
    <cellStyle name="Millares 2 7" xfId="2264"/>
    <cellStyle name="Millares 2 7 2" xfId="2265"/>
    <cellStyle name="Millares 2 8" xfId="2266"/>
    <cellStyle name="Millares 2 8 2" xfId="2267"/>
    <cellStyle name="Millares 2 9" xfId="2268"/>
    <cellStyle name="Millares 2_20130710_PRESUPUESTO RH 2013_RH" xfId="2269"/>
    <cellStyle name="Millares 20" xfId="2270"/>
    <cellStyle name="Millares 20 2" xfId="2271"/>
    <cellStyle name="Millares 20 3" xfId="2272"/>
    <cellStyle name="Millares 21" xfId="2273"/>
    <cellStyle name="Millares 22" xfId="2274"/>
    <cellStyle name="Millares 22 2" xfId="2275"/>
    <cellStyle name="Millares 23" xfId="2276"/>
    <cellStyle name="Millares 24" xfId="2277"/>
    <cellStyle name="Millares 25" xfId="2278"/>
    <cellStyle name="Millares 26" xfId="2279"/>
    <cellStyle name="Millares 27" xfId="2280"/>
    <cellStyle name="Millares 28" xfId="2281"/>
    <cellStyle name="Millares 29" xfId="2282"/>
    <cellStyle name="Millares 3" xfId="2283"/>
    <cellStyle name="Millares 3 10" xfId="2284"/>
    <cellStyle name="Millares 3 10 2" xfId="2285"/>
    <cellStyle name="Millares 3 11" xfId="2286"/>
    <cellStyle name="Millares 3 11 2" xfId="2287"/>
    <cellStyle name="Millares 3 12" xfId="2288"/>
    <cellStyle name="Millares 3 12 2" xfId="2289"/>
    <cellStyle name="Millares 3 13" xfId="2290"/>
    <cellStyle name="Millares 3 14" xfId="2291"/>
    <cellStyle name="Millares 3 15" xfId="2292"/>
    <cellStyle name="Millares 3 16" xfId="2293"/>
    <cellStyle name="Millares 3 17" xfId="2294"/>
    <cellStyle name="Millares 3 18" xfId="2295"/>
    <cellStyle name="Millares 3 2" xfId="2296"/>
    <cellStyle name="Millares 3 2 2" xfId="2297"/>
    <cellStyle name="Millares 3 2 2 2" xfId="2298"/>
    <cellStyle name="Millares 3 2 3" xfId="2299"/>
    <cellStyle name="Millares 3 2 4" xfId="2300"/>
    <cellStyle name="Millares 3 2 5" xfId="2301"/>
    <cellStyle name="Millares 3 2_1.400 Inversiones Oper ITAÚ" xfId="2302"/>
    <cellStyle name="Millares 3 3" xfId="2303"/>
    <cellStyle name="Millares 3 3 2" xfId="2304"/>
    <cellStyle name="Millares 3 3 3" xfId="2305"/>
    <cellStyle name="Millares 3 4" xfId="2306"/>
    <cellStyle name="Millares 3 4 2" xfId="2307"/>
    <cellStyle name="Millares 3 4 3" xfId="2308"/>
    <cellStyle name="Millares 3 5" xfId="2309"/>
    <cellStyle name="Millares 3 5 2" xfId="2310"/>
    <cellStyle name="Millares 3 5 3" xfId="2311"/>
    <cellStyle name="Millares 3 6" xfId="2312"/>
    <cellStyle name="Millares 3 6 2" xfId="2313"/>
    <cellStyle name="Millares 3 7" xfId="2314"/>
    <cellStyle name="Millares 3 7 2" xfId="2315"/>
    <cellStyle name="Millares 3 8" xfId="2316"/>
    <cellStyle name="Millares 3 8 2" xfId="2317"/>
    <cellStyle name="Millares 3 9" xfId="2318"/>
    <cellStyle name="Millares 3 9 2" xfId="2319"/>
    <cellStyle name="Millares 3_20130710_PRESUPUESTO RH 2013_RH" xfId="2320"/>
    <cellStyle name="Millares 30" xfId="2321"/>
    <cellStyle name="Millares 31" xfId="2322"/>
    <cellStyle name="Millares 31 2" xfId="2323"/>
    <cellStyle name="Millares 31 3" xfId="2324"/>
    <cellStyle name="Millares 32" xfId="2325"/>
    <cellStyle name="Millares 33" xfId="2326"/>
    <cellStyle name="Millares 34" xfId="2327"/>
    <cellStyle name="Millares 35" xfId="2328"/>
    <cellStyle name="Millares 36" xfId="2329"/>
    <cellStyle name="Millares 37" xfId="2330"/>
    <cellStyle name="Millares 38" xfId="2331"/>
    <cellStyle name="Millares 39" xfId="2332"/>
    <cellStyle name="Millares 4" xfId="2333"/>
    <cellStyle name="Millares 4 2" xfId="2334"/>
    <cellStyle name="Millares 4 2 2" xfId="2335"/>
    <cellStyle name="Millares 4 3" xfId="2336"/>
    <cellStyle name="Millares 4 3 2" xfId="2337"/>
    <cellStyle name="Millares 4 4" xfId="2338"/>
    <cellStyle name="Millares 4 4 2" xfId="2339"/>
    <cellStyle name="Millares 4 5" xfId="2340"/>
    <cellStyle name="Millares 4 6" xfId="2341"/>
    <cellStyle name="Millares 4 7" xfId="2342"/>
    <cellStyle name="Millares 4_1.400 Inversiones Oper ITAÚ" xfId="2343"/>
    <cellStyle name="Millares 40" xfId="2344"/>
    <cellStyle name="Millares 41" xfId="2345"/>
    <cellStyle name="Millares 42" xfId="2346"/>
    <cellStyle name="Millares 43" xfId="2347"/>
    <cellStyle name="Millares 44" xfId="2348"/>
    <cellStyle name="Millares 45" xfId="2349"/>
    <cellStyle name="Millares 46" xfId="2350"/>
    <cellStyle name="Millares 47" xfId="2351"/>
    <cellStyle name="Millares 48" xfId="2352"/>
    <cellStyle name="Millares 49" xfId="2353"/>
    <cellStyle name="Millares 5" xfId="2354"/>
    <cellStyle name="Millares 5 2" xfId="2355"/>
    <cellStyle name="Millares 5 3" xfId="2356"/>
    <cellStyle name="Millares 5_1.400 Inversiones Oper ITAÚ" xfId="2357"/>
    <cellStyle name="Millares 50" xfId="2358"/>
    <cellStyle name="Millares 51" xfId="2359"/>
    <cellStyle name="Millares 52" xfId="2360"/>
    <cellStyle name="Millares 53" xfId="2361"/>
    <cellStyle name="Millares 6" xfId="2362"/>
    <cellStyle name="Millares 6 2" xfId="2363"/>
    <cellStyle name="Millares 6 2 2" xfId="2364"/>
    <cellStyle name="Millares 7" xfId="2365"/>
    <cellStyle name="Millares 7 2" xfId="2366"/>
    <cellStyle name="Millares 7 2 2" xfId="2367"/>
    <cellStyle name="Millares 8" xfId="2368"/>
    <cellStyle name="Millares 8 2" xfId="2369"/>
    <cellStyle name="Millares 9" xfId="2370"/>
    <cellStyle name="Millares 9 2" xfId="2371"/>
    <cellStyle name="Millares 9 2 2" xfId="2372"/>
    <cellStyle name="Millares 9 3" xfId="2373"/>
    <cellStyle name="Millares 9 4" xfId="2374"/>
    <cellStyle name="Millares 9 5" xfId="2375"/>
    <cellStyle name="Millares_CRCSE CAMPO 09.09" xfId="202"/>
    <cellStyle name="Milliers [0]_Classeur1" xfId="2376"/>
    <cellStyle name="Milliers_Classeur1" xfId="2377"/>
    <cellStyle name="Moeda [0]_ANEXOC6" xfId="2378"/>
    <cellStyle name="Moeda_ANEXOC6" xfId="2379"/>
    <cellStyle name="Moneda 2" xfId="2380"/>
    <cellStyle name="Monétaire [0]_Classeur1" xfId="2381"/>
    <cellStyle name="Monétaire_Classeur1" xfId="2382"/>
    <cellStyle name="Monetario" xfId="2383"/>
    <cellStyle name="Monetario 2" xfId="2384"/>
    <cellStyle name="Monetario 2 2" xfId="2385"/>
    <cellStyle name="Monetario 2_20110401_SAL_Rev#1_ PTP 2011" xfId="2386"/>
    <cellStyle name="Monetario 3" xfId="2387"/>
    <cellStyle name="Monetario_20110401_SAL_Rev#1_ PTP 2011" xfId="2388"/>
    <cellStyle name="Neutra" xfId="2389"/>
    <cellStyle name="Neutral" xfId="336" builtinId="28" customBuiltin="1"/>
    <cellStyle name="Neutral 10" xfId="2390"/>
    <cellStyle name="Neutral 11" xfId="2391"/>
    <cellStyle name="Neutral 12" xfId="2392"/>
    <cellStyle name="Neutral 13" xfId="2393"/>
    <cellStyle name="Neutral 14" xfId="2394"/>
    <cellStyle name="Neutral 2" xfId="203"/>
    <cellStyle name="Neutral 2 2" xfId="204"/>
    <cellStyle name="Neutral 2 2 2" xfId="2396"/>
    <cellStyle name="Neutral 2 2 3" xfId="2397"/>
    <cellStyle name="Neutral 2 2 4" xfId="2398"/>
    <cellStyle name="Neutral 2 2 5" xfId="2399"/>
    <cellStyle name="Neutral 2 2 6" xfId="4486"/>
    <cellStyle name="Neutral 2 2 7" xfId="2395"/>
    <cellStyle name="Neutral 2 3" xfId="2400"/>
    <cellStyle name="Neutral 2 4" xfId="2401"/>
    <cellStyle name="Neutral 2 5" xfId="2402"/>
    <cellStyle name="Neutral 2 6" xfId="2403"/>
    <cellStyle name="Neutral 2 7" xfId="4428"/>
    <cellStyle name="Neutral 3" xfId="205"/>
    <cellStyle name="Neutral 3 2" xfId="2404"/>
    <cellStyle name="Neutral 3 3" xfId="2405"/>
    <cellStyle name="Neutral 3 4" xfId="2406"/>
    <cellStyle name="Neutral 3 5" xfId="2407"/>
    <cellStyle name="Neutral 3 6" xfId="2408"/>
    <cellStyle name="Neutral 3 7" xfId="2409"/>
    <cellStyle name="Neutral 4" xfId="2410"/>
    <cellStyle name="Neutral 4 2" xfId="2411"/>
    <cellStyle name="Neutral 5" xfId="2412"/>
    <cellStyle name="Neutral 5 2" xfId="2413"/>
    <cellStyle name="Neutral 6" xfId="2414"/>
    <cellStyle name="Neutral 7" xfId="2415"/>
    <cellStyle name="Neutral 8" xfId="2416"/>
    <cellStyle name="Neutral 9" xfId="2417"/>
    <cellStyle name="No-definido" xfId="2418"/>
    <cellStyle name="No-definido 2" xfId="2419"/>
    <cellStyle name="No-definido 2 2" xfId="2420"/>
    <cellStyle name="No-definido 2 2 2" xfId="2421"/>
    <cellStyle name="No-definido 2 3" xfId="2422"/>
    <cellStyle name="No-definido 2_20110401_SAL_Rev#1_ PTP 2011" xfId="2423"/>
    <cellStyle name="No-definido 3" xfId="2424"/>
    <cellStyle name="No-definido 3 2" xfId="2425"/>
    <cellStyle name="No-definido 4" xfId="2426"/>
    <cellStyle name="No-definido_20110401_SAL_Rev#1_ PTP 2011" xfId="2427"/>
    <cellStyle name="Normal" xfId="0" builtinId="0"/>
    <cellStyle name="Normal - Style1" xfId="206"/>
    <cellStyle name="Normal - Style1 2" xfId="2428"/>
    <cellStyle name="Normal - Style1 2 2" xfId="2429"/>
    <cellStyle name="Normal - Style1 3" xfId="2430"/>
    <cellStyle name="Normal - Style1 3 2" xfId="2431"/>
    <cellStyle name="Normal - Style1 4" xfId="2432"/>
    <cellStyle name="Normal - Style2" xfId="207"/>
    <cellStyle name="Normal - Style2 2" xfId="2433"/>
    <cellStyle name="Normal - Style2 3" xfId="2434"/>
    <cellStyle name="Normal 10" xfId="208"/>
    <cellStyle name="Normal 10 10" xfId="2436"/>
    <cellStyle name="Normal 10 11" xfId="2437"/>
    <cellStyle name="Normal 10 12" xfId="2438"/>
    <cellStyle name="Normal 10 13" xfId="2439"/>
    <cellStyle name="Normal 10 14" xfId="2440"/>
    <cellStyle name="Normal 10 15" xfId="2441"/>
    <cellStyle name="Normal 10 16" xfId="2442"/>
    <cellStyle name="Normal 10 17" xfId="4402"/>
    <cellStyle name="Normal 10 18" xfId="2435"/>
    <cellStyle name="Normal 10 2" xfId="2443"/>
    <cellStyle name="Normal 10 2 2" xfId="2444"/>
    <cellStyle name="Normal 10 2 2 2" xfId="2445"/>
    <cellStyle name="Normal 10 2 3" xfId="2446"/>
    <cellStyle name="Normal 10 2 4" xfId="2447"/>
    <cellStyle name="Normal 10 3" xfId="2448"/>
    <cellStyle name="Normal 10 3 2" xfId="2449"/>
    <cellStyle name="Normal 10 3 3" xfId="2450"/>
    <cellStyle name="Normal 10 4" xfId="2451"/>
    <cellStyle name="Normal 10 4 2" xfId="2452"/>
    <cellStyle name="Normal 10 4 3" xfId="2453"/>
    <cellStyle name="Normal 10 5" xfId="2454"/>
    <cellStyle name="Normal 10 5 2" xfId="2455"/>
    <cellStyle name="Normal 10 6" xfId="2456"/>
    <cellStyle name="Normal 10 6 2" xfId="2457"/>
    <cellStyle name="Normal 10 7" xfId="2458"/>
    <cellStyle name="Normal 10 8" xfId="2459"/>
    <cellStyle name="Normal 10 9" xfId="2460"/>
    <cellStyle name="Normal 10_20110401_SAN_Rev#1_ PTP 2012" xfId="2461"/>
    <cellStyle name="Normal 100" xfId="2462"/>
    <cellStyle name="Normal 100 2" xfId="2463"/>
    <cellStyle name="Normal 101" xfId="2464"/>
    <cellStyle name="Normal 101 2" xfId="2465"/>
    <cellStyle name="Normal 102" xfId="2466"/>
    <cellStyle name="Normal 102 2" xfId="2467"/>
    <cellStyle name="Normal 103" xfId="2468"/>
    <cellStyle name="Normal 103 2" xfId="2469"/>
    <cellStyle name="Normal 104" xfId="2470"/>
    <cellStyle name="Normal 104 2" xfId="2471"/>
    <cellStyle name="Normal 105" xfId="2472"/>
    <cellStyle name="Normal 106" xfId="2473"/>
    <cellStyle name="Normal 107" xfId="2474"/>
    <cellStyle name="Normal 108" xfId="2475"/>
    <cellStyle name="Normal 109" xfId="2476"/>
    <cellStyle name="Normal 11" xfId="209"/>
    <cellStyle name="Normal 11 10" xfId="2478"/>
    <cellStyle name="Normal 11 11" xfId="2479"/>
    <cellStyle name="Normal 11 12" xfId="2480"/>
    <cellStyle name="Normal 11 13" xfId="2481"/>
    <cellStyle name="Normal 11 14" xfId="2482"/>
    <cellStyle name="Normal 11 15" xfId="2483"/>
    <cellStyle name="Normal 11 16" xfId="2484"/>
    <cellStyle name="Normal 11 17" xfId="4407"/>
    <cellStyle name="Normal 11 18" xfId="2477"/>
    <cellStyle name="Normal 11 2" xfId="2485"/>
    <cellStyle name="Normal 11 2 2" xfId="2486"/>
    <cellStyle name="Normal 11 2 3" xfId="2487"/>
    <cellStyle name="Normal 11 2 4" xfId="2488"/>
    <cellStyle name="Normal 11 3" xfId="2489"/>
    <cellStyle name="Normal 11 3 2" xfId="2490"/>
    <cellStyle name="Normal 11 4" xfId="2491"/>
    <cellStyle name="Normal 11 4 2" xfId="2492"/>
    <cellStyle name="Normal 11 5" xfId="2493"/>
    <cellStyle name="Normal 11 5 2" xfId="2494"/>
    <cellStyle name="Normal 11 6" xfId="2495"/>
    <cellStyle name="Normal 11 7" xfId="2496"/>
    <cellStyle name="Normal 11 8" xfId="2497"/>
    <cellStyle name="Normal 11 9" xfId="2498"/>
    <cellStyle name="Normal 11_20110401_SAN_Rev#1_ PTP 2012" xfId="2499"/>
    <cellStyle name="Normal 110" xfId="2500"/>
    <cellStyle name="Normal 111" xfId="2501"/>
    <cellStyle name="Normal 112" xfId="2502"/>
    <cellStyle name="Normal 112 2" xfId="2503"/>
    <cellStyle name="Normal 113" xfId="2504"/>
    <cellStyle name="Normal 114" xfId="2505"/>
    <cellStyle name="Normal 115" xfId="2506"/>
    <cellStyle name="Normal 116" xfId="2507"/>
    <cellStyle name="Normal 117" xfId="2508"/>
    <cellStyle name="Normal 118" xfId="2509"/>
    <cellStyle name="Normal 119" xfId="2510"/>
    <cellStyle name="Normal 12" xfId="210"/>
    <cellStyle name="Normal 12 10" xfId="2512"/>
    <cellStyle name="Normal 12 11" xfId="2513"/>
    <cellStyle name="Normal 12 12" xfId="2514"/>
    <cellStyle name="Normal 12 13" xfId="2515"/>
    <cellStyle name="Normal 12 14" xfId="2516"/>
    <cellStyle name="Normal 12 15" xfId="2517"/>
    <cellStyle name="Normal 12 16" xfId="2518"/>
    <cellStyle name="Normal 12 17" xfId="4408"/>
    <cellStyle name="Normal 12 18" xfId="2511"/>
    <cellStyle name="Normal 12 2" xfId="2519"/>
    <cellStyle name="Normal 12 2 2" xfId="2520"/>
    <cellStyle name="Normal 12 2 3" xfId="2521"/>
    <cellStyle name="Normal 12 2 4" xfId="2522"/>
    <cellStyle name="Normal 12 3" xfId="2523"/>
    <cellStyle name="Normal 12 3 2" xfId="2524"/>
    <cellStyle name="Normal 12 4" xfId="2525"/>
    <cellStyle name="Normal 12 4 2" xfId="2526"/>
    <cellStyle name="Normal 12 5" xfId="2527"/>
    <cellStyle name="Normal 12 5 2" xfId="2528"/>
    <cellStyle name="Normal 12 6" xfId="2529"/>
    <cellStyle name="Normal 12 7" xfId="2530"/>
    <cellStyle name="Normal 12 8" xfId="2531"/>
    <cellStyle name="Normal 12 9" xfId="2532"/>
    <cellStyle name="Normal 12_20110401_SAN_Rev#1_ PTP 2012" xfId="2533"/>
    <cellStyle name="Normal 120" xfId="2534"/>
    <cellStyle name="Normal 121" xfId="2535"/>
    <cellStyle name="Normal 122" xfId="2536"/>
    <cellStyle name="Normal 123" xfId="2537"/>
    <cellStyle name="Normal 124" xfId="2538"/>
    <cellStyle name="Normal 125" xfId="2539"/>
    <cellStyle name="Normal 126" xfId="2540"/>
    <cellStyle name="Normal 127" xfId="2541"/>
    <cellStyle name="Normal 128" xfId="2542"/>
    <cellStyle name="Normal 129" xfId="2543"/>
    <cellStyle name="Normal 13" xfId="211"/>
    <cellStyle name="Normal 13 10" xfId="2545"/>
    <cellStyle name="Normal 13 11" xfId="2546"/>
    <cellStyle name="Normal 13 12" xfId="2547"/>
    <cellStyle name="Normal 13 13" xfId="2548"/>
    <cellStyle name="Normal 13 14" xfId="2549"/>
    <cellStyle name="Normal 13 15" xfId="2550"/>
    <cellStyle name="Normal 13 16" xfId="2551"/>
    <cellStyle name="Normal 13 17" xfId="4415"/>
    <cellStyle name="Normal 13 18" xfId="2544"/>
    <cellStyle name="Normal 13 2" xfId="2552"/>
    <cellStyle name="Normal 13 2 2" xfId="2553"/>
    <cellStyle name="Normal 13 2 3" xfId="2554"/>
    <cellStyle name="Normal 13 2 4" xfId="2555"/>
    <cellStyle name="Normal 13 3" xfId="2556"/>
    <cellStyle name="Normal 13 3 2" xfId="2557"/>
    <cellStyle name="Normal 13 4" xfId="2558"/>
    <cellStyle name="Normal 13 4 2" xfId="2559"/>
    <cellStyle name="Normal 13 5" xfId="2560"/>
    <cellStyle name="Normal 13 5 2" xfId="2561"/>
    <cellStyle name="Normal 13 6" xfId="2562"/>
    <cellStyle name="Normal 13 7" xfId="2563"/>
    <cellStyle name="Normal 13 8" xfId="2564"/>
    <cellStyle name="Normal 13 9" xfId="2565"/>
    <cellStyle name="Normal 13_20110401_SAN_Rev#1_ PTP 2012" xfId="2566"/>
    <cellStyle name="Normal 130" xfId="2567"/>
    <cellStyle name="Normal 131" xfId="2568"/>
    <cellStyle name="Normal 132" xfId="2569"/>
    <cellStyle name="Normal 133" xfId="2570"/>
    <cellStyle name="Normal 134" xfId="2571"/>
    <cellStyle name="Normal 135" xfId="2572"/>
    <cellStyle name="Normal 136" xfId="2573"/>
    <cellStyle name="Normal 137" xfId="2574"/>
    <cellStyle name="Normal 138" xfId="2575"/>
    <cellStyle name="Normal 139" xfId="2576"/>
    <cellStyle name="Normal 14" xfId="212"/>
    <cellStyle name="Normal 14 10" xfId="2578"/>
    <cellStyle name="Normal 14 11" xfId="2579"/>
    <cellStyle name="Normal 14 12" xfId="2580"/>
    <cellStyle name="Normal 14 13" xfId="2581"/>
    <cellStyle name="Normal 14 14" xfId="2582"/>
    <cellStyle name="Normal 14 15" xfId="2583"/>
    <cellStyle name="Normal 14 16" xfId="2584"/>
    <cellStyle name="Normal 14 17" xfId="4416"/>
    <cellStyle name="Normal 14 18" xfId="2577"/>
    <cellStyle name="Normal 14 2" xfId="2585"/>
    <cellStyle name="Normal 14 2 2" xfId="2586"/>
    <cellStyle name="Normal 14 2 3" xfId="2587"/>
    <cellStyle name="Normal 14 2 4" xfId="2588"/>
    <cellStyle name="Normal 14 3" xfId="2589"/>
    <cellStyle name="Normal 14 3 2" xfId="2590"/>
    <cellStyle name="Normal 14 4" xfId="2591"/>
    <cellStyle name="Normal 14 4 2" xfId="2592"/>
    <cellStyle name="Normal 14 5" xfId="2593"/>
    <cellStyle name="Normal 14 5 2" xfId="2594"/>
    <cellStyle name="Normal 14 6" xfId="2595"/>
    <cellStyle name="Normal 14 7" xfId="2596"/>
    <cellStyle name="Normal 14 8" xfId="2597"/>
    <cellStyle name="Normal 14 9" xfId="2598"/>
    <cellStyle name="Normal 14_20110401_SAN_Rev#1_ PTP 2012" xfId="2599"/>
    <cellStyle name="Normal 140" xfId="2600"/>
    <cellStyle name="Normal 141" xfId="2601"/>
    <cellStyle name="Normal 142" xfId="2602"/>
    <cellStyle name="Normal 143" xfId="2603"/>
    <cellStyle name="Normal 144" xfId="2604"/>
    <cellStyle name="Normal 145" xfId="2605"/>
    <cellStyle name="Normal 146" xfId="2606"/>
    <cellStyle name="Normal 147" xfId="2607"/>
    <cellStyle name="Normal 148" xfId="2608"/>
    <cellStyle name="Normal 149" xfId="2609"/>
    <cellStyle name="Normal 15" xfId="213"/>
    <cellStyle name="Normal 15 10" xfId="2611"/>
    <cellStyle name="Normal 15 11" xfId="2612"/>
    <cellStyle name="Normal 15 12" xfId="2613"/>
    <cellStyle name="Normal 15 13" xfId="2614"/>
    <cellStyle name="Normal 15 14" xfId="2615"/>
    <cellStyle name="Normal 15 15" xfId="2616"/>
    <cellStyle name="Normal 15 16" xfId="2617"/>
    <cellStyle name="Normal 15 17" xfId="4417"/>
    <cellStyle name="Normal 15 18" xfId="2610"/>
    <cellStyle name="Normal 15 2" xfId="2618"/>
    <cellStyle name="Normal 15 2 2" xfId="2619"/>
    <cellStyle name="Normal 15 2 3" xfId="2620"/>
    <cellStyle name="Normal 15 2 4" xfId="2621"/>
    <cellStyle name="Normal 15 3" xfId="2622"/>
    <cellStyle name="Normal 15 3 2" xfId="2623"/>
    <cellStyle name="Normal 15 4" xfId="2624"/>
    <cellStyle name="Normal 15 4 2" xfId="2625"/>
    <cellStyle name="Normal 15 5" xfId="2626"/>
    <cellStyle name="Normal 15 5 2" xfId="2627"/>
    <cellStyle name="Normal 15 6" xfId="2628"/>
    <cellStyle name="Normal 15 7" xfId="2629"/>
    <cellStyle name="Normal 15 8" xfId="2630"/>
    <cellStyle name="Normal 15 9" xfId="2631"/>
    <cellStyle name="Normal 15_20110401_SAN_Rev#1_ PTP 2012" xfId="2632"/>
    <cellStyle name="Normal 150" xfId="2633"/>
    <cellStyle name="Normal 151" xfId="2634"/>
    <cellStyle name="Normal 152" xfId="2635"/>
    <cellStyle name="Normal 153" xfId="2636"/>
    <cellStyle name="Normal 154" xfId="2637"/>
    <cellStyle name="Normal 155" xfId="2638"/>
    <cellStyle name="Normal 156" xfId="2639"/>
    <cellStyle name="Normal 157" xfId="2640"/>
    <cellStyle name="Normal 158" xfId="2641"/>
    <cellStyle name="Normal 159" xfId="2642"/>
    <cellStyle name="Normal 16" xfId="214"/>
    <cellStyle name="Normal 16 10" xfId="2644"/>
    <cellStyle name="Normal 16 11" xfId="2645"/>
    <cellStyle name="Normal 16 12" xfId="2646"/>
    <cellStyle name="Normal 16 13" xfId="2647"/>
    <cellStyle name="Normal 16 14" xfId="2648"/>
    <cellStyle name="Normal 16 15" xfId="2649"/>
    <cellStyle name="Normal 16 16" xfId="2650"/>
    <cellStyle name="Normal 16 17" xfId="4419"/>
    <cellStyle name="Normal 16 18" xfId="2643"/>
    <cellStyle name="Normal 16 2" xfId="2651"/>
    <cellStyle name="Normal 16 2 2" xfId="2652"/>
    <cellStyle name="Normal 16 2 3" xfId="2653"/>
    <cellStyle name="Normal 16 2 4" xfId="2654"/>
    <cellStyle name="Normal 16 3" xfId="2655"/>
    <cellStyle name="Normal 16 3 2" xfId="2656"/>
    <cellStyle name="Normal 16 4" xfId="2657"/>
    <cellStyle name="Normal 16 4 2" xfId="2658"/>
    <cellStyle name="Normal 16 5" xfId="2659"/>
    <cellStyle name="Normal 16 5 2" xfId="2660"/>
    <cellStyle name="Normal 16 6" xfId="2661"/>
    <cellStyle name="Normal 16 7" xfId="2662"/>
    <cellStyle name="Normal 16 8" xfId="2663"/>
    <cellStyle name="Normal 16 9" xfId="2664"/>
    <cellStyle name="Normal 16_20110401_SAN_Rev#1_ PTP 2012" xfId="2665"/>
    <cellStyle name="Normal 160" xfId="2666"/>
    <cellStyle name="Normal 161" xfId="2667"/>
    <cellStyle name="Normal 162" xfId="2668"/>
    <cellStyle name="Normal 163" xfId="2669"/>
    <cellStyle name="Normal 164" xfId="2670"/>
    <cellStyle name="Normal 165" xfId="2671"/>
    <cellStyle name="Normal 166" xfId="2672"/>
    <cellStyle name="Normal 166 2" xfId="4395"/>
    <cellStyle name="Normal 167" xfId="2673"/>
    <cellStyle name="Normal 167 2" xfId="4492"/>
    <cellStyle name="Normal 168" xfId="2674"/>
    <cellStyle name="Normal 169" xfId="2675"/>
    <cellStyle name="Normal 17" xfId="215"/>
    <cellStyle name="Normal 17 2" xfId="2677"/>
    <cellStyle name="Normal 17 2 2" xfId="2678"/>
    <cellStyle name="Normal 17 2 3" xfId="2679"/>
    <cellStyle name="Normal 17 3" xfId="2680"/>
    <cellStyle name="Normal 17 4" xfId="2681"/>
    <cellStyle name="Normal 17 5" xfId="2682"/>
    <cellStyle name="Normal 17 6" xfId="4418"/>
    <cellStyle name="Normal 17 7" xfId="2676"/>
    <cellStyle name="Normal 17_20110401_SAN_Rev#1_ PTP 2012" xfId="2683"/>
    <cellStyle name="Normal 170" xfId="2684"/>
    <cellStyle name="Normal 171" xfId="2685"/>
    <cellStyle name="Normal 172" xfId="2686"/>
    <cellStyle name="Normal 173" xfId="2687"/>
    <cellStyle name="Normal 174" xfId="2688"/>
    <cellStyle name="Normal 175" xfId="2689"/>
    <cellStyle name="Normal 176" xfId="2690"/>
    <cellStyle name="Normal 177" xfId="4367"/>
    <cellStyle name="Normal 177 2" xfId="4384"/>
    <cellStyle name="Normal 178" xfId="371"/>
    <cellStyle name="Normal 178 2" xfId="4386"/>
    <cellStyle name="Normal 179" xfId="4366"/>
    <cellStyle name="Normal 179 2" xfId="4388"/>
    <cellStyle name="Normal 18" xfId="216"/>
    <cellStyle name="Normal 18 10" xfId="2692"/>
    <cellStyle name="Normal 18 11" xfId="2693"/>
    <cellStyle name="Normal 18 12" xfId="2694"/>
    <cellStyle name="Normal 18 13" xfId="2695"/>
    <cellStyle name="Normal 18 14" xfId="2696"/>
    <cellStyle name="Normal 18 15" xfId="2697"/>
    <cellStyle name="Normal 18 16" xfId="2698"/>
    <cellStyle name="Normal 18 17" xfId="4420"/>
    <cellStyle name="Normal 18 18" xfId="2691"/>
    <cellStyle name="Normal 18 2" xfId="2699"/>
    <cellStyle name="Normal 18 2 2" xfId="2700"/>
    <cellStyle name="Normal 18 2 3" xfId="2701"/>
    <cellStyle name="Normal 18 2 4" xfId="2702"/>
    <cellStyle name="Normal 18 3" xfId="2703"/>
    <cellStyle name="Normal 18 3 2" xfId="2704"/>
    <cellStyle name="Normal 18 4" xfId="2705"/>
    <cellStyle name="Normal 18 4 2" xfId="2706"/>
    <cellStyle name="Normal 18 5" xfId="2707"/>
    <cellStyle name="Normal 18 5 2" xfId="2708"/>
    <cellStyle name="Normal 18 6" xfId="2709"/>
    <cellStyle name="Normal 18 7" xfId="2710"/>
    <cellStyle name="Normal 18 8" xfId="2711"/>
    <cellStyle name="Normal 18 9" xfId="2712"/>
    <cellStyle name="Normal 18_20110401_SAN_Rev#1_ PTP 2012" xfId="2713"/>
    <cellStyle name="Normal 180" xfId="4391"/>
    <cellStyle name="Normal 181" xfId="4393"/>
    <cellStyle name="Normal 182" xfId="4372"/>
    <cellStyle name="Normal 183" xfId="4394"/>
    <cellStyle name="Normal 184" xfId="4506"/>
    <cellStyle name="Normal 185" xfId="4507"/>
    <cellStyle name="Normal 186" xfId="4509"/>
    <cellStyle name="Normal 187" xfId="4510"/>
    <cellStyle name="Normal 188" xfId="4511"/>
    <cellStyle name="Normal 189" xfId="4512"/>
    <cellStyle name="Normal 19" xfId="217"/>
    <cellStyle name="Normal 19 2" xfId="218"/>
    <cellStyle name="Normal 19 2 2" xfId="219"/>
    <cellStyle name="Normal 19 2 2 2" xfId="220"/>
    <cellStyle name="Normal 19 2 2 3" xfId="2715"/>
    <cellStyle name="Normal 19 2 3" xfId="221"/>
    <cellStyle name="Normal 19 2 3 2" xfId="2716"/>
    <cellStyle name="Normal 19 2 4" xfId="2717"/>
    <cellStyle name="Normal 19 2 5" xfId="4499"/>
    <cellStyle name="Normal 19 2 6" xfId="2714"/>
    <cellStyle name="Normal 19 3" xfId="222"/>
    <cellStyle name="Normal 19 3 2" xfId="223"/>
    <cellStyle name="Normal 19 3 2 2" xfId="224"/>
    <cellStyle name="Normal 19 3 3" xfId="225"/>
    <cellStyle name="Normal 19 3 4" xfId="2718"/>
    <cellStyle name="Normal 19 4" xfId="226"/>
    <cellStyle name="Normal 19 4 2" xfId="227"/>
    <cellStyle name="Normal 19 5" xfId="228"/>
    <cellStyle name="Normal 19 5 2" xfId="2719"/>
    <cellStyle name="Normal 19_20110401_SAN_Rev#1_ PTP 2012" xfId="2720"/>
    <cellStyle name="Normal 190" xfId="4383"/>
    <cellStyle name="Normal 191" xfId="4373"/>
    <cellStyle name="Normal 192" xfId="4526"/>
    <cellStyle name="Normal 193" xfId="4527"/>
    <cellStyle name="Normal 194" xfId="4528"/>
    <cellStyle name="Normal 195" xfId="4529"/>
    <cellStyle name="Normal 196" xfId="4532"/>
    <cellStyle name="Normal 2" xfId="1"/>
    <cellStyle name="Normal 2 10" xfId="2722"/>
    <cellStyle name="Normal 2 10 2" xfId="2723"/>
    <cellStyle name="Normal 2 11" xfId="2724"/>
    <cellStyle name="Normal 2 11 2" xfId="2725"/>
    <cellStyle name="Normal 2 12" xfId="2726"/>
    <cellStyle name="Normal 2 13" xfId="2727"/>
    <cellStyle name="Normal 2 14" xfId="2728"/>
    <cellStyle name="Normal 2 15" xfId="2729"/>
    <cellStyle name="Normal 2 16" xfId="2730"/>
    <cellStyle name="Normal 2 17" xfId="2731"/>
    <cellStyle name="Normal 2 18" xfId="4368"/>
    <cellStyle name="Normal 2 19" xfId="2721"/>
    <cellStyle name="Normal 2 2" xfId="229"/>
    <cellStyle name="Normal 2 2 2" xfId="230"/>
    <cellStyle name="Normal 2 2 2 2" xfId="231"/>
    <cellStyle name="Normal 2 2 2 2 2" xfId="2732"/>
    <cellStyle name="Normal 2 2 2 2 3" xfId="2733"/>
    <cellStyle name="Normal 2 2 2 3" xfId="2734"/>
    <cellStyle name="Normal 2 2 2 3 2" xfId="2735"/>
    <cellStyle name="Normal 2 2 2 4" xfId="2736"/>
    <cellStyle name="Normal 2 2 2 5" xfId="2737"/>
    <cellStyle name="Normal 2 2 3" xfId="2738"/>
    <cellStyle name="Normal 2 2 3 2" xfId="2739"/>
    <cellStyle name="Normal 2 2 4" xfId="2740"/>
    <cellStyle name="Normal 2 2 5" xfId="2741"/>
    <cellStyle name="Normal 2 2 6" xfId="2742"/>
    <cellStyle name="Normal 2 2_DNCR T-03 TOTAL" xfId="2743"/>
    <cellStyle name="Normal 2 20" xfId="4374"/>
    <cellStyle name="Normal 2 21" xfId="4375"/>
    <cellStyle name="Normal 2 22" xfId="370"/>
    <cellStyle name="Normal 2 3" xfId="232"/>
    <cellStyle name="Normal 2 3 2" xfId="233"/>
    <cellStyle name="Normal 2 3 2 2" xfId="2"/>
    <cellStyle name="Normal 2 3 2 2 2" xfId="234"/>
    <cellStyle name="Normal 2 3 2 2 3" xfId="4414"/>
    <cellStyle name="Normal 2 3 2 2 4" xfId="2745"/>
    <cellStyle name="Normal 2 3 2 3" xfId="235"/>
    <cellStyle name="Normal 2 3 2 3 2" xfId="4465"/>
    <cellStyle name="Normal 2 3 2 3 3" xfId="2746"/>
    <cellStyle name="Normal 2 3 2 4" xfId="4405"/>
    <cellStyle name="Normal 2 3 2 5" xfId="2744"/>
    <cellStyle name="Normal 2 3 3" xfId="236"/>
    <cellStyle name="Normal 2 3 3 2" xfId="237"/>
    <cellStyle name="Normal 2 3 3 2 2" xfId="4466"/>
    <cellStyle name="Normal 2 3 3 2 3" xfId="2747"/>
    <cellStyle name="Normal 2 3 4" xfId="238"/>
    <cellStyle name="Normal 2 3 5" xfId="239"/>
    <cellStyle name="Normal 2 3 6" xfId="2748"/>
    <cellStyle name="Normal 2 3_20110401_SAN_Rev#1_ PTP 2012" xfId="2749"/>
    <cellStyle name="Normal 2 4" xfId="240"/>
    <cellStyle name="Normal 2 4 2" xfId="2751"/>
    <cellStyle name="Normal 2 4 2 2" xfId="2752"/>
    <cellStyle name="Normal 2 4 3" xfId="2753"/>
    <cellStyle name="Normal 2 4 4" xfId="2754"/>
    <cellStyle name="Normal 2 4 5" xfId="4398"/>
    <cellStyle name="Normal 2 4 6" xfId="2750"/>
    <cellStyle name="Normal 2 5" xfId="241"/>
    <cellStyle name="Normal 2 5 2" xfId="242"/>
    <cellStyle name="Normal 2 5 2 2" xfId="243"/>
    <cellStyle name="Normal 2 5 2 3" xfId="4412"/>
    <cellStyle name="Normal 2 5 2 4" xfId="2756"/>
    <cellStyle name="Normal 2 5 3" xfId="244"/>
    <cellStyle name="Normal 2 5 3 2" xfId="4467"/>
    <cellStyle name="Normal 2 5 3 3" xfId="2757"/>
    <cellStyle name="Normal 2 5 4" xfId="4403"/>
    <cellStyle name="Normal 2 5 5" xfId="2755"/>
    <cellStyle name="Normal 2 6" xfId="245"/>
    <cellStyle name="Normal 2 6 2" xfId="246"/>
    <cellStyle name="Normal 2 6 2 2" xfId="4468"/>
    <cellStyle name="Normal 2 6 2 3" xfId="2759"/>
    <cellStyle name="Normal 2 6 3" xfId="2760"/>
    <cellStyle name="Normal 2 6 4" xfId="4409"/>
    <cellStyle name="Normal 2 6 5" xfId="2758"/>
    <cellStyle name="Normal 2 7" xfId="247"/>
    <cellStyle name="Normal 2 7 2" xfId="4469"/>
    <cellStyle name="Normal 2 7 3" xfId="2761"/>
    <cellStyle name="Normal 2 8" xfId="2762"/>
    <cellStyle name="Normal 2 8 2" xfId="2763"/>
    <cellStyle name="Normal 2 9" xfId="2764"/>
    <cellStyle name="Normal 2 9 2" xfId="2765"/>
    <cellStyle name="Normal 2_1 Revis Costos Recup NRJ-CHS-PRV ene dic-2008" xfId="2766"/>
    <cellStyle name="Normal 20" xfId="248"/>
    <cellStyle name="Normal 20 10" xfId="2767"/>
    <cellStyle name="Normal 20 11" xfId="2768"/>
    <cellStyle name="Normal 20 12" xfId="2769"/>
    <cellStyle name="Normal 20 13" xfId="2770"/>
    <cellStyle name="Normal 20 14" xfId="2771"/>
    <cellStyle name="Normal 20 15" xfId="2772"/>
    <cellStyle name="Normal 20 16" xfId="2773"/>
    <cellStyle name="Normal 20 2" xfId="249"/>
    <cellStyle name="Normal 20 2 2" xfId="250"/>
    <cellStyle name="Normal 20 2 2 2" xfId="251"/>
    <cellStyle name="Normal 20 2 2 3" xfId="2775"/>
    <cellStyle name="Normal 20 2 3" xfId="252"/>
    <cellStyle name="Normal 20 2 3 2" xfId="2776"/>
    <cellStyle name="Normal 20 2 4" xfId="2777"/>
    <cellStyle name="Normal 20 2 5" xfId="4500"/>
    <cellStyle name="Normal 20 2 6" xfId="2774"/>
    <cellStyle name="Normal 20 3" xfId="253"/>
    <cellStyle name="Normal 20 3 2" xfId="254"/>
    <cellStyle name="Normal 20 3 2 2" xfId="255"/>
    <cellStyle name="Normal 20 3 2 3" xfId="2779"/>
    <cellStyle name="Normal 20 3 3" xfId="256"/>
    <cellStyle name="Normal 20 3 4" xfId="2778"/>
    <cellStyle name="Normal 20 4" xfId="257"/>
    <cellStyle name="Normal 20 4 2" xfId="258"/>
    <cellStyle name="Normal 20 4 3" xfId="2780"/>
    <cellStyle name="Normal 20 5" xfId="259"/>
    <cellStyle name="Normal 20 5 2" xfId="2782"/>
    <cellStyle name="Normal 20 5 3" xfId="2781"/>
    <cellStyle name="Normal 20 6" xfId="2783"/>
    <cellStyle name="Normal 20 7" xfId="2784"/>
    <cellStyle name="Normal 20 8" xfId="2785"/>
    <cellStyle name="Normal 20 9" xfId="2786"/>
    <cellStyle name="Normal 20_20110401_SAN_Rev#1_ PTP 2012" xfId="2787"/>
    <cellStyle name="Normal 21" xfId="260"/>
    <cellStyle name="Normal 21 10" xfId="2788"/>
    <cellStyle name="Normal 21 11" xfId="2789"/>
    <cellStyle name="Normal 21 12" xfId="2790"/>
    <cellStyle name="Normal 21 13" xfId="2791"/>
    <cellStyle name="Normal 21 14" xfId="2792"/>
    <cellStyle name="Normal 21 15" xfId="2793"/>
    <cellStyle name="Normal 21 16" xfId="2794"/>
    <cellStyle name="Normal 21 2" xfId="261"/>
    <cellStyle name="Normal 21 2 2" xfId="262"/>
    <cellStyle name="Normal 21 2 2 2" xfId="263"/>
    <cellStyle name="Normal 21 2 2 3" xfId="2796"/>
    <cellStyle name="Normal 21 2 3" xfId="264"/>
    <cellStyle name="Normal 21 2 3 2" xfId="2797"/>
    <cellStyle name="Normal 21 2 4" xfId="4501"/>
    <cellStyle name="Normal 21 2 5" xfId="2795"/>
    <cellStyle name="Normal 21 3" xfId="265"/>
    <cellStyle name="Normal 21 3 2" xfId="266"/>
    <cellStyle name="Normal 21 3 2 2" xfId="267"/>
    <cellStyle name="Normal 21 3 2 3" xfId="2799"/>
    <cellStyle name="Normal 21 3 3" xfId="268"/>
    <cellStyle name="Normal 21 3 4" xfId="2798"/>
    <cellStyle name="Normal 21 4" xfId="269"/>
    <cellStyle name="Normal 21 4 2" xfId="270"/>
    <cellStyle name="Normal 21 4 3" xfId="2800"/>
    <cellStyle name="Normal 21 5" xfId="271"/>
    <cellStyle name="Normal 21 5 2" xfId="2802"/>
    <cellStyle name="Normal 21 5 3" xfId="2801"/>
    <cellStyle name="Normal 21 6" xfId="2803"/>
    <cellStyle name="Normal 21 7" xfId="2804"/>
    <cellStyle name="Normal 21 8" xfId="2805"/>
    <cellStyle name="Normal 21 9" xfId="2806"/>
    <cellStyle name="Normal 21_20110401_SAN_Rev#1_ PTP 2012" xfId="2807"/>
    <cellStyle name="Normal 22" xfId="272"/>
    <cellStyle name="Normal 22 2" xfId="2809"/>
    <cellStyle name="Normal 22 2 2" xfId="2810"/>
    <cellStyle name="Normal 22 2 2 2" xfId="2811"/>
    <cellStyle name="Normal 22 2 3" xfId="2812"/>
    <cellStyle name="Normal 22 2_20110401_SAN_Rev#1_ PTP 2012" xfId="2813"/>
    <cellStyle name="Normal 22 3" xfId="2814"/>
    <cellStyle name="Normal 22 4" xfId="2815"/>
    <cellStyle name="Normal 22 5" xfId="2816"/>
    <cellStyle name="Normal 22 6" xfId="4496"/>
    <cellStyle name="Normal 22 7" xfId="4505"/>
    <cellStyle name="Normal 22 8" xfId="2808"/>
    <cellStyle name="Normal 22 9" xfId="4530"/>
    <cellStyle name="Normal 22_20110401_SAL_Rev#1_ PTP 2011" xfId="2817"/>
    <cellStyle name="Normal 23" xfId="273"/>
    <cellStyle name="Normal 23 2" xfId="2819"/>
    <cellStyle name="Normal 23 2 2" xfId="2820"/>
    <cellStyle name="Normal 23 3" xfId="2821"/>
    <cellStyle name="Normal 23 4" xfId="2822"/>
    <cellStyle name="Normal 23 5" xfId="2823"/>
    <cellStyle name="Normal 23 6" xfId="4502"/>
    <cellStyle name="Normal 23 7" xfId="2818"/>
    <cellStyle name="Normal 23_20110401_SAL_Rev#1_ PTP 2011" xfId="2824"/>
    <cellStyle name="Normal 24" xfId="274"/>
    <cellStyle name="Normal 24 2" xfId="2826"/>
    <cellStyle name="Normal 24 2 2" xfId="2827"/>
    <cellStyle name="Normal 24 3" xfId="2828"/>
    <cellStyle name="Normal 24 4" xfId="2829"/>
    <cellStyle name="Normal 24 5" xfId="2830"/>
    <cellStyle name="Normal 24 6" xfId="4503"/>
    <cellStyle name="Normal 24 7" xfId="2825"/>
    <cellStyle name="Normal 24_20110401_SAL_Rev#1_ PTP 2011" xfId="2831"/>
    <cellStyle name="Normal 25" xfId="275"/>
    <cellStyle name="Normal 25 2" xfId="2833"/>
    <cellStyle name="Normal 25 3" xfId="2834"/>
    <cellStyle name="Normal 25 4" xfId="2835"/>
    <cellStyle name="Normal 25 5" xfId="4504"/>
    <cellStyle name="Normal 25 6" xfId="2832"/>
    <cellStyle name="Normal 26" xfId="4"/>
    <cellStyle name="Normal 26 2" xfId="2837"/>
    <cellStyle name="Normal 26 3" xfId="2838"/>
    <cellStyle name="Normal 26 4" xfId="2839"/>
    <cellStyle name="Normal 26 5" xfId="2836"/>
    <cellStyle name="Normal 27" xfId="276"/>
    <cellStyle name="Normal 27 2" xfId="2841"/>
    <cellStyle name="Normal 27 3" xfId="2842"/>
    <cellStyle name="Normal 27 4" xfId="2840"/>
    <cellStyle name="Normal 28" xfId="324"/>
    <cellStyle name="Normal 28 2" xfId="2844"/>
    <cellStyle name="Normal 28 3" xfId="2845"/>
    <cellStyle name="Normal 28 4" xfId="2843"/>
    <cellStyle name="Normal 29" xfId="325"/>
    <cellStyle name="Normal 29 2" xfId="2847"/>
    <cellStyle name="Normal 29 3" xfId="2848"/>
    <cellStyle name="Normal 29 4" xfId="2846"/>
    <cellStyle name="Normal 3" xfId="3"/>
    <cellStyle name="Normal 3 10" xfId="2850"/>
    <cellStyle name="Normal 3 11" xfId="2851"/>
    <cellStyle name="Normal 3 12" xfId="2852"/>
    <cellStyle name="Normal 3 13" xfId="2853"/>
    <cellStyle name="Normal 3 14" xfId="2854"/>
    <cellStyle name="Normal 3 15" xfId="2855"/>
    <cellStyle name="Normal 3 16" xfId="2856"/>
    <cellStyle name="Normal 3 17" xfId="4370"/>
    <cellStyle name="Normal 3 17 2" xfId="4382"/>
    <cellStyle name="Normal 3 18" xfId="2849"/>
    <cellStyle name="Normal 3 2" xfId="277"/>
    <cellStyle name="Normal 3 2 2" xfId="2857"/>
    <cellStyle name="Normal 3 2 3" xfId="2858"/>
    <cellStyle name="Normal 3 2 3 2" xfId="2859"/>
    <cellStyle name="Normal 3 2_DNCR T-03 TOTAL" xfId="2860"/>
    <cellStyle name="Normal 3 3" xfId="278"/>
    <cellStyle name="Normal 3 3 2" xfId="2861"/>
    <cellStyle name="Normal 3 3 2 2" xfId="2862"/>
    <cellStyle name="Normal 3 3 2 3" xfId="2863"/>
    <cellStyle name="Normal 3 3 3" xfId="2864"/>
    <cellStyle name="Normal 3 4" xfId="2865"/>
    <cellStyle name="Normal 3 4 2" xfId="2866"/>
    <cellStyle name="Normal 3 4 2 2" xfId="2867"/>
    <cellStyle name="Normal 3 4 3" xfId="2868"/>
    <cellStyle name="Normal 3 5" xfId="2869"/>
    <cellStyle name="Normal 3 5 2" xfId="2870"/>
    <cellStyle name="Normal 3 5 3" xfId="2871"/>
    <cellStyle name="Normal 3 6" xfId="2872"/>
    <cellStyle name="Normal 3 6 2" xfId="2873"/>
    <cellStyle name="Normal 3 7" xfId="2874"/>
    <cellStyle name="Normal 3 7 2" xfId="2875"/>
    <cellStyle name="Normal 3 8" xfId="2876"/>
    <cellStyle name="Normal 3 8 2" xfId="2877"/>
    <cellStyle name="Normal 3 9" xfId="2878"/>
    <cellStyle name="Normal 3 9 2" xfId="2879"/>
    <cellStyle name="Normal 3_20110401_SAN_Rev#1_ PTP 2012" xfId="2880"/>
    <cellStyle name="Normal 30" xfId="326"/>
    <cellStyle name="Normal 30 2" xfId="2882"/>
    <cellStyle name="Normal 30 3" xfId="2883"/>
    <cellStyle name="Normal 30 4" xfId="2881"/>
    <cellStyle name="Normal 31" xfId="328"/>
    <cellStyle name="Normal 31 2" xfId="2885"/>
    <cellStyle name="Normal 31 3" xfId="2886"/>
    <cellStyle name="Normal 31 4" xfId="2884"/>
    <cellStyle name="Normal 32" xfId="327"/>
    <cellStyle name="Normal 32 2" xfId="2888"/>
    <cellStyle name="Normal 32 3" xfId="2889"/>
    <cellStyle name="Normal 32 4" xfId="2887"/>
    <cellStyle name="Normal 33" xfId="2890"/>
    <cellStyle name="Normal 33 2" xfId="2891"/>
    <cellStyle name="Normal 33 3" xfId="2892"/>
    <cellStyle name="Normal 34" xfId="2893"/>
    <cellStyle name="Normal 34 2" xfId="2894"/>
    <cellStyle name="Normal 34 3" xfId="2895"/>
    <cellStyle name="Normal 35" xfId="2896"/>
    <cellStyle name="Normal 35 2" xfId="2897"/>
    <cellStyle name="Normal 35 3" xfId="2898"/>
    <cellStyle name="Normal 36" xfId="2899"/>
    <cellStyle name="Normal 36 2" xfId="2900"/>
    <cellStyle name="Normal 36 3" xfId="2901"/>
    <cellStyle name="Normal 37" xfId="2902"/>
    <cellStyle name="Normal 37 2" xfId="2903"/>
    <cellStyle name="Normal 37 3" xfId="2904"/>
    <cellStyle name="Normal 38" xfId="2905"/>
    <cellStyle name="Normal 38 2" xfId="2906"/>
    <cellStyle name="Normal 38 3" xfId="2907"/>
    <cellStyle name="Normal 39" xfId="2908"/>
    <cellStyle name="Normal 39 2" xfId="2909"/>
    <cellStyle name="Normal 39 3" xfId="2910"/>
    <cellStyle name="Normal 4" xfId="279"/>
    <cellStyle name="Normal 4 10" xfId="2912"/>
    <cellStyle name="Normal 4 11" xfId="2913"/>
    <cellStyle name="Normal 4 12" xfId="2914"/>
    <cellStyle name="Normal 4 13" xfId="2915"/>
    <cellStyle name="Normal 4 14" xfId="2916"/>
    <cellStyle name="Normal 4 15" xfId="2917"/>
    <cellStyle name="Normal 4 16" xfId="2918"/>
    <cellStyle name="Normal 4 17" xfId="2911"/>
    <cellStyle name="Normal 4 18" xfId="369"/>
    <cellStyle name="Normal 4 2" xfId="280"/>
    <cellStyle name="Normal 4 2 2" xfId="281"/>
    <cellStyle name="Normal 4 2 2 2" xfId="2919"/>
    <cellStyle name="Normal 4 2 2 2 2" xfId="2920"/>
    <cellStyle name="Normal 4 2 2 3" xfId="2921"/>
    <cellStyle name="Normal 4 2 3" xfId="2922"/>
    <cellStyle name="Normal 4 2 4" xfId="2923"/>
    <cellStyle name="Normal 4 2 5" xfId="2924"/>
    <cellStyle name="Normal 4 3" xfId="2925"/>
    <cellStyle name="Normal 4 3 2" xfId="2926"/>
    <cellStyle name="Normal 4 3 3" xfId="2927"/>
    <cellStyle name="Normal 4 4" xfId="2928"/>
    <cellStyle name="Normal 4 4 2" xfId="2929"/>
    <cellStyle name="Normal 4 5" xfId="2930"/>
    <cellStyle name="Normal 4 5 2" xfId="2931"/>
    <cellStyle name="Normal 4 6" xfId="2932"/>
    <cellStyle name="Normal 4 7" xfId="2933"/>
    <cellStyle name="Normal 4 8" xfId="2934"/>
    <cellStyle name="Normal 4 9" xfId="2935"/>
    <cellStyle name="Normal 4_20110401_SAN_Rev#1_ PTP 2012" xfId="2936"/>
    <cellStyle name="Normal 40" xfId="2937"/>
    <cellStyle name="Normal 40 2" xfId="2938"/>
    <cellStyle name="Normal 40 3" xfId="2939"/>
    <cellStyle name="Normal 41" xfId="2940"/>
    <cellStyle name="Normal 41 2" xfId="2941"/>
    <cellStyle name="Normal 41 3" xfId="2942"/>
    <cellStyle name="Normal 42" xfId="2943"/>
    <cellStyle name="Normal 42 2" xfId="2944"/>
    <cellStyle name="Normal 42 3" xfId="2945"/>
    <cellStyle name="Normal 43" xfId="2946"/>
    <cellStyle name="Normal 43 2" xfId="2947"/>
    <cellStyle name="Normal 43 3" xfId="2948"/>
    <cellStyle name="Normal 44" xfId="2949"/>
    <cellStyle name="Normal 44 2" xfId="2950"/>
    <cellStyle name="Normal 44 3" xfId="2951"/>
    <cellStyle name="Normal 45" xfId="2952"/>
    <cellStyle name="Normal 45 2" xfId="2953"/>
    <cellStyle name="Normal 45 3" xfId="2954"/>
    <cellStyle name="Normal 46" xfId="2955"/>
    <cellStyle name="Normal 46 2" xfId="2956"/>
    <cellStyle name="Normal 46 3" xfId="2957"/>
    <cellStyle name="Normal 47" xfId="2958"/>
    <cellStyle name="Normal 47 2" xfId="2959"/>
    <cellStyle name="Normal 47 3" xfId="2960"/>
    <cellStyle name="Normal 48" xfId="2961"/>
    <cellStyle name="Normal 48 2" xfId="2962"/>
    <cellStyle name="Normal 48 3" xfId="2963"/>
    <cellStyle name="Normal 49" xfId="2964"/>
    <cellStyle name="Normal 49 2" xfId="2965"/>
    <cellStyle name="Normal 49 3" xfId="2966"/>
    <cellStyle name="Normal 5" xfId="282"/>
    <cellStyle name="Normal 5 10" xfId="2967"/>
    <cellStyle name="Normal 5 11" xfId="2968"/>
    <cellStyle name="Normal 5 12" xfId="2969"/>
    <cellStyle name="Normal 5 13" xfId="2970"/>
    <cellStyle name="Normal 5 14" xfId="2971"/>
    <cellStyle name="Normal 5 15" xfId="2972"/>
    <cellStyle name="Normal 5 16" xfId="2973"/>
    <cellStyle name="Normal 5 17" xfId="2974"/>
    <cellStyle name="Normal 5 2" xfId="283"/>
    <cellStyle name="Normal 5 2 2" xfId="2975"/>
    <cellStyle name="Normal 5 2 2 2" xfId="2976"/>
    <cellStyle name="Normal 5 2 3" xfId="2977"/>
    <cellStyle name="Normal 5 2 4" xfId="2978"/>
    <cellStyle name="Normal 5 3" xfId="284"/>
    <cellStyle name="Normal 5 3 2" xfId="2980"/>
    <cellStyle name="Normal 5 3 3" xfId="2981"/>
    <cellStyle name="Normal 5 3 4" xfId="4490"/>
    <cellStyle name="Normal 5 3 5" xfId="2979"/>
    <cellStyle name="Normal 5 4" xfId="2982"/>
    <cellStyle name="Normal 5 4 2" xfId="2983"/>
    <cellStyle name="Normal 5 5" xfId="2984"/>
    <cellStyle name="Normal 5 5 2" xfId="2985"/>
    <cellStyle name="Normal 5 6" xfId="2986"/>
    <cellStyle name="Normal 5 6 2" xfId="2987"/>
    <cellStyle name="Normal 5 7" xfId="2988"/>
    <cellStyle name="Normal 5 8" xfId="2989"/>
    <cellStyle name="Normal 5 9" xfId="2990"/>
    <cellStyle name="Normal 5_20110401_SAN_Rev#1_ PTP 2012" xfId="2991"/>
    <cellStyle name="Normal 50" xfId="2992"/>
    <cellStyle name="Normal 50 2" xfId="2993"/>
    <cellStyle name="Normal 50 3" xfId="2994"/>
    <cellStyle name="Normal 51" xfId="2995"/>
    <cellStyle name="Normal 51 2" xfId="2996"/>
    <cellStyle name="Normal 51 3" xfId="2997"/>
    <cellStyle name="Normal 52" xfId="2998"/>
    <cellStyle name="Normal 52 2" xfId="2999"/>
    <cellStyle name="Normal 52 3" xfId="3000"/>
    <cellStyle name="Normal 53" xfId="3001"/>
    <cellStyle name="Normal 53 2" xfId="3002"/>
    <cellStyle name="Normal 53 3" xfId="3003"/>
    <cellStyle name="Normal 54" xfId="3004"/>
    <cellStyle name="Normal 54 2" xfId="3005"/>
    <cellStyle name="Normal 54 3" xfId="3006"/>
    <cellStyle name="Normal 55" xfId="3007"/>
    <cellStyle name="Normal 55 2" xfId="3008"/>
    <cellStyle name="Normal 56" xfId="3009"/>
    <cellStyle name="Normal 56 2" xfId="3010"/>
    <cellStyle name="Normal 57" xfId="3011"/>
    <cellStyle name="Normal 57 2" xfId="3012"/>
    <cellStyle name="Normal 58" xfId="3013"/>
    <cellStyle name="Normal 58 2" xfId="3014"/>
    <cellStyle name="Normal 59" xfId="3015"/>
    <cellStyle name="Normal 59 2" xfId="3016"/>
    <cellStyle name="Normal 6" xfId="285"/>
    <cellStyle name="Normal 6 10" xfId="3017"/>
    <cellStyle name="Normal 6 11" xfId="3018"/>
    <cellStyle name="Normal 6 12" xfId="3019"/>
    <cellStyle name="Normal 6 13" xfId="3020"/>
    <cellStyle name="Normal 6 14" xfId="3021"/>
    <cellStyle name="Normal 6 15" xfId="3022"/>
    <cellStyle name="Normal 6 16" xfId="3023"/>
    <cellStyle name="Normal 6 17" xfId="3024"/>
    <cellStyle name="Normal 6 2" xfId="286"/>
    <cellStyle name="Normal 6 2 2" xfId="3025"/>
    <cellStyle name="Normal 6 2 2 2" xfId="3026"/>
    <cellStyle name="Normal 6 2 2 3" xfId="3027"/>
    <cellStyle name="Normal 6 2 3" xfId="3028"/>
    <cellStyle name="Normal 6 2 3 2" xfId="3029"/>
    <cellStyle name="Normal 6 2 4" xfId="3030"/>
    <cellStyle name="Normal 6 3" xfId="287"/>
    <cellStyle name="Normal 6 3 2" xfId="3031"/>
    <cellStyle name="Normal 6 3 2 2" xfId="3032"/>
    <cellStyle name="Normal 6 3 3" xfId="3033"/>
    <cellStyle name="Normal 6 4" xfId="3034"/>
    <cellStyle name="Normal 6 4 2" xfId="3035"/>
    <cellStyle name="Normal 6 5" xfId="3036"/>
    <cellStyle name="Normal 6 5 2" xfId="3037"/>
    <cellStyle name="Normal 6 6" xfId="3038"/>
    <cellStyle name="Normal 6 7" xfId="3039"/>
    <cellStyle name="Normal 6 8" xfId="3040"/>
    <cellStyle name="Normal 6 9" xfId="3041"/>
    <cellStyle name="Normal 6_20110401_SAN_Rev#1_ PTP 2012" xfId="3042"/>
    <cellStyle name="Normal 60" xfId="3043"/>
    <cellStyle name="Normal 60 2" xfId="3044"/>
    <cellStyle name="Normal 61" xfId="3045"/>
    <cellStyle name="Normal 61 2" xfId="3046"/>
    <cellStyle name="Normal 62" xfId="3047"/>
    <cellStyle name="Normal 62 2" xfId="3048"/>
    <cellStyle name="Normal 63" xfId="3049"/>
    <cellStyle name="Normal 63 2" xfId="3050"/>
    <cellStyle name="Normal 64" xfId="3051"/>
    <cellStyle name="Normal 64 2" xfId="3052"/>
    <cellStyle name="Normal 64 3" xfId="3053"/>
    <cellStyle name="Normal 65" xfId="3054"/>
    <cellStyle name="Normal 65 2" xfId="3055"/>
    <cellStyle name="Normal 66" xfId="3056"/>
    <cellStyle name="Normal 66 2" xfId="3057"/>
    <cellStyle name="Normal 67" xfId="3058"/>
    <cellStyle name="Normal 67 2" xfId="3059"/>
    <cellStyle name="Normal 68" xfId="3060"/>
    <cellStyle name="Normal 68 2" xfId="3061"/>
    <cellStyle name="Normal 69" xfId="3062"/>
    <cellStyle name="Normal 69 2" xfId="3063"/>
    <cellStyle name="Normal 69 3" xfId="3064"/>
    <cellStyle name="Normal 7" xfId="288"/>
    <cellStyle name="Normal 7 10" xfId="3065"/>
    <cellStyle name="Normal 7 11" xfId="3066"/>
    <cellStyle name="Normal 7 12" xfId="3067"/>
    <cellStyle name="Normal 7 13" xfId="3068"/>
    <cellStyle name="Normal 7 14" xfId="3069"/>
    <cellStyle name="Normal 7 15" xfId="3070"/>
    <cellStyle name="Normal 7 16" xfId="3071"/>
    <cellStyle name="Normal 7 2" xfId="289"/>
    <cellStyle name="Normal 7 2 2" xfId="3073"/>
    <cellStyle name="Normal 7 2 3" xfId="3074"/>
    <cellStyle name="Normal 7 2 4" xfId="3075"/>
    <cellStyle name="Normal 7 2 5" xfId="4494"/>
    <cellStyle name="Normal 7 2 6" xfId="3072"/>
    <cellStyle name="Normal 7 3" xfId="3076"/>
    <cellStyle name="Normal 7 3 2" xfId="3077"/>
    <cellStyle name="Normal 7 4" xfId="3078"/>
    <cellStyle name="Normal 7 4 2" xfId="3079"/>
    <cellStyle name="Normal 7 5" xfId="3080"/>
    <cellStyle name="Normal 7 5 2" xfId="3081"/>
    <cellStyle name="Normal 7 6" xfId="3082"/>
    <cellStyle name="Normal 7 7" xfId="3083"/>
    <cellStyle name="Normal 7 8" xfId="3084"/>
    <cellStyle name="Normal 7 9" xfId="3085"/>
    <cellStyle name="Normal 7_20110401_SAN_Rev#1_ PTP 2012" xfId="3086"/>
    <cellStyle name="Normal 70" xfId="3087"/>
    <cellStyle name="Normal 70 2" xfId="3088"/>
    <cellStyle name="Normal 70 3" xfId="3089"/>
    <cellStyle name="Normal 71" xfId="3090"/>
    <cellStyle name="Normal 71 2" xfId="3091"/>
    <cellStyle name="Normal 71 3" xfId="3092"/>
    <cellStyle name="Normal 72" xfId="3093"/>
    <cellStyle name="Normal 72 2" xfId="3094"/>
    <cellStyle name="Normal 72 3" xfId="3095"/>
    <cellStyle name="Normal 73" xfId="3096"/>
    <cellStyle name="Normal 73 2" xfId="3097"/>
    <cellStyle name="Normal 73 3" xfId="3098"/>
    <cellStyle name="Normal 74" xfId="3099"/>
    <cellStyle name="Normal 74 2" xfId="3100"/>
    <cellStyle name="Normal 74 3" xfId="3101"/>
    <cellStyle name="Normal 75" xfId="3102"/>
    <cellStyle name="Normal 75 2" xfId="3103"/>
    <cellStyle name="Normal 75 3" xfId="3104"/>
    <cellStyle name="Normal 76" xfId="3105"/>
    <cellStyle name="Normal 76 2" xfId="3106"/>
    <cellStyle name="Normal 76 3" xfId="3107"/>
    <cellStyle name="Normal 77" xfId="3108"/>
    <cellStyle name="Normal 77 2" xfId="3109"/>
    <cellStyle name="Normal 77 3" xfId="3110"/>
    <cellStyle name="Normal 78" xfId="3111"/>
    <cellStyle name="Normal 78 2" xfId="3112"/>
    <cellStyle name="Normal 78 3" xfId="3113"/>
    <cellStyle name="Normal 79" xfId="3114"/>
    <cellStyle name="Normal 79 2" xfId="3115"/>
    <cellStyle name="Normal 79 3" xfId="3116"/>
    <cellStyle name="Normal 8" xfId="290"/>
    <cellStyle name="Normal 8 10" xfId="3117"/>
    <cellStyle name="Normal 8 11" xfId="3118"/>
    <cellStyle name="Normal 8 12" xfId="3119"/>
    <cellStyle name="Normal 8 13" xfId="3120"/>
    <cellStyle name="Normal 8 14" xfId="3121"/>
    <cellStyle name="Normal 8 15" xfId="3122"/>
    <cellStyle name="Normal 8 16" xfId="4401"/>
    <cellStyle name="Normal 8 2" xfId="291"/>
    <cellStyle name="Normal 8 2 2" xfId="3124"/>
    <cellStyle name="Normal 8 2 3" xfId="3125"/>
    <cellStyle name="Normal 8 2 4" xfId="3126"/>
    <cellStyle name="Normal 8 2 5" xfId="3123"/>
    <cellStyle name="Normal 8 3" xfId="3127"/>
    <cellStyle name="Normal 8 3 2" xfId="3128"/>
    <cellStyle name="Normal 8 4" xfId="3129"/>
    <cellStyle name="Normal 8 5" xfId="3130"/>
    <cellStyle name="Normal 8 6" xfId="3131"/>
    <cellStyle name="Normal 8 7" xfId="3132"/>
    <cellStyle name="Normal 8 8" xfId="3133"/>
    <cellStyle name="Normal 8 9" xfId="3134"/>
    <cellStyle name="Normal 8_20110401_SAN_Rev#1_ PTP 2012" xfId="3135"/>
    <cellStyle name="Normal 80" xfId="3136"/>
    <cellStyle name="Normal 80 2" xfId="3137"/>
    <cellStyle name="Normal 80 3" xfId="3138"/>
    <cellStyle name="Normal 81" xfId="3139"/>
    <cellStyle name="Normal 81 2" xfId="3140"/>
    <cellStyle name="Normal 81 3" xfId="3141"/>
    <cellStyle name="Normal 82" xfId="3142"/>
    <cellStyle name="Normal 82 2" xfId="3143"/>
    <cellStyle name="Normal 82 3" xfId="3144"/>
    <cellStyle name="Normal 83" xfId="3145"/>
    <cellStyle name="Normal 83 2" xfId="3146"/>
    <cellStyle name="Normal 83 3" xfId="3147"/>
    <cellStyle name="Normal 84" xfId="3148"/>
    <cellStyle name="Normal 84 2" xfId="3149"/>
    <cellStyle name="Normal 84 3" xfId="3150"/>
    <cellStyle name="Normal 85" xfId="3151"/>
    <cellStyle name="Normal 85 2" xfId="3152"/>
    <cellStyle name="Normal 85 3" xfId="3153"/>
    <cellStyle name="Normal 86" xfId="3154"/>
    <cellStyle name="Normal 86 2" xfId="3155"/>
    <cellStyle name="Normal 86 3" xfId="3156"/>
    <cellStyle name="Normal 87" xfId="3157"/>
    <cellStyle name="Normal 87 2" xfId="3158"/>
    <cellStyle name="Normal 87 3" xfId="3159"/>
    <cellStyle name="Normal 88" xfId="3160"/>
    <cellStyle name="Normal 88 2" xfId="3161"/>
    <cellStyle name="Normal 88 3" xfId="3162"/>
    <cellStyle name="Normal 89" xfId="3163"/>
    <cellStyle name="Normal 89 2" xfId="3164"/>
    <cellStyle name="Normal 89 3" xfId="3165"/>
    <cellStyle name="Normal 9" xfId="292"/>
    <cellStyle name="Normal 9 10" xfId="3166"/>
    <cellStyle name="Normal 9 11" xfId="3167"/>
    <cellStyle name="Normal 9 12" xfId="3168"/>
    <cellStyle name="Normal 9 13" xfId="3169"/>
    <cellStyle name="Normal 9 14" xfId="3170"/>
    <cellStyle name="Normal 9 15" xfId="3171"/>
    <cellStyle name="Normal 9 16" xfId="3172"/>
    <cellStyle name="Normal 9 17" xfId="4397"/>
    <cellStyle name="Normal 9 2" xfId="293"/>
    <cellStyle name="Normal 9 2 2" xfId="3174"/>
    <cellStyle name="Normal 9 2 3" xfId="3175"/>
    <cellStyle name="Normal 9 2 4" xfId="3176"/>
    <cellStyle name="Normal 9 2 5" xfId="4495"/>
    <cellStyle name="Normal 9 2 6" xfId="3173"/>
    <cellStyle name="Normal 9 3" xfId="3177"/>
    <cellStyle name="Normal 9 3 2" xfId="3178"/>
    <cellStyle name="Normal 9 4" xfId="3179"/>
    <cellStyle name="Normal 9 4 2" xfId="3180"/>
    <cellStyle name="Normal 9 5" xfId="3181"/>
    <cellStyle name="Normal 9 5 2" xfId="3182"/>
    <cellStyle name="Normal 9 6" xfId="3183"/>
    <cellStyle name="Normal 9 7" xfId="3184"/>
    <cellStyle name="Normal 9 8" xfId="3185"/>
    <cellStyle name="Normal 9 9" xfId="3186"/>
    <cellStyle name="Normal 9_20110401_SAN_Rev#1_ PTP 2012" xfId="3187"/>
    <cellStyle name="Normal 90" xfId="3188"/>
    <cellStyle name="Normal 90 2" xfId="3189"/>
    <cellStyle name="Normal 91" xfId="3190"/>
    <cellStyle name="Normal 91 2" xfId="3191"/>
    <cellStyle name="Normal 92" xfId="3192"/>
    <cellStyle name="Normal 92 2" xfId="3193"/>
    <cellStyle name="Normal 93" xfId="3194"/>
    <cellStyle name="Normal 93 2" xfId="3195"/>
    <cellStyle name="Normal 94" xfId="3196"/>
    <cellStyle name="Normal 94 2" xfId="3197"/>
    <cellStyle name="Normal 95" xfId="3198"/>
    <cellStyle name="Normal 95 2" xfId="3199"/>
    <cellStyle name="Normal 96" xfId="3200"/>
    <cellStyle name="Normal 96 2" xfId="3201"/>
    <cellStyle name="Normal 97" xfId="3202"/>
    <cellStyle name="Normal 97 2" xfId="3203"/>
    <cellStyle name="Normal 98" xfId="3204"/>
    <cellStyle name="Normal 98 2" xfId="3205"/>
    <cellStyle name="Normal 99" xfId="3206"/>
    <cellStyle name="Normal 99 2" xfId="3207"/>
    <cellStyle name="Normal_Data" xfId="5"/>
    <cellStyle name="NormalMultiple" xfId="3208"/>
    <cellStyle name="NormalX" xfId="3209"/>
    <cellStyle name="Nota" xfId="3210"/>
    <cellStyle name="Notas" xfId="294"/>
    <cellStyle name="Notas 10" xfId="3211"/>
    <cellStyle name="Notas 11" xfId="3212"/>
    <cellStyle name="Notas 12" xfId="3213"/>
    <cellStyle name="Notas 13" xfId="3214"/>
    <cellStyle name="Notas 14" xfId="3215"/>
    <cellStyle name="Notas 2" xfId="3216"/>
    <cellStyle name="Notas 2 2" xfId="3217"/>
    <cellStyle name="Notas 2 2 2" xfId="3218"/>
    <cellStyle name="Notas 2 3" xfId="3219"/>
    <cellStyle name="Notas 2 4" xfId="3220"/>
    <cellStyle name="Notas 2_1.400 Inversiones Oper ITAÚ" xfId="3221"/>
    <cellStyle name="Notas 3" xfId="3222"/>
    <cellStyle name="Notas 3 2" xfId="3223"/>
    <cellStyle name="Notas 3 2 2" xfId="3224"/>
    <cellStyle name="Notas 3 3" xfId="3225"/>
    <cellStyle name="Notas 3_1.400 Inversiones Oper ITAÚ" xfId="3226"/>
    <cellStyle name="Notas 4" xfId="3227"/>
    <cellStyle name="Notas 4 2" xfId="3228"/>
    <cellStyle name="Notas 5" xfId="3229"/>
    <cellStyle name="Notas 5 2" xfId="3230"/>
    <cellStyle name="Notas 6" xfId="3231"/>
    <cellStyle name="Notas 6 2" xfId="3232"/>
    <cellStyle name="Notas 6 3" xfId="3233"/>
    <cellStyle name="Notas 7" xfId="3234"/>
    <cellStyle name="Notas 8" xfId="3235"/>
    <cellStyle name="Notas 9" xfId="3236"/>
    <cellStyle name="Note 2" xfId="295"/>
    <cellStyle name="Note 2 2" xfId="296"/>
    <cellStyle name="Note 2 2 2" xfId="3238"/>
    <cellStyle name="Note 2 2 3" xfId="3239"/>
    <cellStyle name="Note 2 2 4" xfId="3240"/>
    <cellStyle name="Note 2 2 5" xfId="4487"/>
    <cellStyle name="Note 2 2 6" xfId="3237"/>
    <cellStyle name="Note 2 3" xfId="3241"/>
    <cellStyle name="Note 2 4" xfId="3242"/>
    <cellStyle name="Note 2 5" xfId="3243"/>
    <cellStyle name="Note 2 6" xfId="3244"/>
    <cellStyle name="Note 2 7" xfId="3245"/>
    <cellStyle name="Note 2 8" xfId="4371"/>
    <cellStyle name="Note 2_1.400 Inversiones Oper ITAÚ" xfId="3246"/>
    <cellStyle name="Note 3" xfId="297"/>
    <cellStyle name="Note 3 2" xfId="3247"/>
    <cellStyle name="Note 3 3" xfId="3248"/>
    <cellStyle name="Note 3 4" xfId="3249"/>
    <cellStyle name="Note 3 5" xfId="3250"/>
    <cellStyle name="Note 4" xfId="3251"/>
    <cellStyle name="Note 5" xfId="3252"/>
    <cellStyle name="Note 6" xfId="3253"/>
    <cellStyle name="Note 7" xfId="4508"/>
    <cellStyle name="Note 8" xfId="4513"/>
    <cellStyle name="Numero" xfId="3254"/>
    <cellStyle name="Numero 2" xfId="3255"/>
    <cellStyle name="Output" xfId="338" builtinId="21" customBuiltin="1"/>
    <cellStyle name="Output 2" xfId="298"/>
    <cellStyle name="Output 2 2" xfId="299"/>
    <cellStyle name="Output 2 2 2" xfId="3257"/>
    <cellStyle name="Output 2 2 3" xfId="3258"/>
    <cellStyle name="Output 2 2 4" xfId="4488"/>
    <cellStyle name="Output 2 2 5" xfId="3256"/>
    <cellStyle name="Output 2 3" xfId="3259"/>
    <cellStyle name="Output 2 4" xfId="3260"/>
    <cellStyle name="Output 2 5" xfId="3261"/>
    <cellStyle name="Output 2 6" xfId="3262"/>
    <cellStyle name="Output 2 7" xfId="3263"/>
    <cellStyle name="Output 2 8" xfId="3264"/>
    <cellStyle name="Output 2 9" xfId="4430"/>
    <cellStyle name="Output 3" xfId="300"/>
    <cellStyle name="Output 3 2" xfId="3265"/>
    <cellStyle name="Output 3 3" xfId="3266"/>
    <cellStyle name="Output 3 4" xfId="3267"/>
    <cellStyle name="Output 3 5" xfId="3268"/>
    <cellStyle name="Output 4" xfId="3269"/>
    <cellStyle name="Output 5" xfId="3270"/>
    <cellStyle name="Output 6" xfId="3362"/>
    <cellStyle name="PAGE" xfId="301"/>
    <cellStyle name="PAGE 2" xfId="3271"/>
    <cellStyle name="PAGE2" xfId="302"/>
    <cellStyle name="PAGE2 2" xfId="3272"/>
    <cellStyle name="Percent 2" xfId="303"/>
    <cellStyle name="Percent 2 2" xfId="3273"/>
    <cellStyle name="Percent 2 2 2" xfId="3274"/>
    <cellStyle name="Percent 2 2 3" xfId="3275"/>
    <cellStyle name="Percent 2 3" xfId="3276"/>
    <cellStyle name="Percent 2 4" xfId="3277"/>
    <cellStyle name="Percent 3" xfId="3278"/>
    <cellStyle name="Percent 3 2" xfId="3279"/>
    <cellStyle name="Percent 3 3" xfId="3280"/>
    <cellStyle name="Percent 4" xfId="3281"/>
    <cellStyle name="Percent 4 2" xfId="3282"/>
    <cellStyle name="PillarData" xfId="3283"/>
    <cellStyle name="PillarData 2" xfId="3284"/>
    <cellStyle name="PillarData 2 2" xfId="3285"/>
    <cellStyle name="PillarData 3" xfId="3286"/>
    <cellStyle name="PillarData_20110401_SAN_Rev#1_ PTP 2012" xfId="3287"/>
    <cellStyle name="PillarHeading" xfId="3288"/>
    <cellStyle name="PillarHeading 2" xfId="3289"/>
    <cellStyle name="PillarText" xfId="3290"/>
    <cellStyle name="PillarText 2" xfId="3291"/>
    <cellStyle name="PillarText 2 2" xfId="3292"/>
    <cellStyle name="PillarText 3" xfId="3293"/>
    <cellStyle name="PillarText_20110401_SAN_Rev#1_ PTP 2012" xfId="3294"/>
    <cellStyle name="PillarTotal" xfId="3295"/>
    <cellStyle name="PillarTotal 2" xfId="3296"/>
    <cellStyle name="Porcentaje" xfId="3297"/>
    <cellStyle name="Porcentaje 2" xfId="3298"/>
    <cellStyle name="Porcentaje 2 2" xfId="3299"/>
    <cellStyle name="Porcentaje 2 2 2" xfId="3300"/>
    <cellStyle name="Porcentaje 2 3" xfId="3301"/>
    <cellStyle name="Porcentaje 2 3 2" xfId="3302"/>
    <cellStyle name="Porcentaje 2 4" xfId="3303"/>
    <cellStyle name="Porcentaje 2 5" xfId="3304"/>
    <cellStyle name="Porcentaje 2_20110401_SAL_Rev#1_ PTP 2011" xfId="3305"/>
    <cellStyle name="Porcentaje 3" xfId="3306"/>
    <cellStyle name="Porcentaje 3 2" xfId="3307"/>
    <cellStyle name="Porcentaje_20110401_SAL_Rev#1_ PTP 2011" xfId="3308"/>
    <cellStyle name="Porcentual 10" xfId="3309"/>
    <cellStyle name="Porcentual 11" xfId="3310"/>
    <cellStyle name="Porcentual 12" xfId="3311"/>
    <cellStyle name="Porcentual 13" xfId="3312"/>
    <cellStyle name="Porcentual 2" xfId="3313"/>
    <cellStyle name="Porcentual 2 10" xfId="3314"/>
    <cellStyle name="Porcentual 2 11" xfId="3315"/>
    <cellStyle name="Porcentual 2 12" xfId="3316"/>
    <cellStyle name="Porcentual 2 13" xfId="3317"/>
    <cellStyle name="Porcentual 2 14" xfId="3318"/>
    <cellStyle name="Porcentual 2 2" xfId="3319"/>
    <cellStyle name="Porcentual 2 2 2" xfId="3320"/>
    <cellStyle name="Porcentual 2 3" xfId="3321"/>
    <cellStyle name="Porcentual 2 3 2" xfId="3322"/>
    <cellStyle name="Porcentual 2 4" xfId="3323"/>
    <cellStyle name="Porcentual 2 5" xfId="3324"/>
    <cellStyle name="Porcentual 2 6" xfId="3325"/>
    <cellStyle name="Porcentual 2 7" xfId="3326"/>
    <cellStyle name="Porcentual 2 8" xfId="3327"/>
    <cellStyle name="Porcentual 2 9" xfId="3328"/>
    <cellStyle name="Porcentual 3" xfId="3329"/>
    <cellStyle name="Porcentual 3 10" xfId="3330"/>
    <cellStyle name="Porcentual 3 11" xfId="3331"/>
    <cellStyle name="Porcentual 3 12" xfId="3332"/>
    <cellStyle name="Porcentual 3 13" xfId="3333"/>
    <cellStyle name="Porcentual 3 14" xfId="3334"/>
    <cellStyle name="Porcentual 3 2" xfId="3335"/>
    <cellStyle name="Porcentual 3 2 2" xfId="3336"/>
    <cellStyle name="Porcentual 3 3" xfId="3337"/>
    <cellStyle name="Porcentual 3 4" xfId="3338"/>
    <cellStyle name="Porcentual 3 5" xfId="3339"/>
    <cellStyle name="Porcentual 3 6" xfId="3340"/>
    <cellStyle name="Porcentual 3 7" xfId="3341"/>
    <cellStyle name="Porcentual 3 8" xfId="3342"/>
    <cellStyle name="Porcentual 3 9" xfId="3343"/>
    <cellStyle name="Porcentual 4" xfId="3344"/>
    <cellStyle name="Porcentual 4 2" xfId="3345"/>
    <cellStyle name="Porcentual 5" xfId="3346"/>
    <cellStyle name="Porcentual 5 2" xfId="3347"/>
    <cellStyle name="Porcentual 5 3" xfId="3348"/>
    <cellStyle name="Porcentual 6" xfId="3349"/>
    <cellStyle name="Porcentual 7" xfId="3350"/>
    <cellStyle name="Porcentual 8" xfId="3351"/>
    <cellStyle name="Porcentual 8 2" xfId="3352"/>
    <cellStyle name="Porcentual 8 2 2" xfId="3353"/>
    <cellStyle name="Porcentual 9" xfId="3354"/>
    <cellStyle name="Porcentual 9 2" xfId="3355"/>
    <cellStyle name="Ratio" xfId="3356"/>
    <cellStyle name="Ratio 2" xfId="3357"/>
    <cellStyle name="Red Font" xfId="3358"/>
    <cellStyle name="Results" xfId="3359"/>
    <cellStyle name="Results 2" xfId="3360"/>
    <cellStyle name="Saída" xfId="3361"/>
    <cellStyle name="Salida" xfId="304"/>
    <cellStyle name="Salida 10" xfId="3363"/>
    <cellStyle name="Salida 11" xfId="3364"/>
    <cellStyle name="Salida 12" xfId="3365"/>
    <cellStyle name="Salida 13" xfId="3366"/>
    <cellStyle name="Salida 14" xfId="3367"/>
    <cellStyle name="Salida 2" xfId="3368"/>
    <cellStyle name="Salida 2 2" xfId="3369"/>
    <cellStyle name="Salida 3" xfId="3370"/>
    <cellStyle name="Salida 3 2" xfId="3371"/>
    <cellStyle name="Salida 4" xfId="3372"/>
    <cellStyle name="Salida 5" xfId="3373"/>
    <cellStyle name="Salida 6" xfId="3374"/>
    <cellStyle name="Salida 7" xfId="3375"/>
    <cellStyle name="Salida 8" xfId="3376"/>
    <cellStyle name="Salida 9" xfId="3377"/>
    <cellStyle name="SAPBEXaggData" xfId="3378"/>
    <cellStyle name="SAPBEXaggData 10" xfId="3379"/>
    <cellStyle name="SAPBEXaggData 11" xfId="3380"/>
    <cellStyle name="SAPBEXaggData 12" xfId="3381"/>
    <cellStyle name="SAPBEXaggData 2" xfId="3382"/>
    <cellStyle name="SAPBEXaggData 2 2" xfId="3383"/>
    <cellStyle name="SAPBEXaggData 2 2 2" xfId="3384"/>
    <cellStyle name="SAPBEXaggData 2 3" xfId="3385"/>
    <cellStyle name="SAPBEXaggData 2_20110401_SAL_Rev#1_ PTP 2011" xfId="3386"/>
    <cellStyle name="SAPBEXaggData 3" xfId="3387"/>
    <cellStyle name="SAPBEXaggData 3 2" xfId="3388"/>
    <cellStyle name="SAPBEXaggData 4" xfId="3389"/>
    <cellStyle name="SAPBEXaggData 5" xfId="3390"/>
    <cellStyle name="SAPBEXaggData 6" xfId="3391"/>
    <cellStyle name="SAPBEXaggData 7" xfId="3392"/>
    <cellStyle name="SAPBEXaggData 8" xfId="3393"/>
    <cellStyle name="SAPBEXaggData 9" xfId="3394"/>
    <cellStyle name="SAPBEXaggData_1.400 Inversiones Oper ITAÚ" xfId="3395"/>
    <cellStyle name="SAPBEXaggDataEmph" xfId="3396"/>
    <cellStyle name="SAPBEXaggDataEmph 10" xfId="3397"/>
    <cellStyle name="SAPBEXaggDataEmph 11" xfId="3398"/>
    <cellStyle name="SAPBEXaggDataEmph 12" xfId="3399"/>
    <cellStyle name="SAPBEXaggDataEmph 2" xfId="3400"/>
    <cellStyle name="SAPBEXaggDataEmph 2 2" xfId="3401"/>
    <cellStyle name="SAPBEXaggDataEmph 2 2 2" xfId="3402"/>
    <cellStyle name="SAPBEXaggDataEmph 2 3" xfId="3403"/>
    <cellStyle name="SAPBEXaggDataEmph 2_20110401_SAL_Rev#1_ PTP 2011" xfId="3404"/>
    <cellStyle name="SAPBEXaggDataEmph 3" xfId="3405"/>
    <cellStyle name="SAPBEXaggDataEmph 3 2" xfId="3406"/>
    <cellStyle name="SAPBEXaggDataEmph 4" xfId="3407"/>
    <cellStyle name="SAPBEXaggDataEmph 5" xfId="3408"/>
    <cellStyle name="SAPBEXaggDataEmph 6" xfId="3409"/>
    <cellStyle name="SAPBEXaggDataEmph 7" xfId="3410"/>
    <cellStyle name="SAPBEXaggDataEmph 8" xfId="3411"/>
    <cellStyle name="SAPBEXaggDataEmph 9" xfId="3412"/>
    <cellStyle name="SAPBEXaggDataEmph_1.400 Inversiones Oper ITAÚ" xfId="3413"/>
    <cellStyle name="SAPBEXaggItem" xfId="3414"/>
    <cellStyle name="SAPBEXaggItem 10" xfId="3415"/>
    <cellStyle name="SAPBEXaggItem 11" xfId="3416"/>
    <cellStyle name="SAPBEXaggItem 12" xfId="3417"/>
    <cellStyle name="SAPBEXaggItem 2" xfId="3418"/>
    <cellStyle name="SAPBEXaggItem 2 2" xfId="3419"/>
    <cellStyle name="SAPBEXaggItem 2 2 2" xfId="3420"/>
    <cellStyle name="SAPBEXaggItem 2 3" xfId="3421"/>
    <cellStyle name="SAPBEXaggItem 2_20110401_SAL_Rev#1_ PTP 2011" xfId="3422"/>
    <cellStyle name="SAPBEXaggItem 3" xfId="3423"/>
    <cellStyle name="SAPBEXaggItem 3 2" xfId="3424"/>
    <cellStyle name="SAPBEXaggItem 4" xfId="3425"/>
    <cellStyle name="SAPBEXaggItem 5" xfId="3426"/>
    <cellStyle name="SAPBEXaggItem 6" xfId="3427"/>
    <cellStyle name="SAPBEXaggItem 7" xfId="3428"/>
    <cellStyle name="SAPBEXaggItem 8" xfId="3429"/>
    <cellStyle name="SAPBEXaggItem 9" xfId="3430"/>
    <cellStyle name="SAPBEXaggItem_1.400 Inversiones Oper ITAÚ" xfId="3431"/>
    <cellStyle name="SAPBEXaggItemX" xfId="3432"/>
    <cellStyle name="SAPBEXaggItemX 10" xfId="3433"/>
    <cellStyle name="SAPBEXaggItemX 11" xfId="3434"/>
    <cellStyle name="SAPBEXaggItemX 12" xfId="3435"/>
    <cellStyle name="SAPBEXaggItemX 2" xfId="3436"/>
    <cellStyle name="SAPBEXaggItemX 2 2" xfId="3437"/>
    <cellStyle name="SAPBEXaggItemX 2 2 2" xfId="3438"/>
    <cellStyle name="SAPBEXaggItemX 2 3" xfId="3439"/>
    <cellStyle name="SAPBEXaggItemX 2_20110401_SAL_Rev#1_ PTP 2011" xfId="3440"/>
    <cellStyle name="SAPBEXaggItemX 3" xfId="3441"/>
    <cellStyle name="SAPBEXaggItemX 3 2" xfId="3442"/>
    <cellStyle name="SAPBEXaggItemX 3 3" xfId="3443"/>
    <cellStyle name="SAPBEXaggItemX 4" xfId="3444"/>
    <cellStyle name="SAPBEXaggItemX 5" xfId="3445"/>
    <cellStyle name="SAPBEXaggItemX 6" xfId="3446"/>
    <cellStyle name="SAPBEXaggItemX 7" xfId="3447"/>
    <cellStyle name="SAPBEXaggItemX 8" xfId="3448"/>
    <cellStyle name="SAPBEXaggItemX 9" xfId="3449"/>
    <cellStyle name="SAPBEXaggItemX_1.400 Inversiones Oper ITAÚ" xfId="3450"/>
    <cellStyle name="SAPBEXchaText" xfId="3451"/>
    <cellStyle name="SAPBEXchaText 10" xfId="3452"/>
    <cellStyle name="SAPBEXchaText 11" xfId="3453"/>
    <cellStyle name="SAPBEXchaText 12" xfId="3454"/>
    <cellStyle name="SAPBEXchaText 2" xfId="3455"/>
    <cellStyle name="SAPBEXchaText 2 2" xfId="3456"/>
    <cellStyle name="SAPBEXchaText 2 2 2" xfId="3457"/>
    <cellStyle name="SAPBEXchaText 2 3" xfId="3458"/>
    <cellStyle name="SAPBEXchaText 2_20110401_SAL_Rev#1_ PTP 2011" xfId="3459"/>
    <cellStyle name="SAPBEXchaText 3" xfId="3460"/>
    <cellStyle name="SAPBEXchaText 3 2" xfId="3461"/>
    <cellStyle name="SAPBEXchaText 4" xfId="3462"/>
    <cellStyle name="SAPBEXchaText 5" xfId="3463"/>
    <cellStyle name="SAPBEXchaText 6" xfId="3464"/>
    <cellStyle name="SAPBEXchaText 7" xfId="3465"/>
    <cellStyle name="SAPBEXchaText 8" xfId="3466"/>
    <cellStyle name="SAPBEXchaText 9" xfId="3467"/>
    <cellStyle name="SAPBEXchaText_1.400 Inversiones Oper ITAÚ" xfId="3468"/>
    <cellStyle name="SAPBEXexcBad7" xfId="3469"/>
    <cellStyle name="SAPBEXexcBad7 10" xfId="3470"/>
    <cellStyle name="SAPBEXexcBad7 11" xfId="3471"/>
    <cellStyle name="SAPBEXexcBad7 12" xfId="3472"/>
    <cellStyle name="SAPBEXexcBad7 13" xfId="3473"/>
    <cellStyle name="SAPBEXexcBad7 14" xfId="3474"/>
    <cellStyle name="SAPBEXexcBad7 2" xfId="3475"/>
    <cellStyle name="SAPBEXexcBad7 2 2" xfId="3476"/>
    <cellStyle name="SAPBEXexcBad7 2 2 2" xfId="3477"/>
    <cellStyle name="SAPBEXexcBad7 2 3" xfId="3478"/>
    <cellStyle name="SAPBEXexcBad7 2_20110401_SAL_Rev#1_ PTP 2011" xfId="3479"/>
    <cellStyle name="SAPBEXexcBad7 3" xfId="3480"/>
    <cellStyle name="SAPBEXexcBad7 3 2" xfId="3481"/>
    <cellStyle name="SAPBEXexcBad7 4" xfId="3482"/>
    <cellStyle name="SAPBEXexcBad7 5" xfId="3483"/>
    <cellStyle name="SAPBEXexcBad7 6" xfId="3484"/>
    <cellStyle name="SAPBEXexcBad7 7" xfId="3485"/>
    <cellStyle name="SAPBEXexcBad7 8" xfId="3486"/>
    <cellStyle name="SAPBEXexcBad7 9" xfId="3487"/>
    <cellStyle name="SAPBEXexcBad7_1.400 Inversiones Oper ITAÚ" xfId="3488"/>
    <cellStyle name="SAPBEXexcBad8" xfId="3489"/>
    <cellStyle name="SAPBEXexcBad8 10" xfId="3490"/>
    <cellStyle name="SAPBEXexcBad8 11" xfId="3491"/>
    <cellStyle name="SAPBEXexcBad8 12" xfId="3492"/>
    <cellStyle name="SAPBEXexcBad8 13" xfId="3493"/>
    <cellStyle name="SAPBEXexcBad8 14" xfId="3494"/>
    <cellStyle name="SAPBEXexcBad8 2" xfId="3495"/>
    <cellStyle name="SAPBEXexcBad8 2 2" xfId="3496"/>
    <cellStyle name="SAPBEXexcBad8 2 2 2" xfId="3497"/>
    <cellStyle name="SAPBEXexcBad8 2 3" xfId="3498"/>
    <cellStyle name="SAPBEXexcBad8 2_20110401_SAL_Rev#1_ PTP 2011" xfId="3499"/>
    <cellStyle name="SAPBEXexcBad8 3" xfId="3500"/>
    <cellStyle name="SAPBEXexcBad8 3 2" xfId="3501"/>
    <cellStyle name="SAPBEXexcBad8 4" xfId="3502"/>
    <cellStyle name="SAPBEXexcBad8 5" xfId="3503"/>
    <cellStyle name="SAPBEXexcBad8 6" xfId="3504"/>
    <cellStyle name="SAPBEXexcBad8 7" xfId="3505"/>
    <cellStyle name="SAPBEXexcBad8 8" xfId="3506"/>
    <cellStyle name="SAPBEXexcBad8 9" xfId="3507"/>
    <cellStyle name="SAPBEXexcBad8_1.400 Inversiones Oper ITAÚ" xfId="3508"/>
    <cellStyle name="SAPBEXexcBad9" xfId="3509"/>
    <cellStyle name="SAPBEXexcBad9 10" xfId="3510"/>
    <cellStyle name="SAPBEXexcBad9 11" xfId="3511"/>
    <cellStyle name="SAPBEXexcBad9 12" xfId="3512"/>
    <cellStyle name="SAPBEXexcBad9 13" xfId="3513"/>
    <cellStyle name="SAPBEXexcBad9 14" xfId="3514"/>
    <cellStyle name="SAPBEXexcBad9 2" xfId="3515"/>
    <cellStyle name="SAPBEXexcBad9 2 2" xfId="3516"/>
    <cellStyle name="SAPBEXexcBad9 2 2 2" xfId="3517"/>
    <cellStyle name="SAPBEXexcBad9 2 3" xfId="3518"/>
    <cellStyle name="SAPBEXexcBad9 2_20110401_SAL_Rev#1_ PTP 2011" xfId="3519"/>
    <cellStyle name="SAPBEXexcBad9 3" xfId="3520"/>
    <cellStyle name="SAPBEXexcBad9 3 2" xfId="3521"/>
    <cellStyle name="SAPBEXexcBad9 4" xfId="3522"/>
    <cellStyle name="SAPBEXexcBad9 5" xfId="3523"/>
    <cellStyle name="SAPBEXexcBad9 6" xfId="3524"/>
    <cellStyle name="SAPBEXexcBad9 7" xfId="3525"/>
    <cellStyle name="SAPBEXexcBad9 8" xfId="3526"/>
    <cellStyle name="SAPBEXexcBad9 9" xfId="3527"/>
    <cellStyle name="SAPBEXexcBad9_1.400 Inversiones Oper ITAÚ" xfId="3528"/>
    <cellStyle name="SAPBEXexcCritical4" xfId="3529"/>
    <cellStyle name="SAPBEXexcCritical4 10" xfId="3530"/>
    <cellStyle name="SAPBEXexcCritical4 11" xfId="3531"/>
    <cellStyle name="SAPBEXexcCritical4 12" xfId="3532"/>
    <cellStyle name="SAPBEXexcCritical4 13" xfId="3533"/>
    <cellStyle name="SAPBEXexcCritical4 14" xfId="3534"/>
    <cellStyle name="SAPBEXexcCritical4 2" xfId="3535"/>
    <cellStyle name="SAPBEXexcCritical4 2 2" xfId="3536"/>
    <cellStyle name="SAPBEXexcCritical4 2 2 2" xfId="3537"/>
    <cellStyle name="SAPBEXexcCritical4 2 3" xfId="3538"/>
    <cellStyle name="SAPBEXexcCritical4 2_20110401_SAL_Rev#1_ PTP 2011" xfId="3539"/>
    <cellStyle name="SAPBEXexcCritical4 3" xfId="3540"/>
    <cellStyle name="SAPBEXexcCritical4 3 2" xfId="3541"/>
    <cellStyle name="SAPBEXexcCritical4 4" xfId="3542"/>
    <cellStyle name="SAPBEXexcCritical4 5" xfId="3543"/>
    <cellStyle name="SAPBEXexcCritical4 6" xfId="3544"/>
    <cellStyle name="SAPBEXexcCritical4 7" xfId="3545"/>
    <cellStyle name="SAPBEXexcCritical4 8" xfId="3546"/>
    <cellStyle name="SAPBEXexcCritical4 9" xfId="3547"/>
    <cellStyle name="SAPBEXexcCritical4_1.400 Inversiones Oper ITAÚ" xfId="3548"/>
    <cellStyle name="SAPBEXexcCritical5" xfId="3549"/>
    <cellStyle name="SAPBEXexcCritical5 10" xfId="3550"/>
    <cellStyle name="SAPBEXexcCritical5 11" xfId="3551"/>
    <cellStyle name="SAPBEXexcCritical5 12" xfId="3552"/>
    <cellStyle name="SAPBEXexcCritical5 13" xfId="3553"/>
    <cellStyle name="SAPBEXexcCritical5 14" xfId="3554"/>
    <cellStyle name="SAPBEXexcCritical5 2" xfId="3555"/>
    <cellStyle name="SAPBEXexcCritical5 2 2" xfId="3556"/>
    <cellStyle name="SAPBEXexcCritical5 2 2 2" xfId="3557"/>
    <cellStyle name="SAPBEXexcCritical5 2 3" xfId="3558"/>
    <cellStyle name="SAPBEXexcCritical5 2_20110401_SAL_Rev#1_ PTP 2011" xfId="3559"/>
    <cellStyle name="SAPBEXexcCritical5 3" xfId="3560"/>
    <cellStyle name="SAPBEXexcCritical5 3 2" xfId="3561"/>
    <cellStyle name="SAPBEXexcCritical5 4" xfId="3562"/>
    <cellStyle name="SAPBEXexcCritical5 5" xfId="3563"/>
    <cellStyle name="SAPBEXexcCritical5 6" xfId="3564"/>
    <cellStyle name="SAPBEXexcCritical5 7" xfId="3565"/>
    <cellStyle name="SAPBEXexcCritical5 8" xfId="3566"/>
    <cellStyle name="SAPBEXexcCritical5 9" xfId="3567"/>
    <cellStyle name="SAPBEXexcCritical5_1.400 Inversiones Oper ITAÚ" xfId="3568"/>
    <cellStyle name="SAPBEXexcCritical6" xfId="3569"/>
    <cellStyle name="SAPBEXexcCritical6 10" xfId="3570"/>
    <cellStyle name="SAPBEXexcCritical6 11" xfId="3571"/>
    <cellStyle name="SAPBEXexcCritical6 12" xfId="3572"/>
    <cellStyle name="SAPBEXexcCritical6 13" xfId="3573"/>
    <cellStyle name="SAPBEXexcCritical6 14" xfId="3574"/>
    <cellStyle name="SAPBEXexcCritical6 2" xfId="3575"/>
    <cellStyle name="SAPBEXexcCritical6 2 2" xfId="3576"/>
    <cellStyle name="SAPBEXexcCritical6 2 2 2" xfId="3577"/>
    <cellStyle name="SAPBEXexcCritical6 2 3" xfId="3578"/>
    <cellStyle name="SAPBEXexcCritical6 2_20110401_SAL_Rev#1_ PTP 2011" xfId="3579"/>
    <cellStyle name="SAPBEXexcCritical6 3" xfId="3580"/>
    <cellStyle name="SAPBEXexcCritical6 3 2" xfId="3581"/>
    <cellStyle name="SAPBEXexcCritical6 4" xfId="3582"/>
    <cellStyle name="SAPBEXexcCritical6 5" xfId="3583"/>
    <cellStyle name="SAPBEXexcCritical6 6" xfId="3584"/>
    <cellStyle name="SAPBEXexcCritical6 7" xfId="3585"/>
    <cellStyle name="SAPBEXexcCritical6 8" xfId="3586"/>
    <cellStyle name="SAPBEXexcCritical6 9" xfId="3587"/>
    <cellStyle name="SAPBEXexcCritical6_1.400 Inversiones Oper ITAÚ" xfId="3588"/>
    <cellStyle name="SAPBEXexcGood1" xfId="3589"/>
    <cellStyle name="SAPBEXexcGood1 10" xfId="3590"/>
    <cellStyle name="SAPBEXexcGood1 11" xfId="3591"/>
    <cellStyle name="SAPBEXexcGood1 12" xfId="3592"/>
    <cellStyle name="SAPBEXexcGood1 13" xfId="3593"/>
    <cellStyle name="SAPBEXexcGood1 14" xfId="3594"/>
    <cellStyle name="SAPBEXexcGood1 2" xfId="3595"/>
    <cellStyle name="SAPBEXexcGood1 2 2" xfId="3596"/>
    <cellStyle name="SAPBEXexcGood1 2 2 2" xfId="3597"/>
    <cellStyle name="SAPBEXexcGood1 2 3" xfId="3598"/>
    <cellStyle name="SAPBEXexcGood1 2_20110401_SAL_Rev#1_ PTP 2011" xfId="3599"/>
    <cellStyle name="SAPBEXexcGood1 3" xfId="3600"/>
    <cellStyle name="SAPBEXexcGood1 3 2" xfId="3601"/>
    <cellStyle name="SAPBEXexcGood1 4" xfId="3602"/>
    <cellStyle name="SAPBEXexcGood1 5" xfId="3603"/>
    <cellStyle name="SAPBEXexcGood1 6" xfId="3604"/>
    <cellStyle name="SAPBEXexcGood1 7" xfId="3605"/>
    <cellStyle name="SAPBEXexcGood1 8" xfId="3606"/>
    <cellStyle name="SAPBEXexcGood1 9" xfId="3607"/>
    <cellStyle name="SAPBEXexcGood1_1.400 Inversiones Oper ITAÚ" xfId="3608"/>
    <cellStyle name="SAPBEXexcGood2" xfId="3609"/>
    <cellStyle name="SAPBEXexcGood2 10" xfId="3610"/>
    <cellStyle name="SAPBEXexcGood2 11" xfId="3611"/>
    <cellStyle name="SAPBEXexcGood2 12" xfId="3612"/>
    <cellStyle name="SAPBEXexcGood2 13" xfId="3613"/>
    <cellStyle name="SAPBEXexcGood2 14" xfId="3614"/>
    <cellStyle name="SAPBEXexcGood2 2" xfId="3615"/>
    <cellStyle name="SAPBEXexcGood2 2 2" xfId="3616"/>
    <cellStyle name="SAPBEXexcGood2 2 2 2" xfId="3617"/>
    <cellStyle name="SAPBEXexcGood2 2 3" xfId="3618"/>
    <cellStyle name="SAPBEXexcGood2 2_20110401_SAL_Rev#1_ PTP 2011" xfId="3619"/>
    <cellStyle name="SAPBEXexcGood2 3" xfId="3620"/>
    <cellStyle name="SAPBEXexcGood2 3 2" xfId="3621"/>
    <cellStyle name="SAPBEXexcGood2 4" xfId="3622"/>
    <cellStyle name="SAPBEXexcGood2 5" xfId="3623"/>
    <cellStyle name="SAPBEXexcGood2 6" xfId="3624"/>
    <cellStyle name="SAPBEXexcGood2 7" xfId="3625"/>
    <cellStyle name="SAPBEXexcGood2 8" xfId="3626"/>
    <cellStyle name="SAPBEXexcGood2 9" xfId="3627"/>
    <cellStyle name="SAPBEXexcGood2_1.400 Inversiones Oper ITAÚ" xfId="3628"/>
    <cellStyle name="SAPBEXexcGood3" xfId="3629"/>
    <cellStyle name="SAPBEXexcGood3 10" xfId="3630"/>
    <cellStyle name="SAPBEXexcGood3 11" xfId="3631"/>
    <cellStyle name="SAPBEXexcGood3 12" xfId="3632"/>
    <cellStyle name="SAPBEXexcGood3 13" xfId="3633"/>
    <cellStyle name="SAPBEXexcGood3 14" xfId="3634"/>
    <cellStyle name="SAPBEXexcGood3 2" xfId="3635"/>
    <cellStyle name="SAPBEXexcGood3 2 2" xfId="3636"/>
    <cellStyle name="SAPBEXexcGood3 2 2 2" xfId="3637"/>
    <cellStyle name="SAPBEXexcGood3 2 3" xfId="3638"/>
    <cellStyle name="SAPBEXexcGood3 2_20110401_SAL_Rev#1_ PTP 2011" xfId="3639"/>
    <cellStyle name="SAPBEXexcGood3 3" xfId="3640"/>
    <cellStyle name="SAPBEXexcGood3 3 2" xfId="3641"/>
    <cellStyle name="SAPBEXexcGood3 4" xfId="3642"/>
    <cellStyle name="SAPBEXexcGood3 5" xfId="3643"/>
    <cellStyle name="SAPBEXexcGood3 6" xfId="3644"/>
    <cellStyle name="SAPBEXexcGood3 7" xfId="3645"/>
    <cellStyle name="SAPBEXexcGood3 8" xfId="3646"/>
    <cellStyle name="SAPBEXexcGood3 9" xfId="3647"/>
    <cellStyle name="SAPBEXexcGood3_1.400 Inversiones Oper ITAÚ" xfId="3648"/>
    <cellStyle name="SAPBEXfilterDrill" xfId="3649"/>
    <cellStyle name="SAPBEXfilterDrill 10" xfId="3650"/>
    <cellStyle name="SAPBEXfilterDrill 11" xfId="3651"/>
    <cellStyle name="SAPBEXfilterDrill 12" xfId="3652"/>
    <cellStyle name="SAPBEXfilterDrill 2" xfId="3653"/>
    <cellStyle name="SAPBEXfilterDrill 2 2" xfId="3654"/>
    <cellStyle name="SAPBEXfilterDrill 2 2 2" xfId="3655"/>
    <cellStyle name="SAPBEXfilterDrill 2 3" xfId="3656"/>
    <cellStyle name="SAPBEXfilterDrill 2_20110401_SAL_Rev#1_ PTP 2011" xfId="3657"/>
    <cellStyle name="SAPBEXfilterDrill 3" xfId="3658"/>
    <cellStyle name="SAPBEXfilterDrill 3 2" xfId="3659"/>
    <cellStyle name="SAPBEXfilterDrill 4" xfId="3660"/>
    <cellStyle name="SAPBEXfilterDrill 5" xfId="3661"/>
    <cellStyle name="SAPBEXfilterDrill 6" xfId="3662"/>
    <cellStyle name="SAPBEXfilterDrill 7" xfId="3663"/>
    <cellStyle name="SAPBEXfilterDrill 8" xfId="3664"/>
    <cellStyle name="SAPBEXfilterDrill 9" xfId="3665"/>
    <cellStyle name="SAPBEXfilterDrill_1.400 Inversiones Oper ITAÚ" xfId="3666"/>
    <cellStyle name="SAPBEXfilterItem" xfId="3667"/>
    <cellStyle name="SAPBEXfilterItem 10" xfId="3668"/>
    <cellStyle name="SAPBEXfilterItem 11" xfId="3669"/>
    <cellStyle name="SAPBEXfilterItem 12" xfId="3670"/>
    <cellStyle name="SAPBEXfilterItem 13" xfId="3671"/>
    <cellStyle name="SAPBEXfilterItem 14" xfId="3672"/>
    <cellStyle name="SAPBEXfilterItem 2" xfId="3673"/>
    <cellStyle name="SAPBEXfilterItem 2 2" xfId="3674"/>
    <cellStyle name="SAPBEXfilterItem 2 2 2" xfId="3675"/>
    <cellStyle name="SAPBEXfilterItem 2 3" xfId="3676"/>
    <cellStyle name="SAPBEXfilterItem 2_20110401_SAL_Rev#1_ PTP 2011" xfId="3677"/>
    <cellStyle name="SAPBEXfilterItem 3" xfId="3678"/>
    <cellStyle name="SAPBEXfilterItem 3 2" xfId="3679"/>
    <cellStyle name="SAPBEXfilterItem 4" xfId="3680"/>
    <cellStyle name="SAPBEXfilterItem 5" xfId="3681"/>
    <cellStyle name="SAPBEXfilterItem 6" xfId="3682"/>
    <cellStyle name="SAPBEXfilterItem 7" xfId="3683"/>
    <cellStyle name="SAPBEXfilterItem 8" xfId="3684"/>
    <cellStyle name="SAPBEXfilterItem 9" xfId="3685"/>
    <cellStyle name="SAPBEXfilterItem_1.400 Inversiones Oper ITAÚ" xfId="3686"/>
    <cellStyle name="SAPBEXfilterText" xfId="3687"/>
    <cellStyle name="SAPBEXfilterText 10" xfId="3688"/>
    <cellStyle name="SAPBEXfilterText 11" xfId="3689"/>
    <cellStyle name="SAPBEXfilterText 12" xfId="3690"/>
    <cellStyle name="SAPBEXfilterText 2" xfId="3691"/>
    <cellStyle name="SAPBEXfilterText 2 2" xfId="3692"/>
    <cellStyle name="SAPBEXfilterText 2 2 2" xfId="3693"/>
    <cellStyle name="SAPBEXfilterText 2 3" xfId="3694"/>
    <cellStyle name="SAPBEXfilterText 2_20110401_SAL_Rev#1_ PTP 2011" xfId="3695"/>
    <cellStyle name="SAPBEXfilterText 3" xfId="3696"/>
    <cellStyle name="SAPBEXfilterText 3 2" xfId="3697"/>
    <cellStyle name="SAPBEXfilterText 4" xfId="3698"/>
    <cellStyle name="SAPBEXfilterText 5" xfId="3699"/>
    <cellStyle name="SAPBEXfilterText 6" xfId="3700"/>
    <cellStyle name="SAPBEXfilterText 7" xfId="3701"/>
    <cellStyle name="SAPBEXfilterText 8" xfId="3702"/>
    <cellStyle name="SAPBEXfilterText 9" xfId="3703"/>
    <cellStyle name="SAPBEXfilterText_1.400 Inversiones Oper ITAÚ" xfId="3704"/>
    <cellStyle name="SAPBEXformats" xfId="3705"/>
    <cellStyle name="SAPBEXformats 10" xfId="3706"/>
    <cellStyle name="SAPBEXformats 11" xfId="3707"/>
    <cellStyle name="SAPBEXformats 12" xfId="3708"/>
    <cellStyle name="SAPBEXformats 13" xfId="3709"/>
    <cellStyle name="SAPBEXformats 14" xfId="3710"/>
    <cellStyle name="SAPBEXformats 2" xfId="3711"/>
    <cellStyle name="SAPBEXformats 2 2" xfId="3712"/>
    <cellStyle name="SAPBEXformats 2 2 2" xfId="3713"/>
    <cellStyle name="SAPBEXformats 2 3" xfId="3714"/>
    <cellStyle name="SAPBEXformats 2_20110401_SAL_Rev#1_ PTP 2011" xfId="3715"/>
    <cellStyle name="SAPBEXformats 3" xfId="3716"/>
    <cellStyle name="SAPBEXformats 3 2" xfId="3717"/>
    <cellStyle name="SAPBEXformats 4" xfId="3718"/>
    <cellStyle name="SAPBEXformats 5" xfId="3719"/>
    <cellStyle name="SAPBEXformats 6" xfId="3720"/>
    <cellStyle name="SAPBEXformats 7" xfId="3721"/>
    <cellStyle name="SAPBEXformats 8" xfId="3722"/>
    <cellStyle name="SAPBEXformats 9" xfId="3723"/>
    <cellStyle name="SAPBEXformats_1.400 Inversiones Oper ITAÚ" xfId="3724"/>
    <cellStyle name="SAPBEXheaderItem" xfId="3725"/>
    <cellStyle name="SAPBEXheaderItem 2" xfId="3726"/>
    <cellStyle name="SAPBEXheaderItem 2 2" xfId="3727"/>
    <cellStyle name="SAPBEXheaderItem 2 2 2" xfId="3728"/>
    <cellStyle name="SAPBEXheaderItem 2 3" xfId="3729"/>
    <cellStyle name="SAPBEXheaderItem 2_20110401_SAL_Rev#1_ PTP 2011" xfId="3730"/>
    <cellStyle name="SAPBEXheaderItem 3" xfId="3731"/>
    <cellStyle name="SAPBEXheaderItem 3 2" xfId="3732"/>
    <cellStyle name="SAPBEXheaderItem 4" xfId="3733"/>
    <cellStyle name="SAPBEXheaderItem 5" xfId="3734"/>
    <cellStyle name="SAPBEXheaderItem 6" xfId="3735"/>
    <cellStyle name="SAPBEXheaderItem 7" xfId="3736"/>
    <cellStyle name="SAPBEXheaderItem 8" xfId="3737"/>
    <cellStyle name="SAPBEXheaderItem_1.400 Inversiones Oper ITAÚ" xfId="3738"/>
    <cellStyle name="SAPBEXheaderText" xfId="3739"/>
    <cellStyle name="SAPBEXheaderText 10" xfId="3740"/>
    <cellStyle name="SAPBEXheaderText 11" xfId="3741"/>
    <cellStyle name="SAPBEXheaderText 12" xfId="3742"/>
    <cellStyle name="SAPBEXheaderText 13" xfId="3743"/>
    <cellStyle name="SAPBEXheaderText 2" xfId="3744"/>
    <cellStyle name="SAPBEXheaderText 2 2" xfId="3745"/>
    <cellStyle name="SAPBEXheaderText 2 2 2" xfId="3746"/>
    <cellStyle name="SAPBEXheaderText 2 3" xfId="3747"/>
    <cellStyle name="SAPBEXheaderText 2_20110401_SAL_Rev#1_ PTP 2011" xfId="3748"/>
    <cellStyle name="SAPBEXheaderText 3" xfId="3749"/>
    <cellStyle name="SAPBEXheaderText 3 2" xfId="3750"/>
    <cellStyle name="SAPBEXheaderText 4" xfId="3751"/>
    <cellStyle name="SAPBEXheaderText 5" xfId="3752"/>
    <cellStyle name="SAPBEXheaderText 6" xfId="3753"/>
    <cellStyle name="SAPBEXheaderText 7" xfId="3754"/>
    <cellStyle name="SAPBEXheaderText 8" xfId="3755"/>
    <cellStyle name="SAPBEXheaderText 9" xfId="3756"/>
    <cellStyle name="SAPBEXheaderText_1.400 Inversiones Oper ITAÚ" xfId="3757"/>
    <cellStyle name="SAPBEXHLevel0" xfId="3758"/>
    <cellStyle name="SAPBEXHLevel0 10" xfId="3759"/>
    <cellStyle name="SAPBEXHLevel0 11" xfId="3760"/>
    <cellStyle name="SAPBEXHLevel0 12" xfId="3761"/>
    <cellStyle name="SAPBEXHLevel0 2" xfId="3762"/>
    <cellStyle name="SAPBEXHLevel0 2 2" xfId="3763"/>
    <cellStyle name="SAPBEXHLevel0 2 2 2" xfId="3764"/>
    <cellStyle name="SAPBEXHLevel0 2 3" xfId="3765"/>
    <cellStyle name="SAPBEXHLevel0 2_1.400 Inversiones Oper ITAÚ" xfId="3766"/>
    <cellStyle name="SAPBEXHLevel0 3" xfId="3767"/>
    <cellStyle name="SAPBEXHLevel0 3 2" xfId="3768"/>
    <cellStyle name="SAPBEXHLevel0 3 3" xfId="3769"/>
    <cellStyle name="SAPBEXHLevel0 4" xfId="3770"/>
    <cellStyle name="SAPBEXHLevel0 5" xfId="3771"/>
    <cellStyle name="SAPBEXHLevel0 6" xfId="3772"/>
    <cellStyle name="SAPBEXHLevel0 7" xfId="3773"/>
    <cellStyle name="SAPBEXHLevel0 8" xfId="3774"/>
    <cellStyle name="SAPBEXHLevel0 9" xfId="3775"/>
    <cellStyle name="SAPBEXHLevel0_1.400 Inversiones Oper ITAÚ" xfId="3776"/>
    <cellStyle name="SAPBEXHLevel0X" xfId="3777"/>
    <cellStyle name="SAPBEXHLevel0X 10" xfId="3778"/>
    <cellStyle name="SAPBEXHLevel0X 11" xfId="3779"/>
    <cellStyle name="SAPBEXHLevel0X 12" xfId="3780"/>
    <cellStyle name="SAPBEXHLevel0X 2" xfId="3781"/>
    <cellStyle name="SAPBEXHLevel0X 2 2" xfId="3782"/>
    <cellStyle name="SAPBEXHLevel0X 2 2 2" xfId="3783"/>
    <cellStyle name="SAPBEXHLevel0X 2 3" xfId="3784"/>
    <cellStyle name="SAPBEXHLevel0X 2_1.400 Inversiones Oper ITAÚ" xfId="3785"/>
    <cellStyle name="SAPBEXHLevel0X 3" xfId="3786"/>
    <cellStyle name="SAPBEXHLevel0X 3 2" xfId="3787"/>
    <cellStyle name="SAPBEXHLevel0X 3 3" xfId="3788"/>
    <cellStyle name="SAPBEXHLevel0X 4" xfId="3789"/>
    <cellStyle name="SAPBEXHLevel0X 5" xfId="3790"/>
    <cellStyle name="SAPBEXHLevel0X 6" xfId="3791"/>
    <cellStyle name="SAPBEXHLevel0X 7" xfId="3792"/>
    <cellStyle name="SAPBEXHLevel0X 8" xfId="3793"/>
    <cellStyle name="SAPBEXHLevel0X 9" xfId="3794"/>
    <cellStyle name="SAPBEXHLevel0X_1.400 Inversiones Oper ITAÚ" xfId="3795"/>
    <cellStyle name="SAPBEXHLevel1" xfId="3796"/>
    <cellStyle name="SAPBEXHLevel1 10" xfId="3797"/>
    <cellStyle name="SAPBEXHLevel1 11" xfId="3798"/>
    <cellStyle name="SAPBEXHLevel1 12" xfId="3799"/>
    <cellStyle name="SAPBEXHLevel1 2" xfId="3800"/>
    <cellStyle name="SAPBEXHLevel1 2 2" xfId="3801"/>
    <cellStyle name="SAPBEXHLevel1 2 2 2" xfId="3802"/>
    <cellStyle name="SAPBEXHLevel1 2 3" xfId="3803"/>
    <cellStyle name="SAPBEXHLevel1 2_1.400 Inversiones Oper ITAÚ" xfId="3804"/>
    <cellStyle name="SAPBEXHLevel1 3" xfId="3805"/>
    <cellStyle name="SAPBEXHLevel1 3 2" xfId="3806"/>
    <cellStyle name="SAPBEXHLevel1 3 3" xfId="3807"/>
    <cellStyle name="SAPBEXHLevel1 4" xfId="3808"/>
    <cellStyle name="SAPBEXHLevel1 5" xfId="3809"/>
    <cellStyle name="SAPBEXHLevel1 6" xfId="3810"/>
    <cellStyle name="SAPBEXHLevel1 7" xfId="3811"/>
    <cellStyle name="SAPBEXHLevel1 8" xfId="3812"/>
    <cellStyle name="SAPBEXHLevel1 9" xfId="3813"/>
    <cellStyle name="SAPBEXHLevel1_1.400 Inversiones Oper ITAÚ" xfId="3814"/>
    <cellStyle name="SAPBEXHLevel1X" xfId="3815"/>
    <cellStyle name="SAPBEXHLevel1X 10" xfId="3816"/>
    <cellStyle name="SAPBEXHLevel1X 11" xfId="3817"/>
    <cellStyle name="SAPBEXHLevel1X 12" xfId="3818"/>
    <cellStyle name="SAPBEXHLevel1X 2" xfId="3819"/>
    <cellStyle name="SAPBEXHLevel1X 2 2" xfId="3820"/>
    <cellStyle name="SAPBEXHLevel1X 2 2 2" xfId="3821"/>
    <cellStyle name="SAPBEXHLevel1X 2 3" xfId="3822"/>
    <cellStyle name="SAPBEXHLevel1X 2_1.400 Inversiones Oper ITAÚ" xfId="3823"/>
    <cellStyle name="SAPBEXHLevel1X 3" xfId="3824"/>
    <cellStyle name="SAPBEXHLevel1X 3 2" xfId="3825"/>
    <cellStyle name="SAPBEXHLevel1X 3 3" xfId="3826"/>
    <cellStyle name="SAPBEXHLevel1X 4" xfId="3827"/>
    <cellStyle name="SAPBEXHLevel1X 5" xfId="3828"/>
    <cellStyle name="SAPBEXHLevel1X 6" xfId="3829"/>
    <cellStyle name="SAPBEXHLevel1X 7" xfId="3830"/>
    <cellStyle name="SAPBEXHLevel1X 8" xfId="3831"/>
    <cellStyle name="SAPBEXHLevel1X 9" xfId="3832"/>
    <cellStyle name="SAPBEXHLevel1X_1.400 Inversiones Oper ITAÚ" xfId="3833"/>
    <cellStyle name="SAPBEXHLevel2" xfId="3834"/>
    <cellStyle name="SAPBEXHLevel2 10" xfId="3835"/>
    <cellStyle name="SAPBEXHLevel2 11" xfId="3836"/>
    <cellStyle name="SAPBEXHLevel2 12" xfId="3837"/>
    <cellStyle name="SAPBEXHLevel2 2" xfId="3838"/>
    <cellStyle name="SAPBEXHLevel2 2 2" xfId="3839"/>
    <cellStyle name="SAPBEXHLevel2 2 2 2" xfId="3840"/>
    <cellStyle name="SAPBEXHLevel2 2 3" xfId="3841"/>
    <cellStyle name="SAPBEXHLevel2 2_1.400 Inversiones Oper ITAÚ" xfId="3842"/>
    <cellStyle name="SAPBEXHLevel2 3" xfId="3843"/>
    <cellStyle name="SAPBEXHLevel2 3 2" xfId="3844"/>
    <cellStyle name="SAPBEXHLevel2 3 3" xfId="3845"/>
    <cellStyle name="SAPBEXHLevel2 4" xfId="3846"/>
    <cellStyle name="SAPBEXHLevel2 5" xfId="3847"/>
    <cellStyle name="SAPBEXHLevel2 6" xfId="3848"/>
    <cellStyle name="SAPBEXHLevel2 7" xfId="3849"/>
    <cellStyle name="SAPBEXHLevel2 8" xfId="3850"/>
    <cellStyle name="SAPBEXHLevel2 9" xfId="3851"/>
    <cellStyle name="SAPBEXHLevel2_1.400 Inversiones Oper ITAÚ" xfId="3852"/>
    <cellStyle name="SAPBEXHLevel2X" xfId="3853"/>
    <cellStyle name="SAPBEXHLevel2X 10" xfId="3854"/>
    <cellStyle name="SAPBEXHLevel2X 11" xfId="3855"/>
    <cellStyle name="SAPBEXHLevel2X 12" xfId="3856"/>
    <cellStyle name="SAPBEXHLevel2X 2" xfId="3857"/>
    <cellStyle name="SAPBEXHLevel2X 2 2" xfId="3858"/>
    <cellStyle name="SAPBEXHLevel2X 2 2 2" xfId="3859"/>
    <cellStyle name="SAPBEXHLevel2X 2 3" xfId="3860"/>
    <cellStyle name="SAPBEXHLevel2X 2_1.400 Inversiones Oper ITAÚ" xfId="3861"/>
    <cellStyle name="SAPBEXHLevel2X 3" xfId="3862"/>
    <cellStyle name="SAPBEXHLevel2X 3 2" xfId="3863"/>
    <cellStyle name="SAPBEXHLevel2X 3 3" xfId="3864"/>
    <cellStyle name="SAPBEXHLevel2X 4" xfId="3865"/>
    <cellStyle name="SAPBEXHLevel2X 5" xfId="3866"/>
    <cellStyle name="SAPBEXHLevel2X 6" xfId="3867"/>
    <cellStyle name="SAPBEXHLevel2X 7" xfId="3868"/>
    <cellStyle name="SAPBEXHLevel2X 8" xfId="3869"/>
    <cellStyle name="SAPBEXHLevel2X 9" xfId="3870"/>
    <cellStyle name="SAPBEXHLevel2X_1.400 Inversiones Oper ITAÚ" xfId="3871"/>
    <cellStyle name="SAPBEXHLevel3" xfId="3872"/>
    <cellStyle name="SAPBEXHLevel3 10" xfId="3873"/>
    <cellStyle name="SAPBEXHLevel3 11" xfId="3874"/>
    <cellStyle name="SAPBEXHLevel3 12" xfId="3875"/>
    <cellStyle name="SAPBEXHLevel3 2" xfId="3876"/>
    <cellStyle name="SAPBEXHLevel3 2 2" xfId="3877"/>
    <cellStyle name="SAPBEXHLevel3 2 2 2" xfId="3878"/>
    <cellStyle name="SAPBEXHLevel3 2 3" xfId="3879"/>
    <cellStyle name="SAPBEXHLevel3 2_1.400 Inversiones Oper ITAÚ" xfId="3880"/>
    <cellStyle name="SAPBEXHLevel3 3" xfId="3881"/>
    <cellStyle name="SAPBEXHLevel3 3 2" xfId="3882"/>
    <cellStyle name="SAPBEXHLevel3 3 3" xfId="3883"/>
    <cellStyle name="SAPBEXHLevel3 4" xfId="3884"/>
    <cellStyle name="SAPBEXHLevel3 5" xfId="3885"/>
    <cellStyle name="SAPBEXHLevel3 6" xfId="3886"/>
    <cellStyle name="SAPBEXHLevel3 7" xfId="3887"/>
    <cellStyle name="SAPBEXHLevel3 8" xfId="3888"/>
    <cellStyle name="SAPBEXHLevel3 9" xfId="3889"/>
    <cellStyle name="SAPBEXHLevel3_1.400 Inversiones Oper ITAÚ" xfId="3890"/>
    <cellStyle name="SAPBEXHLevel3X" xfId="3891"/>
    <cellStyle name="SAPBEXHLevel3X 10" xfId="3892"/>
    <cellStyle name="SAPBEXHLevel3X 11" xfId="3893"/>
    <cellStyle name="SAPBEXHLevel3X 12" xfId="3894"/>
    <cellStyle name="SAPBEXHLevel3X 2" xfId="3895"/>
    <cellStyle name="SAPBEXHLevel3X 2 2" xfId="3896"/>
    <cellStyle name="SAPBEXHLevel3X 2 2 2" xfId="3897"/>
    <cellStyle name="SAPBEXHLevel3X 2 3" xfId="3898"/>
    <cellStyle name="SAPBEXHLevel3X 2_1.400 Inversiones Oper ITAÚ" xfId="3899"/>
    <cellStyle name="SAPBEXHLevel3X 3" xfId="3900"/>
    <cellStyle name="SAPBEXHLevel3X 3 2" xfId="3901"/>
    <cellStyle name="SAPBEXHLevel3X 3 3" xfId="3902"/>
    <cellStyle name="SAPBEXHLevel3X 4" xfId="3903"/>
    <cellStyle name="SAPBEXHLevel3X 5" xfId="3904"/>
    <cellStyle name="SAPBEXHLevel3X 6" xfId="3905"/>
    <cellStyle name="SAPBEXHLevel3X 7" xfId="3906"/>
    <cellStyle name="SAPBEXHLevel3X 8" xfId="3907"/>
    <cellStyle name="SAPBEXHLevel3X 9" xfId="3908"/>
    <cellStyle name="SAPBEXHLevel3X_1.400 Inversiones Oper ITAÚ" xfId="3909"/>
    <cellStyle name="SAPBEXinputData" xfId="3910"/>
    <cellStyle name="SAPBEXinputData 10" xfId="3911"/>
    <cellStyle name="SAPBEXinputData 11" xfId="3912"/>
    <cellStyle name="SAPBEXinputData 12" xfId="3913"/>
    <cellStyle name="SAPBEXinputData 2" xfId="3914"/>
    <cellStyle name="SAPBEXinputData 2 2" xfId="3915"/>
    <cellStyle name="SAPBEXinputData 2 2 2" xfId="3916"/>
    <cellStyle name="SAPBEXinputData 2 3" xfId="3917"/>
    <cellStyle name="SAPBEXinputData 2_1.400 Inversiones Oper ITAÚ" xfId="3918"/>
    <cellStyle name="SAPBEXinputData 3" xfId="3919"/>
    <cellStyle name="SAPBEXinputData 3 2" xfId="3920"/>
    <cellStyle name="SAPBEXinputData 3 3" xfId="3921"/>
    <cellStyle name="SAPBEXinputData 4" xfId="3922"/>
    <cellStyle name="SAPBEXinputData 5" xfId="3923"/>
    <cellStyle name="SAPBEXinputData 6" xfId="3924"/>
    <cellStyle name="SAPBEXinputData 7" xfId="3925"/>
    <cellStyle name="SAPBEXinputData 8" xfId="3926"/>
    <cellStyle name="SAPBEXinputData 9" xfId="3927"/>
    <cellStyle name="SAPBEXinputData_1.400 Inversiones Oper ITAÚ" xfId="3928"/>
    <cellStyle name="SAPBEXItemHeader" xfId="3929"/>
    <cellStyle name="SAPBEXresData" xfId="3930"/>
    <cellStyle name="SAPBEXresData 10" xfId="3931"/>
    <cellStyle name="SAPBEXresData 11" xfId="3932"/>
    <cellStyle name="SAPBEXresData 12" xfId="3933"/>
    <cellStyle name="SAPBEXresData 13" xfId="3934"/>
    <cellStyle name="SAPBEXresData 14" xfId="3935"/>
    <cellStyle name="SAPBEXresData 2" xfId="3936"/>
    <cellStyle name="SAPBEXresData 2 2" xfId="3937"/>
    <cellStyle name="SAPBEXresData 2 2 2" xfId="3938"/>
    <cellStyle name="SAPBEXresData 2 3" xfId="3939"/>
    <cellStyle name="SAPBEXresData 2_20110401_SAL_Rev#1_ PTP 2011" xfId="3940"/>
    <cellStyle name="SAPBEXresData 3" xfId="3941"/>
    <cellStyle name="SAPBEXresData 3 2" xfId="3942"/>
    <cellStyle name="SAPBEXresData 4" xfId="3943"/>
    <cellStyle name="SAPBEXresData 5" xfId="3944"/>
    <cellStyle name="SAPBEXresData 6" xfId="3945"/>
    <cellStyle name="SAPBEXresData 7" xfId="3946"/>
    <cellStyle name="SAPBEXresData 8" xfId="3947"/>
    <cellStyle name="SAPBEXresData 9" xfId="3948"/>
    <cellStyle name="SAPBEXresData_1.400 Inversiones Oper ITAÚ" xfId="3949"/>
    <cellStyle name="SAPBEXresDataEmph" xfId="3950"/>
    <cellStyle name="SAPBEXresDataEmph 10" xfId="3951"/>
    <cellStyle name="SAPBEXresDataEmph 11" xfId="3952"/>
    <cellStyle name="SAPBEXresDataEmph 12" xfId="3953"/>
    <cellStyle name="SAPBEXresDataEmph 2" xfId="3954"/>
    <cellStyle name="SAPBEXresDataEmph 2 2" xfId="3955"/>
    <cellStyle name="SAPBEXresDataEmph 2 2 2" xfId="3956"/>
    <cellStyle name="SAPBEXresDataEmph 2 3" xfId="3957"/>
    <cellStyle name="SAPBEXresDataEmph 2_20110401_SAL_Rev#1_ PTP 2011" xfId="3958"/>
    <cellStyle name="SAPBEXresDataEmph 3" xfId="3959"/>
    <cellStyle name="SAPBEXresDataEmph 3 2" xfId="3960"/>
    <cellStyle name="SAPBEXresDataEmph 4" xfId="3961"/>
    <cellStyle name="SAPBEXresDataEmph 5" xfId="3962"/>
    <cellStyle name="SAPBEXresDataEmph 6" xfId="3963"/>
    <cellStyle name="SAPBEXresDataEmph 7" xfId="3964"/>
    <cellStyle name="SAPBEXresDataEmph 8" xfId="3965"/>
    <cellStyle name="SAPBEXresDataEmph 9" xfId="3966"/>
    <cellStyle name="SAPBEXresDataEmph_1.400 Inversiones Oper ITAÚ" xfId="3967"/>
    <cellStyle name="SAPBEXresItem" xfId="3968"/>
    <cellStyle name="SAPBEXresItem 10" xfId="3969"/>
    <cellStyle name="SAPBEXresItem 11" xfId="3970"/>
    <cellStyle name="SAPBEXresItem 12" xfId="3971"/>
    <cellStyle name="SAPBEXresItem 13" xfId="3972"/>
    <cellStyle name="SAPBEXresItem 14" xfId="3973"/>
    <cellStyle name="SAPBEXresItem 2" xfId="3974"/>
    <cellStyle name="SAPBEXresItem 2 2" xfId="3975"/>
    <cellStyle name="SAPBEXresItem 2 2 2" xfId="3976"/>
    <cellStyle name="SAPBEXresItem 2 3" xfId="3977"/>
    <cellStyle name="SAPBEXresItem 2_20110401_SAL_Rev#1_ PTP 2011" xfId="3978"/>
    <cellStyle name="SAPBEXresItem 3" xfId="3979"/>
    <cellStyle name="SAPBEXresItem 3 2" xfId="3980"/>
    <cellStyle name="SAPBEXresItem 4" xfId="3981"/>
    <cellStyle name="SAPBEXresItem 5" xfId="3982"/>
    <cellStyle name="SAPBEXresItem 6" xfId="3983"/>
    <cellStyle name="SAPBEXresItem 7" xfId="3984"/>
    <cellStyle name="SAPBEXresItem 8" xfId="3985"/>
    <cellStyle name="SAPBEXresItem 9" xfId="3986"/>
    <cellStyle name="SAPBEXresItem_1.400 Inversiones Oper ITAÚ" xfId="3987"/>
    <cellStyle name="SAPBEXresItemX" xfId="3988"/>
    <cellStyle name="SAPBEXresItemX 10" xfId="3989"/>
    <cellStyle name="SAPBEXresItemX 11" xfId="3990"/>
    <cellStyle name="SAPBEXresItemX 12" xfId="3991"/>
    <cellStyle name="SAPBEXresItemX 13" xfId="3992"/>
    <cellStyle name="SAPBEXresItemX 14" xfId="3993"/>
    <cellStyle name="SAPBEXresItemX 2" xfId="3994"/>
    <cellStyle name="SAPBEXresItemX 2 2" xfId="3995"/>
    <cellStyle name="SAPBEXresItemX 2 2 2" xfId="3996"/>
    <cellStyle name="SAPBEXresItemX 2 3" xfId="3997"/>
    <cellStyle name="SAPBEXresItemX 2_20110401_SAL_Rev#1_ PTP 2011" xfId="3998"/>
    <cellStyle name="SAPBEXresItemX 3" xfId="3999"/>
    <cellStyle name="SAPBEXresItemX 3 2" xfId="4000"/>
    <cellStyle name="SAPBEXresItemX 3 3" xfId="4001"/>
    <cellStyle name="SAPBEXresItemX 4" xfId="4002"/>
    <cellStyle name="SAPBEXresItemX 5" xfId="4003"/>
    <cellStyle name="SAPBEXresItemX 6" xfId="4004"/>
    <cellStyle name="SAPBEXresItemX 7" xfId="4005"/>
    <cellStyle name="SAPBEXresItemX 8" xfId="4006"/>
    <cellStyle name="SAPBEXresItemX 9" xfId="4007"/>
    <cellStyle name="SAPBEXresItemX_1.400 Inversiones Oper ITAÚ" xfId="4008"/>
    <cellStyle name="SAPBEXstdData" xfId="4009"/>
    <cellStyle name="SAPBEXstdData 10" xfId="4010"/>
    <cellStyle name="SAPBEXstdData 11" xfId="4011"/>
    <cellStyle name="SAPBEXstdData 12" xfId="4012"/>
    <cellStyle name="SAPBEXstdData 13" xfId="4013"/>
    <cellStyle name="SAPBEXstdData 2" xfId="4014"/>
    <cellStyle name="SAPBEXstdData 2 2" xfId="4015"/>
    <cellStyle name="SAPBEXstdData 3" xfId="4016"/>
    <cellStyle name="SAPBEXstdData 4" xfId="4017"/>
    <cellStyle name="SAPBEXstdData 5" xfId="4018"/>
    <cellStyle name="SAPBEXstdData 6" xfId="4019"/>
    <cellStyle name="SAPBEXstdData 7" xfId="4020"/>
    <cellStyle name="SAPBEXstdData 8" xfId="4021"/>
    <cellStyle name="SAPBEXstdData 9" xfId="4022"/>
    <cellStyle name="SAPBEXstdData_1.400 Inversiones Oper ITAÚ" xfId="4023"/>
    <cellStyle name="SAPBEXstdDataEmph" xfId="4024"/>
    <cellStyle name="SAPBEXstdDataEmph 10" xfId="4025"/>
    <cellStyle name="SAPBEXstdDataEmph 11" xfId="4026"/>
    <cellStyle name="SAPBEXstdDataEmph 2" xfId="4027"/>
    <cellStyle name="SAPBEXstdDataEmph 2 2" xfId="4028"/>
    <cellStyle name="SAPBEXstdDataEmph 3" xfId="4029"/>
    <cellStyle name="SAPBEXstdDataEmph 4" xfId="4030"/>
    <cellStyle name="SAPBEXstdDataEmph 5" xfId="4031"/>
    <cellStyle name="SAPBEXstdDataEmph 6" xfId="4032"/>
    <cellStyle name="SAPBEXstdDataEmph 7" xfId="4033"/>
    <cellStyle name="SAPBEXstdDataEmph 8" xfId="4034"/>
    <cellStyle name="SAPBEXstdDataEmph 9" xfId="4035"/>
    <cellStyle name="SAPBEXstdDataEmph_1.400 Inversiones Oper ITAÚ" xfId="4036"/>
    <cellStyle name="SAPBEXstdItem" xfId="4037"/>
    <cellStyle name="SAPBEXstdItem 10" xfId="4038"/>
    <cellStyle name="SAPBEXstdItem 11" xfId="4039"/>
    <cellStyle name="SAPBEXstdItem 12" xfId="4040"/>
    <cellStyle name="SAPBEXstdItem 13" xfId="4041"/>
    <cellStyle name="SAPBEXstdItem 2" xfId="4042"/>
    <cellStyle name="SAPBEXstdItem 2 2" xfId="4043"/>
    <cellStyle name="SAPBEXstdItem 3" xfId="4044"/>
    <cellStyle name="SAPBEXstdItem 4" xfId="4045"/>
    <cellStyle name="SAPBEXstdItem 5" xfId="4046"/>
    <cellStyle name="SAPBEXstdItem 6" xfId="4047"/>
    <cellStyle name="SAPBEXstdItem 7" xfId="4048"/>
    <cellStyle name="SAPBEXstdItem 8" xfId="4049"/>
    <cellStyle name="SAPBEXstdItem 9" xfId="4050"/>
    <cellStyle name="SAPBEXstdItem_1.400 Inversiones Oper ITAÚ" xfId="4051"/>
    <cellStyle name="SAPBEXstdItemX" xfId="4052"/>
    <cellStyle name="SAPBEXstdItemX 10" xfId="4053"/>
    <cellStyle name="SAPBEXstdItemX 11" xfId="4054"/>
    <cellStyle name="SAPBEXstdItemX 12" xfId="4055"/>
    <cellStyle name="SAPBEXstdItemX 13" xfId="4056"/>
    <cellStyle name="SAPBEXstdItemX 14" xfId="4057"/>
    <cellStyle name="SAPBEXstdItemX 2" xfId="4058"/>
    <cellStyle name="SAPBEXstdItemX 2 2" xfId="4059"/>
    <cellStyle name="SAPBEXstdItemX 2 2 2" xfId="4060"/>
    <cellStyle name="SAPBEXstdItemX 2 3" xfId="4061"/>
    <cellStyle name="SAPBEXstdItemX 2_20110401_SAL_Rev#1_ PTP 2011" xfId="4062"/>
    <cellStyle name="SAPBEXstdItemX 3" xfId="4063"/>
    <cellStyle name="SAPBEXstdItemX 3 2" xfId="4064"/>
    <cellStyle name="SAPBEXstdItemX 3 3" xfId="4065"/>
    <cellStyle name="SAPBEXstdItemX 4" xfId="4066"/>
    <cellStyle name="SAPBEXstdItemX 5" xfId="4067"/>
    <cellStyle name="SAPBEXstdItemX 6" xfId="4068"/>
    <cellStyle name="SAPBEXstdItemX 7" xfId="4069"/>
    <cellStyle name="SAPBEXstdItemX 8" xfId="4070"/>
    <cellStyle name="SAPBEXstdItemX 9" xfId="4071"/>
    <cellStyle name="SAPBEXstdItemX_1.400 Inversiones Oper ITAÚ" xfId="4072"/>
    <cellStyle name="SAPBEXtitle" xfId="4073"/>
    <cellStyle name="SAPBEXtitle 10" xfId="4074"/>
    <cellStyle name="SAPBEXtitle 11" xfId="4075"/>
    <cellStyle name="SAPBEXtitle 12" xfId="4076"/>
    <cellStyle name="SAPBEXtitle 2" xfId="4077"/>
    <cellStyle name="SAPBEXtitle 2 2" xfId="4078"/>
    <cellStyle name="SAPBEXtitle 2 2 2" xfId="4079"/>
    <cellStyle name="SAPBEXtitle 2 3" xfId="4080"/>
    <cellStyle name="SAPBEXtitle 2_20110401_SAL_Rev#1_ PTP 2011" xfId="4081"/>
    <cellStyle name="SAPBEXtitle 3" xfId="4082"/>
    <cellStyle name="SAPBEXtitle 3 2" xfId="4083"/>
    <cellStyle name="SAPBEXtitle 4" xfId="4084"/>
    <cellStyle name="SAPBEXtitle 5" xfId="4085"/>
    <cellStyle name="SAPBEXtitle 6" xfId="4086"/>
    <cellStyle name="SAPBEXtitle 7" xfId="4087"/>
    <cellStyle name="SAPBEXtitle 8" xfId="4088"/>
    <cellStyle name="SAPBEXtitle 9" xfId="4089"/>
    <cellStyle name="SAPBEXtitle_1.400 Inversiones Oper ITAÚ" xfId="4090"/>
    <cellStyle name="SAPBEXunassignedItem" xfId="4091"/>
    <cellStyle name="SAPBEXundefined" xfId="4092"/>
    <cellStyle name="SAPBEXundefined 10" xfId="4093"/>
    <cellStyle name="SAPBEXundefined 11" xfId="4094"/>
    <cellStyle name="SAPBEXundefined 12" xfId="4095"/>
    <cellStyle name="SAPBEXundefined 2" xfId="4096"/>
    <cellStyle name="SAPBEXundefined 2 2" xfId="4097"/>
    <cellStyle name="SAPBEXundefined 2 2 2" xfId="4098"/>
    <cellStyle name="SAPBEXundefined 2 3" xfId="4099"/>
    <cellStyle name="SAPBEXundefined 2_20110401_SAL_Rev#1_ PTP 2011" xfId="4100"/>
    <cellStyle name="SAPBEXundefined 3" xfId="4101"/>
    <cellStyle name="SAPBEXundefined 3 2" xfId="4102"/>
    <cellStyle name="SAPBEXundefined 4" xfId="4103"/>
    <cellStyle name="SAPBEXundefined 5" xfId="4104"/>
    <cellStyle name="SAPBEXundefined 6" xfId="4105"/>
    <cellStyle name="SAPBEXundefined 7" xfId="4106"/>
    <cellStyle name="SAPBEXundefined 8" xfId="4107"/>
    <cellStyle name="SAPBEXundefined 9" xfId="4108"/>
    <cellStyle name="SAPBEXundefined_1.400 Inversiones Oper ITAÚ" xfId="4109"/>
    <cellStyle name="Separador de milhares 2" xfId="4110"/>
    <cellStyle name="Separador de milhares_Flujo PBR-06" xfId="4111"/>
    <cellStyle name="Sheet Title" xfId="4112"/>
    <cellStyle name="Sheet Title 2" xfId="4113"/>
    <cellStyle name="Shell" xfId="305"/>
    <cellStyle name="Shell 2" xfId="4114"/>
    <cellStyle name="Style 1" xfId="4115"/>
    <cellStyle name="Style 1 2" xfId="4116"/>
    <cellStyle name="Style 1 3" xfId="4117"/>
    <cellStyle name="Style 1 4" xfId="4118"/>
    <cellStyle name="Style 1 5" xfId="4119"/>
    <cellStyle name="STYLE1" xfId="4120"/>
    <cellStyle name="STYLE1 2" xfId="4121"/>
    <cellStyle name="STYLE10" xfId="4122"/>
    <cellStyle name="STYLE10 2" xfId="4123"/>
    <cellStyle name="STYLE11" xfId="4124"/>
    <cellStyle name="STYLE11 2" xfId="4125"/>
    <cellStyle name="STYLE12" xfId="4126"/>
    <cellStyle name="STYLE12 2" xfId="4127"/>
    <cellStyle name="STYLE2" xfId="4128"/>
    <cellStyle name="STYLE2 2" xfId="4129"/>
    <cellStyle name="STYLE3" xfId="4130"/>
    <cellStyle name="STYLE3 2" xfId="4131"/>
    <cellStyle name="STYLE4" xfId="4132"/>
    <cellStyle name="STYLE4 2" xfId="4133"/>
    <cellStyle name="STYLE5" xfId="4134"/>
    <cellStyle name="STYLE5 2" xfId="4135"/>
    <cellStyle name="STYLE6" xfId="4136"/>
    <cellStyle name="STYLE6 2" xfId="4137"/>
    <cellStyle name="STYLE7" xfId="4138"/>
    <cellStyle name="STYLE7 2" xfId="4139"/>
    <cellStyle name="STYLE8" xfId="4140"/>
    <cellStyle name="STYLE8 2" xfId="4141"/>
    <cellStyle name="STYLE9" xfId="4142"/>
    <cellStyle name="STYLE9 2" xfId="4143"/>
    <cellStyle name="Sum" xfId="306"/>
    <cellStyle name="Summary to GL" xfId="307"/>
    <cellStyle name="Summary to GL 2" xfId="4144"/>
    <cellStyle name="Summary to GL 2 2" xfId="4145"/>
    <cellStyle name="Summary to GL 3" xfId="4146"/>
    <cellStyle name="Summary to GL 4" xfId="4147"/>
    <cellStyle name="Tag" xfId="4148"/>
    <cellStyle name="Texto de advertencia" xfId="308"/>
    <cellStyle name="Texto de advertencia 10" xfId="4149"/>
    <cellStyle name="Texto de advertencia 11" xfId="4150"/>
    <cellStyle name="Texto de advertencia 12" xfId="4151"/>
    <cellStyle name="Texto de advertencia 13" xfId="4152"/>
    <cellStyle name="Texto de advertencia 14" xfId="4153"/>
    <cellStyle name="Texto de advertencia 15" xfId="4365"/>
    <cellStyle name="Texto de advertencia 2" xfId="4154"/>
    <cellStyle name="Texto de advertencia 2 2" xfId="4155"/>
    <cellStyle name="Texto de advertencia 3" xfId="4156"/>
    <cellStyle name="Texto de advertencia 3 2" xfId="4157"/>
    <cellStyle name="Texto de advertencia 4" xfId="4158"/>
    <cellStyle name="Texto de advertencia 5" xfId="4159"/>
    <cellStyle name="Texto de advertencia 6" xfId="4160"/>
    <cellStyle name="Texto de advertencia 7" xfId="4161"/>
    <cellStyle name="Texto de advertencia 8" xfId="4162"/>
    <cellStyle name="Texto de advertencia 9" xfId="4163"/>
    <cellStyle name="Texto de Aviso" xfId="4164"/>
    <cellStyle name="Texto explicativo" xfId="309"/>
    <cellStyle name="Texto explicativo 10" xfId="4166"/>
    <cellStyle name="Texto explicativo 11" xfId="4167"/>
    <cellStyle name="Texto explicativo 12" xfId="4168"/>
    <cellStyle name="Texto explicativo 13" xfId="4169"/>
    <cellStyle name="Texto explicativo 14" xfId="4170"/>
    <cellStyle name="Texto explicativo 2" xfId="4171"/>
    <cellStyle name="Texto explicativo 2 2" xfId="4172"/>
    <cellStyle name="Texto explicativo 3" xfId="4173"/>
    <cellStyle name="Texto explicativo 3 2" xfId="4174"/>
    <cellStyle name="Texto explicativo 4" xfId="4175"/>
    <cellStyle name="Texto explicativo 5" xfId="4176"/>
    <cellStyle name="Texto explicativo 6" xfId="4177"/>
    <cellStyle name="Texto explicativo 7" xfId="4178"/>
    <cellStyle name="Texto explicativo 8" xfId="4179"/>
    <cellStyle name="Texto explicativo 9" xfId="4180"/>
    <cellStyle name="Title" xfId="329" builtinId="15" customBuiltin="1"/>
    <cellStyle name="Title 2" xfId="310"/>
    <cellStyle name="Title 2 2" xfId="311"/>
    <cellStyle name="Title 2 3" xfId="4421"/>
    <cellStyle name="Title 3" xfId="312"/>
    <cellStyle name="Title 4" xfId="4181"/>
    <cellStyle name="Título" xfId="313"/>
    <cellStyle name="Título 1" xfId="314"/>
    <cellStyle name="Título 1 10" xfId="4183"/>
    <cellStyle name="Título 1 11" xfId="4184"/>
    <cellStyle name="Título 1 12" xfId="4185"/>
    <cellStyle name="Título 1 13" xfId="4186"/>
    <cellStyle name="Título 1 14" xfId="4187"/>
    <cellStyle name="Título 1 2" xfId="4188"/>
    <cellStyle name="Título 1 2 2" xfId="4189"/>
    <cellStyle name="Título 1 3" xfId="4190"/>
    <cellStyle name="Título 1 3 2" xfId="4191"/>
    <cellStyle name="Título 1 4" xfId="4192"/>
    <cellStyle name="Título 1 5" xfId="4193"/>
    <cellStyle name="Título 1 6" xfId="4194"/>
    <cellStyle name="Título 1 7" xfId="4195"/>
    <cellStyle name="Título 1 8" xfId="4196"/>
    <cellStyle name="Título 1 9" xfId="4197"/>
    <cellStyle name="Título 10" xfId="4198"/>
    <cellStyle name="Título 11" xfId="4199"/>
    <cellStyle name="Título 12" xfId="4200"/>
    <cellStyle name="Título 13" xfId="4201"/>
    <cellStyle name="Título 14" xfId="4202"/>
    <cellStyle name="Título 15" xfId="4203"/>
    <cellStyle name="Título 16" xfId="4204"/>
    <cellStyle name="Título 17" xfId="4205"/>
    <cellStyle name="Título 18" xfId="4206"/>
    <cellStyle name="Título 19" xfId="4207"/>
    <cellStyle name="Título 2" xfId="315"/>
    <cellStyle name="Título 2 10" xfId="4209"/>
    <cellStyle name="Título 2 11" xfId="4210"/>
    <cellStyle name="Título 2 12" xfId="4211"/>
    <cellStyle name="Título 2 13" xfId="4212"/>
    <cellStyle name="Título 2 14" xfId="4213"/>
    <cellStyle name="Título 2 2" xfId="4214"/>
    <cellStyle name="Título 2 2 2" xfId="4215"/>
    <cellStyle name="Título 2 3" xfId="4216"/>
    <cellStyle name="Título 2 3 2" xfId="4217"/>
    <cellStyle name="Título 2 4" xfId="4218"/>
    <cellStyle name="Título 2 5" xfId="4219"/>
    <cellStyle name="Título 2 6" xfId="4220"/>
    <cellStyle name="Título 2 7" xfId="4221"/>
    <cellStyle name="Título 2 8" xfId="4222"/>
    <cellStyle name="Título 2 9" xfId="4223"/>
    <cellStyle name="Título 20" xfId="4224"/>
    <cellStyle name="Título 21" xfId="4225"/>
    <cellStyle name="Título 22" xfId="4226"/>
    <cellStyle name="Título 23" xfId="4227"/>
    <cellStyle name="Título 24" xfId="4228"/>
    <cellStyle name="Título 25" xfId="4229"/>
    <cellStyle name="Título 26" xfId="4230"/>
    <cellStyle name="Título 27" xfId="4231"/>
    <cellStyle name="Título 28" xfId="4232"/>
    <cellStyle name="Título 29" xfId="4233"/>
    <cellStyle name="Título 3" xfId="316"/>
    <cellStyle name="Título 3 10" xfId="4235"/>
    <cellStyle name="Título 3 11" xfId="4236"/>
    <cellStyle name="Título 3 12" xfId="4237"/>
    <cellStyle name="Título 3 13" xfId="4238"/>
    <cellStyle name="Título 3 14" xfId="4239"/>
    <cellStyle name="Título 3 2" xfId="4240"/>
    <cellStyle name="Título 3 2 2" xfId="4241"/>
    <cellStyle name="Título 3 3" xfId="4242"/>
    <cellStyle name="Título 3 3 2" xfId="4243"/>
    <cellStyle name="Título 3 4" xfId="4244"/>
    <cellStyle name="Título 3 5" xfId="4245"/>
    <cellStyle name="Título 3 6" xfId="4246"/>
    <cellStyle name="Título 3 7" xfId="4247"/>
    <cellStyle name="Título 3 8" xfId="4248"/>
    <cellStyle name="Título 3 9" xfId="4249"/>
    <cellStyle name="Título 30" xfId="4250"/>
    <cellStyle name="Título 31" xfId="4251"/>
    <cellStyle name="Título 32" xfId="4252"/>
    <cellStyle name="Título 33" xfId="4253"/>
    <cellStyle name="Título 34" xfId="4254"/>
    <cellStyle name="Título 35" xfId="4255"/>
    <cellStyle name="Título 36" xfId="4256"/>
    <cellStyle name="Título 37" xfId="4257"/>
    <cellStyle name="Título 38" xfId="4258"/>
    <cellStyle name="Título 39" xfId="4259"/>
    <cellStyle name="Título 4" xfId="4260"/>
    <cellStyle name="Título 4 2" xfId="4261"/>
    <cellStyle name="Título 40" xfId="4262"/>
    <cellStyle name="Título 41" xfId="4263"/>
    <cellStyle name="Título 42" xfId="4264"/>
    <cellStyle name="Título 43" xfId="4265"/>
    <cellStyle name="Título 44" xfId="4266"/>
    <cellStyle name="Título 45" xfId="4267"/>
    <cellStyle name="Título 5" xfId="4268"/>
    <cellStyle name="Título 6" xfId="4269"/>
    <cellStyle name="Título 7" xfId="4270"/>
    <cellStyle name="Título 8" xfId="4271"/>
    <cellStyle name="Título 9" xfId="4272"/>
    <cellStyle name="Total" xfId="344" builtinId="25" customBuiltin="1"/>
    <cellStyle name="Total 10" xfId="4273"/>
    <cellStyle name="Total 11" xfId="4274"/>
    <cellStyle name="total 11 2" xfId="4275"/>
    <cellStyle name="Total 12" xfId="4276"/>
    <cellStyle name="total 12 2" xfId="4277"/>
    <cellStyle name="Total 13" xfId="4278"/>
    <cellStyle name="total 13 2" xfId="4279"/>
    <cellStyle name="Total 14" xfId="4280"/>
    <cellStyle name="total 14 2" xfId="4281"/>
    <cellStyle name="total 15" xfId="4282"/>
    <cellStyle name="total 16" xfId="4283"/>
    <cellStyle name="total 17" xfId="4284"/>
    <cellStyle name="total 18" xfId="4285"/>
    <cellStyle name="total 19" xfId="4286"/>
    <cellStyle name="Total 2" xfId="317"/>
    <cellStyle name="Total 2 2" xfId="318"/>
    <cellStyle name="Total 2 2 10" xfId="4288"/>
    <cellStyle name="Total 2 2 11" xfId="4489"/>
    <cellStyle name="Total 2 2 12" xfId="4287"/>
    <cellStyle name="total 2 2 2" xfId="4289"/>
    <cellStyle name="Total 2 2 3" xfId="4290"/>
    <cellStyle name="Total 2 2 4" xfId="4291"/>
    <cellStyle name="Total 2 2 5" xfId="4292"/>
    <cellStyle name="Total 2 2 6" xfId="4293"/>
    <cellStyle name="Total 2 2 7" xfId="4294"/>
    <cellStyle name="Total 2 2 8" xfId="4295"/>
    <cellStyle name="Total 2 2 9" xfId="4296"/>
    <cellStyle name="Total 2 3" xfId="4297"/>
    <cellStyle name="total 2 4" xfId="4298"/>
    <cellStyle name="Total 2 5" xfId="4436"/>
    <cellStyle name="Total 2 6" xfId="4491"/>
    <cellStyle name="total 2_1.400 Inversiones Oper ITAÚ" xfId="4299"/>
    <cellStyle name="total 20" xfId="4300"/>
    <cellStyle name="total 21" xfId="4301"/>
    <cellStyle name="total 22" xfId="4302"/>
    <cellStyle name="total 23" xfId="4303"/>
    <cellStyle name="total 24" xfId="4304"/>
    <cellStyle name="total 25" xfId="4305"/>
    <cellStyle name="total 26" xfId="4306"/>
    <cellStyle name="total 27" xfId="4307"/>
    <cellStyle name="total 28" xfId="4308"/>
    <cellStyle name="total 29" xfId="4309"/>
    <cellStyle name="Total 3" xfId="319"/>
    <cellStyle name="Total 3 2" xfId="4310"/>
    <cellStyle name="total 30" xfId="4311"/>
    <cellStyle name="total 31" xfId="4312"/>
    <cellStyle name="total 32" xfId="4313"/>
    <cellStyle name="total 33" xfId="4314"/>
    <cellStyle name="total 34" xfId="4315"/>
    <cellStyle name="total 35" xfId="4316"/>
    <cellStyle name="total 36" xfId="4317"/>
    <cellStyle name="total 37" xfId="4318"/>
    <cellStyle name="total 38" xfId="4319"/>
    <cellStyle name="total 39" xfId="4320"/>
    <cellStyle name="Total 4" xfId="4321"/>
    <cellStyle name="Total 4 2" xfId="4322"/>
    <cellStyle name="total 40" xfId="4323"/>
    <cellStyle name="total 41" xfId="4324"/>
    <cellStyle name="total 42" xfId="4325"/>
    <cellStyle name="total 43" xfId="4326"/>
    <cellStyle name="total 44" xfId="4327"/>
    <cellStyle name="total 45" xfId="4328"/>
    <cellStyle name="total 46" xfId="4329"/>
    <cellStyle name="Total 5" xfId="4330"/>
    <cellStyle name="Total 5 2" xfId="4331"/>
    <cellStyle name="Total 6" xfId="4332"/>
    <cellStyle name="Total 6 2" xfId="4333"/>
    <cellStyle name="Total 7" xfId="4334"/>
    <cellStyle name="Total 7 2" xfId="4335"/>
    <cellStyle name="Total 8" xfId="4336"/>
    <cellStyle name="Total 8 2" xfId="4337"/>
    <cellStyle name="Total 9" xfId="4338"/>
    <cellStyle name="Total 9 2" xfId="4339"/>
    <cellStyle name="Total1 - Style1" xfId="4340"/>
    <cellStyle name="Total1 - Style1 2" xfId="4341"/>
    <cellStyle name="Unit Price" xfId="320"/>
    <cellStyle name="Unit Price 2" xfId="4342"/>
    <cellStyle name="Unit Price 2 2" xfId="4343"/>
    <cellStyle name="Unit Price 3" xfId="4344"/>
    <cellStyle name="Unit Price 4" xfId="4345"/>
    <cellStyle name="Warning Text" xfId="342" builtinId="11" customBuiltin="1"/>
    <cellStyle name="Warning Text 2" xfId="321"/>
    <cellStyle name="Warning Text 2 2" xfId="322"/>
    <cellStyle name="Warning Text 2 2 2" xfId="4347"/>
    <cellStyle name="Warning Text 2 2 3" xfId="4348"/>
    <cellStyle name="Warning Text 2 2 4" xfId="4349"/>
    <cellStyle name="Warning Text 2 2 5" xfId="4350"/>
    <cellStyle name="Warning Text 2 2 6" xfId="4346"/>
    <cellStyle name="Warning Text 2 3" xfId="4351"/>
    <cellStyle name="Warning Text 2 4" xfId="4352"/>
    <cellStyle name="Warning Text 2 5" xfId="4353"/>
    <cellStyle name="Warning Text 2 6" xfId="4434"/>
    <cellStyle name="Warning Text 3" xfId="323"/>
    <cellStyle name="Warning Text 3 2" xfId="4354"/>
    <cellStyle name="Warning Text 3 3" xfId="4355"/>
    <cellStyle name="Warning Text 3 4" xfId="4356"/>
    <cellStyle name="Warning Text 3 5" xfId="4357"/>
    <cellStyle name="Warning Text 4" xfId="4358"/>
    <cellStyle name="Warning Text 5" xfId="4359"/>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charts/_rels/chart1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D909-4DB3-B3F2-965139BF6C81}"/>
            </c:ext>
          </c:extLst>
        </c:ser>
        <c:ser>
          <c:idx val="0"/>
          <c:order val="2"/>
          <c:tx>
            <c:v>Tpr: 1.91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0.99287000000000003</c:v>
                </c:pt>
                <c:pt idx="1">
                  <c:v>0.93786000000000003</c:v>
                </c:pt>
                <c:pt idx="2">
                  <c:v>0.92017000000000004</c:v>
                </c:pt>
                <c:pt idx="3">
                  <c:v>0.93423</c:v>
                </c:pt>
                <c:pt idx="4">
                  <c:v>0.97004000000000001</c:v>
                </c:pt>
                <c:pt idx="5">
                  <c:v>1.01922</c:v>
                </c:pt>
                <c:pt idx="6">
                  <c:v>1.0763499999999999</c:v>
                </c:pt>
                <c:pt idx="7">
                  <c:v>1.1382300000000001</c:v>
                </c:pt>
                <c:pt idx="8">
                  <c:v>1.2030099999999999</c:v>
                </c:pt>
                <c:pt idx="9">
                  <c:v>1.2695799999999999</c:v>
                </c:pt>
                <c:pt idx="10">
                  <c:v>1.33727</c:v>
                </c:pt>
                <c:pt idx="11">
                  <c:v>1.4056500000000001</c:v>
                </c:pt>
                <c:pt idx="12">
                  <c:v>1.47445</c:v>
                </c:pt>
                <c:pt idx="13">
                  <c:v>1.54349</c:v>
                </c:pt>
                <c:pt idx="14">
                  <c:v>1.61266</c:v>
                </c:pt>
                <c:pt idx="15">
                  <c:v>1.68187</c:v>
                </c:pt>
                <c:pt idx="16">
                  <c:v>1.7510699999999999</c:v>
                </c:pt>
                <c:pt idx="17">
                  <c:v>1.8202199999999999</c:v>
                </c:pt>
                <c:pt idx="18">
                  <c:v>1.88931</c:v>
                </c:pt>
                <c:pt idx="19">
                  <c:v>1.9582999999999999</c:v>
                </c:pt>
              </c:numCache>
            </c:numRef>
          </c:yVal>
          <c:smooth val="1"/>
        </c:ser>
        <c:ser>
          <c:idx val="3"/>
          <c:order val="3"/>
          <c:tx>
            <c:v>Tpr: 2.07</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0.99495999999999996</c:v>
                </c:pt>
                <c:pt idx="1">
                  <c:v>0.95823999999999998</c:v>
                </c:pt>
                <c:pt idx="2">
                  <c:v>0.95</c:v>
                </c:pt>
                <c:pt idx="3">
                  <c:v>0.96531999999999996</c:v>
                </c:pt>
                <c:pt idx="4">
                  <c:v>0.99741000000000002</c:v>
                </c:pt>
                <c:pt idx="5">
                  <c:v>1.0405599999999999</c:v>
                </c:pt>
                <c:pt idx="6">
                  <c:v>1.0907899999999999</c:v>
                </c:pt>
                <c:pt idx="7">
                  <c:v>1.1455599999999999</c:v>
                </c:pt>
                <c:pt idx="8">
                  <c:v>1.2032700000000001</c:v>
                </c:pt>
                <c:pt idx="9">
                  <c:v>1.26292</c:v>
                </c:pt>
                <c:pt idx="10">
                  <c:v>1.32386</c:v>
                </c:pt>
                <c:pt idx="11">
                  <c:v>1.38565</c:v>
                </c:pt>
                <c:pt idx="12">
                  <c:v>1.4480200000000001</c:v>
                </c:pt>
                <c:pt idx="13">
                  <c:v>1.51078</c:v>
                </c:pt>
                <c:pt idx="14">
                  <c:v>1.57378</c:v>
                </c:pt>
                <c:pt idx="15">
                  <c:v>1.63693</c:v>
                </c:pt>
                <c:pt idx="16">
                  <c:v>1.7001599999999999</c:v>
                </c:pt>
                <c:pt idx="17">
                  <c:v>1.7634399999999999</c:v>
                </c:pt>
                <c:pt idx="18">
                  <c:v>1.8267100000000001</c:v>
                </c:pt>
                <c:pt idx="19">
                  <c:v>1.8899600000000001</c:v>
                </c:pt>
              </c:numCache>
            </c:numRef>
          </c:yVal>
          <c:smooth val="1"/>
        </c:ser>
        <c:dLbls>
          <c:showLegendKey val="0"/>
          <c:showVal val="0"/>
          <c:showCatName val="0"/>
          <c:showSerName val="0"/>
          <c:showPercent val="0"/>
          <c:showBubbleSize val="0"/>
        </c:dLbls>
        <c:axId val="772124368"/>
        <c:axId val="772109680"/>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D909-4DB3-B3F2-965139BF6C81}"/>
            </c:ext>
          </c:extLst>
        </c:ser>
        <c:dLbls>
          <c:showLegendKey val="0"/>
          <c:showVal val="0"/>
          <c:showCatName val="0"/>
          <c:showSerName val="0"/>
          <c:showPercent val="0"/>
          <c:showBubbleSize val="0"/>
        </c:dLbls>
        <c:axId val="772118384"/>
        <c:axId val="772122192"/>
      </c:scatterChart>
      <c:valAx>
        <c:axId val="77212436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09680"/>
        <c:crossesAt val="0"/>
        <c:crossBetween val="midCat"/>
      </c:valAx>
      <c:valAx>
        <c:axId val="772109680"/>
        <c:scaling>
          <c:orientation val="minMax"/>
          <c:max val="1.9582999999999999"/>
          <c:min val="0.92017000000000004"/>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4368"/>
        <c:crossesAt val="0"/>
        <c:crossBetween val="midCat"/>
      </c:valAx>
      <c:valAx>
        <c:axId val="772122192"/>
        <c:scaling>
          <c:orientation val="minMax"/>
          <c:max val="1.9582999999999999"/>
          <c:min val="0.92017000000000004"/>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772118384"/>
        <c:crosses val="max"/>
        <c:crossBetween val="midCat"/>
      </c:valAx>
      <c:valAx>
        <c:axId val="77211838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2192"/>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Viscosity, cp</a:t>
            </a:r>
          </a:p>
        </c:rich>
      </c:tx>
      <c:layout>
        <c:manualLayout>
          <c:xMode val="edge"/>
          <c:yMode val="edge"/>
          <c:x val="0.40724885844748854"/>
          <c:y val="0"/>
        </c:manualLayout>
      </c:layout>
      <c:overlay val="0"/>
    </c:title>
    <c:autoTitleDeleted val="0"/>
    <c:plotArea>
      <c:layout>
        <c:manualLayout>
          <c:layoutTarget val="inner"/>
          <c:xMode val="edge"/>
          <c:yMode val="edge"/>
          <c:x val="9.3391385972586768E-2"/>
          <c:y val="0.13119985001874765"/>
          <c:w val="0.82189778361038213"/>
          <c:h val="0.73532464691913513"/>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2862-4407-A3A5-1C829F3F38F7}"/>
            </c:ext>
          </c:extLst>
        </c:ser>
        <c:ser>
          <c:idx val="0"/>
          <c:order val="2"/>
          <c:tx>
            <c:v>Tpr: 1.91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Properties'!$AQ$10:$AQ$29</c:f>
              <c:numCache>
                <c:formatCode>0.0000;0;0</c:formatCode>
                <c:ptCount val="20"/>
                <c:pt idx="0">
                  <c:v>1.4338228691481882E-2</c:v>
                </c:pt>
                <c:pt idx="1">
                  <c:v>1.5635978579457054E-2</c:v>
                </c:pt>
                <c:pt idx="2">
                  <c:v>1.7778676950849923E-2</c:v>
                </c:pt>
                <c:pt idx="3">
                  <c:v>2.0471763987232282E-2</c:v>
                </c:pt>
                <c:pt idx="4">
                  <c:v>2.3466909328889191E-2</c:v>
                </c:pt>
                <c:pt idx="5">
                  <c:v>2.6588730314624998E-2</c:v>
                </c:pt>
                <c:pt idx="6">
                  <c:v>2.9735647092798936E-2</c:v>
                </c:pt>
                <c:pt idx="7">
                  <c:v>3.2853636666607282E-2</c:v>
                </c:pt>
                <c:pt idx="8">
                  <c:v>3.5914346358496739E-2</c:v>
                </c:pt>
                <c:pt idx="9">
                  <c:v>3.8903896870225656E-2</c:v>
                </c:pt>
                <c:pt idx="10">
                  <c:v>4.1815593773367021E-2</c:v>
                </c:pt>
                <c:pt idx="11">
                  <c:v>4.4647557251540293E-2</c:v>
                </c:pt>
                <c:pt idx="12">
                  <c:v>4.7399706034694698E-2</c:v>
                </c:pt>
                <c:pt idx="13">
                  <c:v>5.0073481129926913E-2</c:v>
                </c:pt>
                <c:pt idx="14">
                  <c:v>5.2670465677422541E-2</c:v>
                </c:pt>
                <c:pt idx="15">
                  <c:v>5.5193644485191033E-2</c:v>
                </c:pt>
                <c:pt idx="16">
                  <c:v>5.7645342855151362E-2</c:v>
                </c:pt>
                <c:pt idx="17">
                  <c:v>6.0028566301873511E-2</c:v>
                </c:pt>
                <c:pt idx="18">
                  <c:v>6.2344976549901683E-2</c:v>
                </c:pt>
                <c:pt idx="19">
                  <c:v>6.4598682900116874E-2</c:v>
                </c:pt>
              </c:numCache>
            </c:numRef>
          </c:yVal>
          <c:smooth val="1"/>
        </c:ser>
        <c:ser>
          <c:idx val="3"/>
          <c:order val="3"/>
          <c:tx>
            <c:v>Tpr: 2.07</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Properties'!$AV$10:$AV$29</c:f>
              <c:numCache>
                <c:formatCode>0.0000;0;0</c:formatCode>
                <c:ptCount val="20"/>
                <c:pt idx="0">
                  <c:v>1.5428793451645734E-2</c:v>
                </c:pt>
                <c:pt idx="1">
                  <c:v>1.6531560784204959E-2</c:v>
                </c:pt>
                <c:pt idx="2">
                  <c:v>1.8315599354740142E-2</c:v>
                </c:pt>
                <c:pt idx="3">
                  <c:v>2.0540304185978173E-2</c:v>
                </c:pt>
                <c:pt idx="4">
                  <c:v>2.3034916875383549E-2</c:v>
                </c:pt>
                <c:pt idx="5">
                  <c:v>2.5673999479795748E-2</c:v>
                </c:pt>
                <c:pt idx="6">
                  <c:v>2.837608058525393E-2</c:v>
                </c:pt>
                <c:pt idx="7">
                  <c:v>3.1091128425236241E-2</c:v>
                </c:pt>
                <c:pt idx="8">
                  <c:v>3.3789224215671876E-2</c:v>
                </c:pt>
                <c:pt idx="9">
                  <c:v>3.6452179324553344E-2</c:v>
                </c:pt>
                <c:pt idx="10">
                  <c:v>3.9069310680878939E-2</c:v>
                </c:pt>
                <c:pt idx="11">
                  <c:v>4.1635095887970028E-2</c:v>
                </c:pt>
                <c:pt idx="12">
                  <c:v>4.41455690491988E-2</c:v>
                </c:pt>
                <c:pt idx="13">
                  <c:v>4.6598891874430913E-2</c:v>
                </c:pt>
                <c:pt idx="14">
                  <c:v>4.8995291071550991E-2</c:v>
                </c:pt>
                <c:pt idx="15">
                  <c:v>5.1334875561090947E-2</c:v>
                </c:pt>
                <c:pt idx="16">
                  <c:v>5.3618536518587452E-2</c:v>
                </c:pt>
                <c:pt idx="17">
                  <c:v>5.5846508469796323E-2</c:v>
                </c:pt>
                <c:pt idx="18">
                  <c:v>5.8021412672897496E-2</c:v>
                </c:pt>
                <c:pt idx="19">
                  <c:v>6.0143860643449121E-2</c:v>
                </c:pt>
              </c:numCache>
            </c:numRef>
          </c:yVal>
          <c:smooth val="1"/>
        </c:ser>
        <c:dLbls>
          <c:showLegendKey val="0"/>
          <c:showVal val="0"/>
          <c:showCatName val="0"/>
          <c:showSerName val="0"/>
          <c:showPercent val="0"/>
          <c:showBubbleSize val="0"/>
        </c:dLbls>
        <c:axId val="772121648"/>
        <c:axId val="772123280"/>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2862-4407-A3A5-1C829F3F38F7}"/>
            </c:ext>
          </c:extLst>
        </c:ser>
        <c:dLbls>
          <c:showLegendKey val="0"/>
          <c:showVal val="0"/>
          <c:showCatName val="0"/>
          <c:showSerName val="0"/>
          <c:showPercent val="0"/>
          <c:showBubbleSize val="0"/>
        </c:dLbls>
        <c:axId val="772125456"/>
        <c:axId val="772131440"/>
      </c:scatterChart>
      <c:valAx>
        <c:axId val="77212164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3280"/>
        <c:crossesAt val="0"/>
        <c:crossBetween val="midCat"/>
      </c:valAx>
      <c:valAx>
        <c:axId val="772123280"/>
        <c:scaling>
          <c:orientation val="minMax"/>
          <c:max val="6.4598682900116874E-2"/>
          <c:min val="1.4338228691481882E-2"/>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1648"/>
        <c:crossesAt val="0"/>
        <c:crossBetween val="midCat"/>
      </c:valAx>
      <c:valAx>
        <c:axId val="772131440"/>
        <c:scaling>
          <c:orientation val="minMax"/>
          <c:max val="6.4598682900116874E-2"/>
          <c:min val="1.4338228691481882E-2"/>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25456"/>
        <c:crosses val="max"/>
        <c:crossBetween val="midCat"/>
      </c:valAx>
      <c:valAx>
        <c:axId val="772125456"/>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3144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FVF (B</a:t>
            </a:r>
            <a:r>
              <a:rPr lang="es-BO" sz="1200" baseline="-25000">
                <a:solidFill>
                  <a:srgbClr val="0000FF"/>
                </a:solidFill>
              </a:rPr>
              <a:t>g</a:t>
            </a:r>
            <a:r>
              <a:rPr lang="es-BO" sz="1200">
                <a:solidFill>
                  <a:srgbClr val="0000FF"/>
                </a:solidFill>
              </a:rPr>
              <a:t>)</a:t>
            </a:r>
          </a:p>
        </c:rich>
      </c:tx>
      <c:layout>
        <c:manualLayout>
          <c:xMode val="edge"/>
          <c:yMode val="edge"/>
          <c:x val="0.40724885844748854"/>
          <c:y val="0"/>
        </c:manualLayout>
      </c:layout>
      <c:overlay val="0"/>
    </c:title>
    <c:autoTitleDeleted val="0"/>
    <c:plotArea>
      <c:layout>
        <c:manualLayout>
          <c:layoutTarget val="inner"/>
          <c:xMode val="edge"/>
          <c:yMode val="edge"/>
          <c:x val="8.4710830417031188E-2"/>
          <c:y val="0.13038120234970629"/>
          <c:w val="0.82479130212890051"/>
          <c:h val="0.74594738157730289"/>
        </c:manualLayout>
      </c:layout>
      <c:scatterChart>
        <c:scatterStyle val="smoothMarker"/>
        <c:varyColors val="0"/>
        <c:ser>
          <c:idx val="2"/>
          <c:order val="1"/>
          <c:tx>
            <c:v>Axis_2</c:v>
          </c:tx>
          <c:spPr>
            <a:ln w="9525">
              <a:noFill/>
            </a:ln>
          </c:spPr>
          <c:marker>
            <c:symbol val="circle"/>
            <c:size val="6"/>
            <c:spPr>
              <a:solidFill>
                <a:srgbClr val="FFC000"/>
              </a:solidFill>
              <a:ln>
                <a:solidFill>
                  <a:srgbClr val="C00000"/>
                </a:solidFill>
              </a:ln>
            </c:spPr>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0-8881-4F84-BC1E-D70DE6C4F137}"/>
            </c:ext>
          </c:extLst>
        </c:ser>
        <c:ser>
          <c:idx val="0"/>
          <c:order val="2"/>
          <c:tx>
            <c:v>Tpr: 1.91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0.19954991498572835</c:v>
                </c:pt>
                <c:pt idx="1">
                  <c:v>1.6428339975678032E-2</c:v>
                </c:pt>
                <c:pt idx="2">
                  <c:v>8.4264403285595358E-3</c:v>
                </c:pt>
                <c:pt idx="3">
                  <c:v>5.791422140754573E-3</c:v>
                </c:pt>
                <c:pt idx="4">
                  <c:v>4.5451180413530155E-3</c:v>
                </c:pt>
                <c:pt idx="5">
                  <c:v>3.8383353260130577E-3</c:v>
                </c:pt>
                <c:pt idx="6">
                  <c:v>3.3884845488608719E-3</c:v>
                </c:pt>
                <c:pt idx="7">
                  <c:v>3.0782793525226237E-3</c:v>
                </c:pt>
                <c:pt idx="8">
                  <c:v>2.8515850013614069E-3</c:v>
                </c:pt>
                <c:pt idx="9">
                  <c:v>2.6785148900335502E-3</c:v>
                </c:pt>
                <c:pt idx="10">
                  <c:v>2.5418627549308359E-3</c:v>
                </c:pt>
                <c:pt idx="11">
                  <c:v>2.431033736503373E-3</c:v>
                </c:pt>
                <c:pt idx="12">
                  <c:v>2.3391967676634927E-3</c:v>
                </c:pt>
                <c:pt idx="13">
                  <c:v>2.261737254461613E-3</c:v>
                </c:pt>
                <c:pt idx="14">
                  <c:v>2.1954454261379351E-3</c:v>
                </c:pt>
                <c:pt idx="15">
                  <c:v>2.1379874620905122E-3</c:v>
                </c:pt>
                <c:pt idx="16">
                  <c:v>2.0876584636479452E-3</c:v>
                </c:pt>
                <c:pt idx="17">
                  <c:v>2.0431601468992957E-3</c:v>
                </c:pt>
                <c:pt idx="18">
                  <c:v>2.0035163810223026E-3</c:v>
                </c:pt>
                <c:pt idx="19">
                  <c:v>1.9679242927903543E-3</c:v>
                </c:pt>
              </c:numCache>
            </c:numRef>
          </c:yVal>
          <c:smooth val="1"/>
        </c:ser>
        <c:ser>
          <c:idx val="3"/>
          <c:order val="3"/>
          <c:tx>
            <c:v>Tpr: 2.07</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0.21642743356430447</c:v>
                </c:pt>
                <c:pt idx="1">
                  <c:v>1.8166760621580839E-2</c:v>
                </c:pt>
                <c:pt idx="2">
                  <c:v>9.4155829673126627E-3</c:v>
                </c:pt>
                <c:pt idx="3">
                  <c:v>6.4766472919506237E-3</c:v>
                </c:pt>
                <c:pt idx="4">
                  <c:v>5.0579760846874442E-3</c:v>
                </c:pt>
                <c:pt idx="5">
                  <c:v>4.2412085937354451E-3</c:v>
                </c:pt>
                <c:pt idx="6">
                  <c:v>3.7165559222081877E-3</c:v>
                </c:pt>
                <c:pt idx="7">
                  <c:v>3.3530758036433564E-3</c:v>
                </c:pt>
                <c:pt idx="8">
                  <c:v>3.0869365500473078E-3</c:v>
                </c:pt>
                <c:pt idx="9">
                  <c:v>2.8837483781086332E-3</c:v>
                </c:pt>
                <c:pt idx="10">
                  <c:v>2.7234699368467053E-3</c:v>
                </c:pt>
                <c:pt idx="11">
                  <c:v>2.5936708708214477E-3</c:v>
                </c:pt>
                <c:pt idx="12">
                  <c:v>2.4863301439778745E-3</c:v>
                </c:pt>
                <c:pt idx="13">
                  <c:v>2.3960015134500256E-3</c:v>
                </c:pt>
                <c:pt idx="14">
                  <c:v>2.3188432045600006E-3</c:v>
                </c:pt>
                <c:pt idx="15">
                  <c:v>2.2521139864255359E-3</c:v>
                </c:pt>
                <c:pt idx="16">
                  <c:v>2.1937809795766422E-3</c:v>
                </c:pt>
                <c:pt idx="17">
                  <c:v>2.1423318482142358E-3</c:v>
                </c:pt>
                <c:pt idx="18">
                  <c:v>2.0965576564078076E-3</c:v>
                </c:pt>
                <c:pt idx="19">
                  <c:v>2.0555559637532809E-3</c:v>
                </c:pt>
              </c:numCache>
            </c:numRef>
          </c:yVal>
          <c:smooth val="1"/>
        </c:ser>
        <c:dLbls>
          <c:showLegendKey val="0"/>
          <c:showVal val="0"/>
          <c:showCatName val="0"/>
          <c:showSerName val="0"/>
          <c:showPercent val="0"/>
          <c:showBubbleSize val="0"/>
        </c:dLbls>
        <c:axId val="772126544"/>
        <c:axId val="772114032"/>
      </c:scatterChart>
      <c:scatterChart>
        <c:scatterStyle val="smoothMarker"/>
        <c:varyColors val="0"/>
        <c:ser>
          <c:idx val="1"/>
          <c:order val="0"/>
          <c:tx>
            <c:v>Axis_1</c:v>
          </c:tx>
          <c:spPr>
            <a:ln w="15875">
              <a:solidFill>
                <a:srgbClr val="0070C0"/>
              </a:solidFill>
            </a:ln>
          </c:spPr>
          <c:marker>
            <c:symbol val="none"/>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3-8881-4F84-BC1E-D70DE6C4F137}"/>
            </c:ext>
          </c:extLst>
        </c:ser>
        <c:dLbls>
          <c:showLegendKey val="0"/>
          <c:showVal val="0"/>
          <c:showCatName val="0"/>
          <c:showSerName val="0"/>
          <c:showPercent val="0"/>
          <c:showBubbleSize val="0"/>
        </c:dLbls>
        <c:axId val="772112400"/>
        <c:axId val="772126000"/>
      </c:scatterChart>
      <c:valAx>
        <c:axId val="772126544"/>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4032"/>
        <c:crossesAt val="0"/>
        <c:crossBetween val="midCat"/>
      </c:valAx>
      <c:valAx>
        <c:axId val="772114032"/>
        <c:scaling>
          <c:logBase val="10"/>
          <c:orientation val="minMax"/>
          <c:max val="1"/>
          <c:min val="1E-3"/>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6544"/>
        <c:crossesAt val="0"/>
        <c:crossBetween val="midCat"/>
      </c:valAx>
      <c:valAx>
        <c:axId val="772126000"/>
        <c:scaling>
          <c:logBase val="10"/>
          <c:orientation val="minMax"/>
          <c:max val="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12400"/>
        <c:crosses val="max"/>
        <c:crossBetween val="midCat"/>
      </c:valAx>
      <c:valAx>
        <c:axId val="77211240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600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Density, lbm/cf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038120234970629"/>
          <c:w val="0.84530568430719188"/>
          <c:h val="0.74594738157730289"/>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7083-4930-A3F2-7CFC6030FC03}"/>
            </c:ext>
          </c:extLst>
        </c:ser>
        <c:ser>
          <c:idx val="0"/>
          <c:order val="2"/>
          <c:tx>
            <c:v>Tpr: 1.91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Properties'!$AP$10:$AP$29</c:f>
              <c:numCache>
                <c:formatCode>0.0000;0;0</c:formatCode>
                <c:ptCount val="20"/>
                <c:pt idx="0">
                  <c:v>0.2488820122396839</c:v>
                </c:pt>
                <c:pt idx="1">
                  <c:v>3.0230920748799619</c:v>
                </c:pt>
                <c:pt idx="2">
                  <c:v>5.8938748092215851</c:v>
                </c:pt>
                <c:pt idx="3">
                  <c:v>8.5755075656486461</c:v>
                </c:pt>
                <c:pt idx="4">
                  <c:v>10.926973498167179</c:v>
                </c:pt>
                <c:pt idx="5">
                  <c:v>12.93904262280626</c:v>
                </c:pt>
                <c:pt idx="6">
                  <c:v>14.656812999369262</c:v>
                </c:pt>
                <c:pt idx="7">
                  <c:v>16.133813308141242</c:v>
                </c:pt>
                <c:pt idx="8">
                  <c:v>17.416413805022501</c:v>
                </c:pt>
                <c:pt idx="9">
                  <c:v>18.541761544317509</c:v>
                </c:pt>
                <c:pt idx="10">
                  <c:v>19.538578268069109</c:v>
                </c:pt>
                <c:pt idx="11">
                  <c:v>20.429327507128573</c:v>
                </c:pt>
                <c:pt idx="12">
                  <c:v>21.231383811081958</c:v>
                </c:pt>
                <c:pt idx="13">
                  <c:v>21.958511885470134</c:v>
                </c:pt>
                <c:pt idx="14">
                  <c:v>22.621552689320009</c:v>
                </c:pt>
                <c:pt idx="15">
                  <c:v>23.229502167119527</c:v>
                </c:pt>
                <c:pt idx="16">
                  <c:v>23.789515981039862</c:v>
                </c:pt>
                <c:pt idx="17">
                  <c:v>24.3076317141741</c:v>
                </c:pt>
                <c:pt idx="18">
                  <c:v>24.788609094658092</c:v>
                </c:pt>
                <c:pt idx="19">
                  <c:v>25.236938517327776</c:v>
                </c:pt>
              </c:numCache>
            </c:numRef>
          </c:yVal>
          <c:smooth val="1"/>
        </c:ser>
        <c:ser>
          <c:idx val="3"/>
          <c:order val="3"/>
          <c:tx>
            <c:v>Tpr: 2.07</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Properties'!$AU$10:$AU$29</c:f>
              <c:numCache>
                <c:formatCode>0.0000;0;0</c:formatCode>
                <c:ptCount val="20"/>
                <c:pt idx="0">
                  <c:v>0.22947360954197035</c:v>
                </c:pt>
                <c:pt idx="1">
                  <c:v>2.7338051851086824</c:v>
                </c:pt>
                <c:pt idx="2">
                  <c:v>5.2747009459023255</c:v>
                </c:pt>
                <c:pt idx="3">
                  <c:v>7.6682243366302121</c:v>
                </c:pt>
                <c:pt idx="4">
                  <c:v>9.8190231729762942</c:v>
                </c:pt>
                <c:pt idx="5">
                  <c:v>11.709960330002067</c:v>
                </c:pt>
                <c:pt idx="6">
                  <c:v>13.363012806329008</c:v>
                </c:pt>
                <c:pt idx="7">
                  <c:v>14.811590101822935</c:v>
                </c:pt>
                <c:pt idx="8">
                  <c:v>16.088566635146684</c:v>
                </c:pt>
                <c:pt idx="9">
                  <c:v>17.222162918555103</c:v>
                </c:pt>
                <c:pt idx="10">
                  <c:v>18.235701342607243</c:v>
                </c:pt>
                <c:pt idx="11">
                  <c:v>19.14829863057243</c:v>
                </c:pt>
                <c:pt idx="12">
                  <c:v>19.974975770694709</c:v>
                </c:pt>
                <c:pt idx="13">
                  <c:v>20.728027134003639</c:v>
                </c:pt>
                <c:pt idx="14">
                  <c:v>21.417741521393513</c:v>
                </c:pt>
                <c:pt idx="15">
                  <c:v>22.052340460231871</c:v>
                </c:pt>
                <c:pt idx="16">
                  <c:v>22.638715918436951</c:v>
                </c:pt>
                <c:pt idx="17">
                  <c:v>23.182395586988179</c:v>
                </c:pt>
                <c:pt idx="18">
                  <c:v>23.688537366055421</c:v>
                </c:pt>
                <c:pt idx="19">
                  <c:v>24.161047064475309</c:v>
                </c:pt>
              </c:numCache>
            </c:numRef>
          </c:yVal>
          <c:smooth val="1"/>
        </c:ser>
        <c:dLbls>
          <c:showLegendKey val="0"/>
          <c:showVal val="0"/>
          <c:showCatName val="0"/>
          <c:showSerName val="0"/>
          <c:showPercent val="0"/>
          <c:showBubbleSize val="0"/>
        </c:dLbls>
        <c:axId val="772115120"/>
        <c:axId val="212498896"/>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7083-4930-A3F2-7CFC6030FC03}"/>
            </c:ext>
          </c:extLst>
        </c:ser>
        <c:dLbls>
          <c:showLegendKey val="0"/>
          <c:showVal val="0"/>
          <c:showCatName val="0"/>
          <c:showSerName val="0"/>
          <c:showPercent val="0"/>
          <c:showBubbleSize val="0"/>
        </c:dLbls>
        <c:axId val="2084234960"/>
        <c:axId val="212505968"/>
      </c:scatterChart>
      <c:valAx>
        <c:axId val="7721151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12498896"/>
        <c:crossesAt val="0"/>
        <c:crossBetween val="midCat"/>
      </c:valAx>
      <c:valAx>
        <c:axId val="212498896"/>
        <c:scaling>
          <c:orientation val="minMax"/>
          <c:max val="25.236938517327776"/>
          <c:min val="0.22947360954197035"/>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5120"/>
        <c:crossesAt val="0"/>
        <c:crossBetween val="midCat"/>
      </c:valAx>
      <c:valAx>
        <c:axId val="212505968"/>
        <c:scaling>
          <c:orientation val="minMax"/>
          <c:max val="25.236938517327776"/>
          <c:min val="0.22947360954197035"/>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2084234960"/>
        <c:crosses val="max"/>
        <c:crossBetween val="midCat"/>
      </c:valAx>
      <c:valAx>
        <c:axId val="208423496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212505968"/>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Eg, scf/cf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C85C-47B1-9CBF-53574F155577}"/>
            </c:ext>
          </c:extLst>
        </c:ser>
        <c:ser>
          <c:idx val="0"/>
          <c:order val="2"/>
          <c:tx>
            <c:v>Tpr: 1.91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5.0112775045357409</c:v>
                </c:pt>
                <c:pt idx="1">
                  <c:v>60.870422786507248</c:v>
                </c:pt>
                <c:pt idx="2">
                  <c:v>118.67407363115402</c:v>
                </c:pt>
                <c:pt idx="3">
                  <c:v>172.66916064759675</c:v>
                </c:pt>
                <c:pt idx="4">
                  <c:v>220.01628800432971</c:v>
                </c:pt>
                <c:pt idx="5">
                  <c:v>260.52960855786318</c:v>
                </c:pt>
                <c:pt idx="6">
                  <c:v>295.11717866211791</c:v>
                </c:pt>
                <c:pt idx="7">
                  <c:v>324.8568065079956</c:v>
                </c:pt>
                <c:pt idx="8">
                  <c:v>350.68216431303256</c:v>
                </c:pt>
                <c:pt idx="9">
                  <c:v>373.34121371543853</c:v>
                </c:pt>
                <c:pt idx="10">
                  <c:v>393.41227139826833</c:v>
                </c:pt>
                <c:pt idx="11">
                  <c:v>411.34764400198299</c:v>
                </c:pt>
                <c:pt idx="12">
                  <c:v>427.49717074842329</c:v>
                </c:pt>
                <c:pt idx="13">
                  <c:v>442.13800609569097</c:v>
                </c:pt>
                <c:pt idx="14">
                  <c:v>455.4884344172134</c:v>
                </c:pt>
                <c:pt idx="15">
                  <c:v>467.72959043557984</c:v>
                </c:pt>
                <c:pt idx="16">
                  <c:v>479.0055545065614</c:v>
                </c:pt>
                <c:pt idx="17">
                  <c:v>489.43789429213473</c:v>
                </c:pt>
                <c:pt idx="18">
                  <c:v>499.12244764864153</c:v>
                </c:pt>
                <c:pt idx="19">
                  <c:v>508.1496293651025</c:v>
                </c:pt>
              </c:numCache>
            </c:numRef>
          </c:yVal>
          <c:smooth val="1"/>
        </c:ser>
        <c:ser>
          <c:idx val="3"/>
          <c:order val="3"/>
          <c:tx>
            <c:v>Tpr: 2.07</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4.6204863382205295</c:v>
                </c:pt>
                <c:pt idx="1">
                  <c:v>55.045586873207874</c:v>
                </c:pt>
                <c:pt idx="2">
                  <c:v>106.20691288809425</c:v>
                </c:pt>
                <c:pt idx="3">
                  <c:v>154.40087361910702</c:v>
                </c:pt>
                <c:pt idx="4">
                  <c:v>197.70753820434376</c:v>
                </c:pt>
                <c:pt idx="5">
                  <c:v>235.78184800367242</c:v>
                </c:pt>
                <c:pt idx="6">
                  <c:v>269.06631325645469</c:v>
                </c:pt>
                <c:pt idx="7">
                  <c:v>298.23363936879343</c:v>
                </c:pt>
                <c:pt idx="8">
                  <c:v>323.94575780466715</c:v>
                </c:pt>
                <c:pt idx="9">
                  <c:v>346.77089290844128</c:v>
                </c:pt>
                <c:pt idx="10">
                  <c:v>367.17864459257532</c:v>
                </c:pt>
                <c:pt idx="11">
                  <c:v>385.55393101333925</c:v>
                </c:pt>
                <c:pt idx="12">
                  <c:v>402.19920207382518</c:v>
                </c:pt>
                <c:pt idx="13">
                  <c:v>417.36200682114361</c:v>
                </c:pt>
                <c:pt idx="14">
                  <c:v>431.24951183999934</c:v>
                </c:pt>
                <c:pt idx="15">
                  <c:v>444.02725884543679</c:v>
                </c:pt>
                <c:pt idx="16">
                  <c:v>455.8340186689835</c:v>
                </c:pt>
                <c:pt idx="17">
                  <c:v>466.7810922166708</c:v>
                </c:pt>
                <c:pt idx="18">
                  <c:v>476.97233459983943</c:v>
                </c:pt>
                <c:pt idx="19">
                  <c:v>486.48638987871675</c:v>
                </c:pt>
              </c:numCache>
            </c:numRef>
          </c:yVal>
          <c:smooth val="1"/>
        </c:ser>
        <c:dLbls>
          <c:showLegendKey val="0"/>
          <c:showVal val="0"/>
          <c:showCatName val="0"/>
          <c:showSerName val="0"/>
          <c:showPercent val="0"/>
          <c:showBubbleSize val="0"/>
        </c:dLbls>
        <c:axId val="2095659920"/>
        <c:axId val="825164048"/>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C85C-47B1-9CBF-53574F155577}"/>
            </c:ext>
          </c:extLst>
        </c:ser>
        <c:dLbls>
          <c:showLegendKey val="0"/>
          <c:showVal val="0"/>
          <c:showCatName val="0"/>
          <c:showSerName val="0"/>
          <c:showPercent val="0"/>
          <c:showBubbleSize val="0"/>
        </c:dLbls>
        <c:axId val="825153168"/>
        <c:axId val="825135216"/>
      </c:scatterChart>
      <c:valAx>
        <c:axId val="20956599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048"/>
        <c:crossesAt val="0"/>
        <c:crossBetween val="midCat"/>
      </c:valAx>
      <c:valAx>
        <c:axId val="825164048"/>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095659920"/>
        <c:crossesAt val="0"/>
        <c:crossBetween val="midCat"/>
      </c:valAx>
      <c:valAx>
        <c:axId val="825135216"/>
        <c:scaling>
          <c:orientation val="minMax"/>
          <c:max val="6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825153168"/>
        <c:crosses val="max"/>
        <c:crossBetween val="midCat"/>
      </c:valAx>
      <c:valAx>
        <c:axId val="8251531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35216"/>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99A4-4F95-A43A-BF9DA9A60D16}"/>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99A4-4F95-A43A-BF9DA9A60D16}"/>
            </c:ext>
          </c:extLst>
        </c:ser>
        <c:ser>
          <c:idx val="3"/>
          <c:order val="3"/>
          <c:tx>
            <c:v>Tpr: 1.91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0.99287000000000003</c:v>
                </c:pt>
                <c:pt idx="1">
                  <c:v>0.93786000000000003</c:v>
                </c:pt>
                <c:pt idx="2">
                  <c:v>0.92017000000000004</c:v>
                </c:pt>
                <c:pt idx="3">
                  <c:v>0.93423</c:v>
                </c:pt>
                <c:pt idx="4">
                  <c:v>0.97004000000000001</c:v>
                </c:pt>
                <c:pt idx="5">
                  <c:v>1.01922</c:v>
                </c:pt>
                <c:pt idx="6">
                  <c:v>1.0763499999999999</c:v>
                </c:pt>
                <c:pt idx="7">
                  <c:v>1.1382300000000001</c:v>
                </c:pt>
                <c:pt idx="8">
                  <c:v>1.2030099999999999</c:v>
                </c:pt>
                <c:pt idx="9">
                  <c:v>1.2695799999999999</c:v>
                </c:pt>
                <c:pt idx="10">
                  <c:v>1.33727</c:v>
                </c:pt>
                <c:pt idx="11">
                  <c:v>1.4056500000000001</c:v>
                </c:pt>
                <c:pt idx="12">
                  <c:v>1.47445</c:v>
                </c:pt>
                <c:pt idx="13">
                  <c:v>1.54349</c:v>
                </c:pt>
                <c:pt idx="14">
                  <c:v>1.61266</c:v>
                </c:pt>
                <c:pt idx="15">
                  <c:v>1.68187</c:v>
                </c:pt>
                <c:pt idx="16">
                  <c:v>1.7510699999999999</c:v>
                </c:pt>
                <c:pt idx="17">
                  <c:v>1.8202199999999999</c:v>
                </c:pt>
                <c:pt idx="18">
                  <c:v>1.88931</c:v>
                </c:pt>
                <c:pt idx="19">
                  <c:v>1.9582999999999999</c:v>
                </c:pt>
              </c:numCache>
            </c:numRef>
          </c:yVal>
          <c:smooth val="1"/>
        </c:ser>
        <c:ser>
          <c:idx val="4"/>
          <c:order val="4"/>
          <c:tx>
            <c:v>Tpr: 2.07</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0.99495999999999996</c:v>
                </c:pt>
                <c:pt idx="1">
                  <c:v>0.95823999999999998</c:v>
                </c:pt>
                <c:pt idx="2">
                  <c:v>0.95</c:v>
                </c:pt>
                <c:pt idx="3">
                  <c:v>0.96531999999999996</c:v>
                </c:pt>
                <c:pt idx="4">
                  <c:v>0.99741000000000002</c:v>
                </c:pt>
                <c:pt idx="5">
                  <c:v>1.0405599999999999</c:v>
                </c:pt>
                <c:pt idx="6">
                  <c:v>1.0907899999999999</c:v>
                </c:pt>
                <c:pt idx="7">
                  <c:v>1.1455599999999999</c:v>
                </c:pt>
                <c:pt idx="8">
                  <c:v>1.2032700000000001</c:v>
                </c:pt>
                <c:pt idx="9">
                  <c:v>1.26292</c:v>
                </c:pt>
                <c:pt idx="10">
                  <c:v>1.32386</c:v>
                </c:pt>
                <c:pt idx="11">
                  <c:v>1.38565</c:v>
                </c:pt>
                <c:pt idx="12">
                  <c:v>1.4480200000000001</c:v>
                </c:pt>
                <c:pt idx="13">
                  <c:v>1.51078</c:v>
                </c:pt>
                <c:pt idx="14">
                  <c:v>1.57378</c:v>
                </c:pt>
                <c:pt idx="15">
                  <c:v>1.63693</c:v>
                </c:pt>
                <c:pt idx="16">
                  <c:v>1.7001599999999999</c:v>
                </c:pt>
                <c:pt idx="17">
                  <c:v>1.7634399999999999</c:v>
                </c:pt>
                <c:pt idx="18">
                  <c:v>1.8267100000000001</c:v>
                </c:pt>
                <c:pt idx="19">
                  <c:v>1.8899600000000001</c:v>
                </c:pt>
              </c:numCache>
            </c:numRef>
          </c:yVal>
          <c:smooth val="1"/>
        </c:ser>
        <c:dLbls>
          <c:showLegendKey val="0"/>
          <c:showVal val="0"/>
          <c:showCatName val="0"/>
          <c:showSerName val="0"/>
          <c:showPercent val="0"/>
          <c:showBubbleSize val="0"/>
        </c:dLbls>
        <c:axId val="825164592"/>
        <c:axId val="825160784"/>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Reservoir!$E$26</c:f>
              <c:numCache>
                <c:formatCode>_(* #,##0.000_);_(* \(#,##0.000\);_(* "-"??_);_(@_)</c:formatCode>
                <c:ptCount val="1"/>
                <c:pt idx="0">
                  <c:v>1.59843</c:v>
                </c:pt>
              </c:numCache>
            </c:numRef>
          </c:yVal>
          <c:smooth val="1"/>
          <c:extLst xmlns:c16r2="http://schemas.microsoft.com/office/drawing/2015/06/chart">
            <c:ext xmlns:c16="http://schemas.microsoft.com/office/drawing/2014/chart" uri="{C3380CC4-5D6E-409C-BE32-E72D297353CC}">
              <c16:uniqueId val="{00000004-99A4-4F95-A43A-BF9DA9A60D16}"/>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7829.660629921259</c:v>
                </c:pt>
              </c:numCache>
            </c:numRef>
          </c:xVal>
          <c:yVal>
            <c:numRef>
              <c:f>Reservoir!$D$26</c:f>
              <c:numCache>
                <c:formatCode>_(* #,##0.000_);_(* \(#,##0.000\);_(* "-"??_);_(@_)</c:formatCode>
                <c:ptCount val="1"/>
                <c:pt idx="0">
                  <c:v>1.16259</c:v>
                </c:pt>
              </c:numCache>
            </c:numRef>
          </c:yVal>
          <c:smooth val="1"/>
          <c:extLst xmlns:c16r2="http://schemas.microsoft.com/office/drawing/2015/06/chart">
            <c:ext xmlns:c16="http://schemas.microsoft.com/office/drawing/2014/chart" uri="{C3380CC4-5D6E-409C-BE32-E72D297353CC}">
              <c16:uniqueId val="{00000005-99A4-4F95-A43A-BF9DA9A60D16}"/>
            </c:ext>
          </c:extLst>
        </c:ser>
        <c:dLbls>
          <c:showLegendKey val="0"/>
          <c:showVal val="0"/>
          <c:showCatName val="0"/>
          <c:showSerName val="0"/>
          <c:showPercent val="0"/>
          <c:showBubbleSize val="0"/>
        </c:dLbls>
        <c:axId val="825139024"/>
        <c:axId val="825166224"/>
      </c:scatterChart>
      <c:valAx>
        <c:axId val="8251645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784"/>
        <c:crossesAt val="0"/>
        <c:crossBetween val="midCat"/>
      </c:valAx>
      <c:valAx>
        <c:axId val="825160784"/>
        <c:scaling>
          <c:orientation val="minMax"/>
          <c:max val="1.9582999999999999"/>
          <c:min val="0.92017000000000004"/>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592"/>
        <c:crossesAt val="0"/>
        <c:crossBetween val="midCat"/>
      </c:valAx>
      <c:valAx>
        <c:axId val="825166224"/>
        <c:scaling>
          <c:orientation val="minMax"/>
          <c:max val="1.9582999999999999"/>
          <c:min val="0.92017000000000004"/>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39024"/>
        <c:crosses val="max"/>
        <c:crossBetween val="midCat"/>
      </c:valAx>
      <c:valAx>
        <c:axId val="82513902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66224"/>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Expansion Factor (Eg), scf/cf</a:t>
            </a:r>
          </a:p>
        </c:rich>
      </c:tx>
      <c:layout>
        <c:manualLayout>
          <c:xMode val="edge"/>
          <c:yMode val="edge"/>
          <c:x val="0.40724885844748854"/>
          <c:y val="0"/>
        </c:manualLayout>
      </c:layout>
      <c:overlay val="0"/>
    </c:title>
    <c:autoTitleDeleted val="0"/>
    <c:plotArea>
      <c:layout>
        <c:manualLayout>
          <c:layoutTarget val="inner"/>
          <c:xMode val="edge"/>
          <c:yMode val="edge"/>
          <c:x val="9.9035901762279735E-2"/>
          <c:y val="9.1517436243308381E-2"/>
          <c:w val="0.80192819647544056"/>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D78C-415F-9956-E0C9D5B66C6E}"/>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D78C-415F-9956-E0C9D5B66C6E}"/>
            </c:ext>
          </c:extLst>
        </c:ser>
        <c:ser>
          <c:idx val="3"/>
          <c:order val="3"/>
          <c:tx>
            <c:v>Tpr: 1.91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5.0112775045357409</c:v>
                </c:pt>
                <c:pt idx="1">
                  <c:v>60.870422786507248</c:v>
                </c:pt>
                <c:pt idx="2">
                  <c:v>118.67407363115402</c:v>
                </c:pt>
                <c:pt idx="3">
                  <c:v>172.66916064759675</c:v>
                </c:pt>
                <c:pt idx="4">
                  <c:v>220.01628800432971</c:v>
                </c:pt>
                <c:pt idx="5">
                  <c:v>260.52960855786318</c:v>
                </c:pt>
                <c:pt idx="6">
                  <c:v>295.11717866211791</c:v>
                </c:pt>
                <c:pt idx="7">
                  <c:v>324.8568065079956</c:v>
                </c:pt>
                <c:pt idx="8">
                  <c:v>350.68216431303256</c:v>
                </c:pt>
                <c:pt idx="9">
                  <c:v>373.34121371543853</c:v>
                </c:pt>
                <c:pt idx="10">
                  <c:v>393.41227139826833</c:v>
                </c:pt>
                <c:pt idx="11">
                  <c:v>411.34764400198299</c:v>
                </c:pt>
                <c:pt idx="12">
                  <c:v>427.49717074842329</c:v>
                </c:pt>
                <c:pt idx="13">
                  <c:v>442.13800609569097</c:v>
                </c:pt>
                <c:pt idx="14">
                  <c:v>455.4884344172134</c:v>
                </c:pt>
                <c:pt idx="15">
                  <c:v>467.72959043557984</c:v>
                </c:pt>
                <c:pt idx="16">
                  <c:v>479.0055545065614</c:v>
                </c:pt>
                <c:pt idx="17">
                  <c:v>489.43789429213473</c:v>
                </c:pt>
                <c:pt idx="18">
                  <c:v>499.12244764864153</c:v>
                </c:pt>
                <c:pt idx="19">
                  <c:v>508.1496293651025</c:v>
                </c:pt>
              </c:numCache>
            </c:numRef>
          </c:yVal>
          <c:smooth val="1"/>
        </c:ser>
        <c:ser>
          <c:idx val="4"/>
          <c:order val="4"/>
          <c:tx>
            <c:v>Tpr: 2.07</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4.6204863382205295</c:v>
                </c:pt>
                <c:pt idx="1">
                  <c:v>55.045586873207874</c:v>
                </c:pt>
                <c:pt idx="2">
                  <c:v>106.20691288809425</c:v>
                </c:pt>
                <c:pt idx="3">
                  <c:v>154.40087361910702</c:v>
                </c:pt>
                <c:pt idx="4">
                  <c:v>197.70753820434376</c:v>
                </c:pt>
                <c:pt idx="5">
                  <c:v>235.78184800367242</c:v>
                </c:pt>
                <c:pt idx="6">
                  <c:v>269.06631325645469</c:v>
                </c:pt>
                <c:pt idx="7">
                  <c:v>298.23363936879343</c:v>
                </c:pt>
                <c:pt idx="8">
                  <c:v>323.94575780466715</c:v>
                </c:pt>
                <c:pt idx="9">
                  <c:v>346.77089290844128</c:v>
                </c:pt>
                <c:pt idx="10">
                  <c:v>367.17864459257532</c:v>
                </c:pt>
                <c:pt idx="11">
                  <c:v>385.55393101333925</c:v>
                </c:pt>
                <c:pt idx="12">
                  <c:v>402.19920207382518</c:v>
                </c:pt>
                <c:pt idx="13">
                  <c:v>417.36200682114361</c:v>
                </c:pt>
                <c:pt idx="14">
                  <c:v>431.24951183999934</c:v>
                </c:pt>
                <c:pt idx="15">
                  <c:v>444.02725884543679</c:v>
                </c:pt>
                <c:pt idx="16">
                  <c:v>455.8340186689835</c:v>
                </c:pt>
                <c:pt idx="17">
                  <c:v>466.7810922166708</c:v>
                </c:pt>
                <c:pt idx="18">
                  <c:v>476.97233459983943</c:v>
                </c:pt>
                <c:pt idx="19">
                  <c:v>486.48638987871675</c:v>
                </c:pt>
              </c:numCache>
            </c:numRef>
          </c:yVal>
          <c:smooth val="1"/>
        </c:ser>
        <c:dLbls>
          <c:showLegendKey val="0"/>
          <c:showVal val="0"/>
          <c:showCatName val="0"/>
          <c:showSerName val="0"/>
          <c:showPercent val="0"/>
          <c:showBubbleSize val="0"/>
        </c:dLbls>
        <c:axId val="825160240"/>
        <c:axId val="825148816"/>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Reservoir!$E$28</c:f>
              <c:numCache>
                <c:formatCode>_(* #,##0.0_);_(* \(#,##0.0\);_(* "-"??_);_(@_)</c:formatCode>
                <c:ptCount val="1"/>
                <c:pt idx="0">
                  <c:v>436.36276529399424</c:v>
                </c:pt>
              </c:numCache>
            </c:numRef>
          </c:yVal>
          <c:smooth val="1"/>
          <c:extLst xmlns:c16r2="http://schemas.microsoft.com/office/drawing/2015/06/chart">
            <c:ext xmlns:c16="http://schemas.microsoft.com/office/drawing/2014/chart" uri="{C3380CC4-5D6E-409C-BE32-E72D297353CC}">
              <c16:uniqueId val="{00000004-D78C-415F-9956-E0C9D5B66C6E}"/>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7829.660629921259</c:v>
                </c:pt>
              </c:numCache>
            </c:numRef>
          </c:xVal>
          <c:yVal>
            <c:numRef>
              <c:f>Reservoir!$D$28</c:f>
              <c:numCache>
                <c:formatCode>_(* #,##0.0_);_(* \(#,##0.0\);_(* "-"??_);_(@_)</c:formatCode>
                <c:ptCount val="1"/>
                <c:pt idx="0">
                  <c:v>335.08670476530557</c:v>
                </c:pt>
              </c:numCache>
            </c:numRef>
          </c:yVal>
          <c:smooth val="1"/>
          <c:extLst xmlns:c16r2="http://schemas.microsoft.com/office/drawing/2015/06/chart">
            <c:ext xmlns:c16="http://schemas.microsoft.com/office/drawing/2014/chart" uri="{C3380CC4-5D6E-409C-BE32-E72D297353CC}">
              <c16:uniqueId val="{00000005-D78C-415F-9956-E0C9D5B66C6E}"/>
            </c:ext>
          </c:extLst>
        </c:ser>
        <c:dLbls>
          <c:showLegendKey val="0"/>
          <c:showVal val="0"/>
          <c:showCatName val="0"/>
          <c:showSerName val="0"/>
          <c:showPercent val="0"/>
          <c:showBubbleSize val="0"/>
        </c:dLbls>
        <c:axId val="825161328"/>
        <c:axId val="825154256"/>
      </c:scatterChart>
      <c:valAx>
        <c:axId val="82516024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48816"/>
        <c:crossesAt val="0"/>
        <c:crossBetween val="midCat"/>
      </c:valAx>
      <c:valAx>
        <c:axId val="82514881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240"/>
        <c:crossesAt val="0"/>
        <c:crossBetween val="midCat"/>
      </c:valAx>
      <c:valAx>
        <c:axId val="825154256"/>
        <c:scaling>
          <c:orientation val="minMax"/>
          <c:max val="600"/>
          <c:min val="0"/>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61328"/>
        <c:crosses val="max"/>
        <c:crossBetween val="midCat"/>
      </c:valAx>
      <c:valAx>
        <c:axId val="82516132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4256"/>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Bg, cf/scf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1720-4250-A5F1-7C166A19AFFA}"/>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1720-4250-A5F1-7C166A19AFFA}"/>
            </c:ext>
          </c:extLst>
        </c:ser>
        <c:ser>
          <c:idx val="3"/>
          <c:order val="3"/>
          <c:tx>
            <c:v>Tpr: 1.91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0.19954991498572835</c:v>
                </c:pt>
                <c:pt idx="1">
                  <c:v>1.6428339975678032E-2</c:v>
                </c:pt>
                <c:pt idx="2">
                  <c:v>8.4264403285595358E-3</c:v>
                </c:pt>
                <c:pt idx="3">
                  <c:v>5.791422140754573E-3</c:v>
                </c:pt>
                <c:pt idx="4">
                  <c:v>4.5451180413530155E-3</c:v>
                </c:pt>
                <c:pt idx="5">
                  <c:v>3.8383353260130577E-3</c:v>
                </c:pt>
                <c:pt idx="6">
                  <c:v>3.3884845488608719E-3</c:v>
                </c:pt>
                <c:pt idx="7">
                  <c:v>3.0782793525226237E-3</c:v>
                </c:pt>
                <c:pt idx="8">
                  <c:v>2.8515850013614069E-3</c:v>
                </c:pt>
                <c:pt idx="9">
                  <c:v>2.6785148900335502E-3</c:v>
                </c:pt>
                <c:pt idx="10">
                  <c:v>2.5418627549308359E-3</c:v>
                </c:pt>
                <c:pt idx="11">
                  <c:v>2.431033736503373E-3</c:v>
                </c:pt>
                <c:pt idx="12">
                  <c:v>2.3391967676634927E-3</c:v>
                </c:pt>
                <c:pt idx="13">
                  <c:v>2.261737254461613E-3</c:v>
                </c:pt>
                <c:pt idx="14">
                  <c:v>2.1954454261379351E-3</c:v>
                </c:pt>
                <c:pt idx="15">
                  <c:v>2.1379874620905122E-3</c:v>
                </c:pt>
                <c:pt idx="16">
                  <c:v>2.0876584636479452E-3</c:v>
                </c:pt>
                <c:pt idx="17">
                  <c:v>2.0431601468992957E-3</c:v>
                </c:pt>
                <c:pt idx="18">
                  <c:v>2.0035163810223026E-3</c:v>
                </c:pt>
                <c:pt idx="19">
                  <c:v>1.9679242927903543E-3</c:v>
                </c:pt>
              </c:numCache>
            </c:numRef>
          </c:yVal>
          <c:smooth val="1"/>
        </c:ser>
        <c:ser>
          <c:idx val="4"/>
          <c:order val="4"/>
          <c:tx>
            <c:v>Tpr: 2.07</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0.21642743356430447</c:v>
                </c:pt>
                <c:pt idx="1">
                  <c:v>1.8166760621580839E-2</c:v>
                </c:pt>
                <c:pt idx="2">
                  <c:v>9.4155829673126627E-3</c:v>
                </c:pt>
                <c:pt idx="3">
                  <c:v>6.4766472919506237E-3</c:v>
                </c:pt>
                <c:pt idx="4">
                  <c:v>5.0579760846874442E-3</c:v>
                </c:pt>
                <c:pt idx="5">
                  <c:v>4.2412085937354451E-3</c:v>
                </c:pt>
                <c:pt idx="6">
                  <c:v>3.7165559222081877E-3</c:v>
                </c:pt>
                <c:pt idx="7">
                  <c:v>3.3530758036433564E-3</c:v>
                </c:pt>
                <c:pt idx="8">
                  <c:v>3.0869365500473078E-3</c:v>
                </c:pt>
                <c:pt idx="9">
                  <c:v>2.8837483781086332E-3</c:v>
                </c:pt>
                <c:pt idx="10">
                  <c:v>2.7234699368467053E-3</c:v>
                </c:pt>
                <c:pt idx="11">
                  <c:v>2.5936708708214477E-3</c:v>
                </c:pt>
                <c:pt idx="12">
                  <c:v>2.4863301439778745E-3</c:v>
                </c:pt>
                <c:pt idx="13">
                  <c:v>2.3960015134500256E-3</c:v>
                </c:pt>
                <c:pt idx="14">
                  <c:v>2.3188432045600006E-3</c:v>
                </c:pt>
                <c:pt idx="15">
                  <c:v>2.2521139864255359E-3</c:v>
                </c:pt>
                <c:pt idx="16">
                  <c:v>2.1937809795766422E-3</c:v>
                </c:pt>
                <c:pt idx="17">
                  <c:v>2.1423318482142358E-3</c:v>
                </c:pt>
                <c:pt idx="18">
                  <c:v>2.0965576564078076E-3</c:v>
                </c:pt>
                <c:pt idx="19">
                  <c:v>2.0555559637532809E-3</c:v>
                </c:pt>
              </c:numCache>
            </c:numRef>
          </c:yVal>
          <c:smooth val="1"/>
        </c:ser>
        <c:dLbls>
          <c:showLegendKey val="0"/>
          <c:showVal val="0"/>
          <c:showCatName val="0"/>
          <c:showSerName val="0"/>
          <c:showPercent val="0"/>
          <c:showBubbleSize val="0"/>
        </c:dLbls>
        <c:axId val="825150992"/>
        <c:axId val="825165680"/>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Reservoir!$E$27</c:f>
              <c:numCache>
                <c:formatCode>_(* #,##0.00000_);_(* \(#,##0.00000\);_(* "-"??_);_(@_)</c:formatCode>
                <c:ptCount val="1"/>
                <c:pt idx="0">
                  <c:v>2.2916712413036935E-3</c:v>
                </c:pt>
              </c:numCache>
            </c:numRef>
          </c:yVal>
          <c:smooth val="1"/>
          <c:extLst xmlns:c16r2="http://schemas.microsoft.com/office/drawing/2015/06/chart">
            <c:ext xmlns:c16="http://schemas.microsoft.com/office/drawing/2014/chart" uri="{C3380CC4-5D6E-409C-BE32-E72D297353CC}">
              <c16:uniqueId val="{00000004-1720-4250-A5F1-7C166A19AFFA}"/>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7829.660629921259</c:v>
                </c:pt>
              </c:numCache>
            </c:numRef>
          </c:xVal>
          <c:yVal>
            <c:numRef>
              <c:f>Reservoir!$D$27</c:f>
              <c:numCache>
                <c:formatCode>_(* #,##0.00000_);_(* \(#,##0.00000\);_(* "-"??_);_(@_)</c:formatCode>
                <c:ptCount val="1"/>
                <c:pt idx="0">
                  <c:v>2.9843022291809493E-3</c:v>
                </c:pt>
              </c:numCache>
            </c:numRef>
          </c:yVal>
          <c:smooth val="1"/>
          <c:extLst xmlns:c16r2="http://schemas.microsoft.com/office/drawing/2015/06/chart">
            <c:ext xmlns:c16="http://schemas.microsoft.com/office/drawing/2014/chart" uri="{C3380CC4-5D6E-409C-BE32-E72D297353CC}">
              <c16:uniqueId val="{00000005-1720-4250-A5F1-7C166A19AFFA}"/>
            </c:ext>
          </c:extLst>
        </c:ser>
        <c:dLbls>
          <c:showLegendKey val="0"/>
          <c:showVal val="0"/>
          <c:showCatName val="0"/>
          <c:showSerName val="0"/>
          <c:showPercent val="0"/>
          <c:showBubbleSize val="0"/>
        </c:dLbls>
        <c:axId val="825139568"/>
        <c:axId val="825158608"/>
      </c:scatterChart>
      <c:valAx>
        <c:axId val="8251509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5680"/>
        <c:crossesAt val="0"/>
        <c:crossBetween val="midCat"/>
      </c:valAx>
      <c:valAx>
        <c:axId val="825165680"/>
        <c:scaling>
          <c:logBase val="10"/>
          <c:orientation val="minMax"/>
          <c:max val="0.1"/>
          <c:min val="1E-3"/>
        </c:scaling>
        <c:delete val="0"/>
        <c:axPos val="l"/>
        <c:majorGridlines>
          <c:spPr>
            <a:ln w="3175">
              <a:solidFill>
                <a:schemeClr val="bg1">
                  <a:lumMod val="95000"/>
                </a:schemeClr>
              </a:solidFill>
              <a:prstDash val="sysDash"/>
            </a:ln>
          </c:spPr>
        </c:majorGridlines>
        <c:minorGridlines>
          <c:spPr>
            <a:ln>
              <a:solidFill>
                <a:schemeClr val="bg1">
                  <a:lumMod val="95000"/>
                </a:schemeClr>
              </a:solidFill>
            </a:ln>
          </c:spPr>
        </c:min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50992"/>
        <c:crossesAt val="0"/>
        <c:crossBetween val="midCat"/>
      </c:valAx>
      <c:valAx>
        <c:axId val="825158608"/>
        <c:scaling>
          <c:logBase val="10"/>
          <c:orientation val="minMax"/>
          <c:max val="0.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825139568"/>
        <c:crosses val="max"/>
        <c:crossBetween val="midCat"/>
      </c:valAx>
      <c:valAx>
        <c:axId val="8251395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8608"/>
        <c:crosses val="max"/>
        <c:crossBetween val="midCat"/>
      </c:valAx>
      <c:spPr>
        <a:solidFill>
          <a:srgbClr val="FFFFFF"/>
        </a:solidFill>
        <a:ln w="25400">
          <a:noFill/>
        </a:ln>
      </c:spPr>
    </c:plotArea>
    <c:legend>
      <c:legendPos val="r"/>
      <c:legendEntry>
        <c:idx val="0"/>
        <c:delete val="1"/>
      </c:legendEntry>
      <c:layout>
        <c:manualLayout>
          <c:xMode val="edge"/>
          <c:yMode val="edge"/>
          <c:x val="0.67969734251968505"/>
          <c:y val="0.12638049276098554"/>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0.1310196685665338"/>
          <c:w val="0.80553996324229959"/>
          <c:h val="0.73974753155855522"/>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6354-4647-8C3D-F9C2D372BC94}"/>
            </c:ext>
          </c:extLst>
        </c:ser>
        <c:dLbls>
          <c:showLegendKey val="0"/>
          <c:showVal val="0"/>
          <c:showCatName val="0"/>
          <c:showSerName val="0"/>
          <c:showPercent val="0"/>
          <c:showBubbleSize val="0"/>
        </c:dLbls>
        <c:axId val="825151536"/>
        <c:axId val="82514718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numFmt formatCode="#,##0" sourceLinked="0"/>
            <c:spPr>
              <a:noFill/>
              <a:ln>
                <a:noFill/>
              </a:ln>
              <a:effectLst/>
            </c:spPr>
            <c:txPr>
              <a:bodyPr wrap="square" lIns="38100" tIns="19050" rIns="38100" bIns="19050" anchor="ctr">
                <a:spAutoFit/>
              </a:bodyPr>
              <a:lstStyle/>
              <a:p>
                <a:pPr>
                  <a:defRPr sz="900"/>
                </a:pPr>
                <a:endParaRPr lang="es-BO"/>
              </a:p>
            </c:txPr>
            <c:dLblPos val="t"/>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1-6354-4647-8C3D-F9C2D372BC94}"/>
            </c:ext>
          </c:extLst>
        </c:ser>
        <c:dLbls>
          <c:showLegendKey val="0"/>
          <c:showVal val="0"/>
          <c:showCatName val="0"/>
          <c:showSerName val="0"/>
          <c:showPercent val="0"/>
          <c:showBubbleSize val="0"/>
        </c:dLbls>
        <c:marker val="1"/>
        <c:smooth val="0"/>
        <c:axId val="825140112"/>
        <c:axId val="825149360"/>
      </c:lineChart>
      <c:catAx>
        <c:axId val="825151536"/>
        <c:scaling>
          <c:orientation val="minMax"/>
        </c:scaling>
        <c:delete val="0"/>
        <c:axPos val="b"/>
        <c:title>
          <c:tx>
            <c:rich>
              <a:bodyPr/>
              <a:lstStyle/>
              <a:p>
                <a:pPr>
                  <a:defRPr/>
                </a:pPr>
                <a:r>
                  <a:rPr lang="es-BO"/>
                  <a:t>Rock Volume, MM m</a:t>
                </a:r>
                <a:r>
                  <a:rPr lang="es-BO" baseline="30000"/>
                  <a:t>3</a:t>
                </a:r>
              </a:p>
            </c:rich>
          </c:tx>
          <c:layout>
            <c:manualLayout>
              <c:xMode val="edge"/>
              <c:yMode val="edge"/>
              <c:x val="0.64361082032376016"/>
              <c:y val="6.9801274840644953E-2"/>
            </c:manualLayout>
          </c:layout>
          <c:overlay val="0"/>
        </c:title>
        <c:numFmt formatCode="#,##0" sourceLinked="0"/>
        <c:majorTickMark val="out"/>
        <c:minorTickMark val="none"/>
        <c:tickLblPos val="nextTo"/>
        <c:spPr>
          <a:ln>
            <a:solidFill>
              <a:schemeClr val="tx1"/>
            </a:solidFill>
          </a:ln>
        </c:spPr>
        <c:txPr>
          <a:bodyPr/>
          <a:lstStyle/>
          <a:p>
            <a:pPr>
              <a:defRPr sz="800" b="0"/>
            </a:pPr>
            <a:endParaRPr lang="es-BO"/>
          </a:p>
        </c:txPr>
        <c:crossAx val="825147184"/>
        <c:crosses val="autoZero"/>
        <c:auto val="1"/>
        <c:lblAlgn val="ctr"/>
        <c:lblOffset val="50"/>
        <c:tickLblSkip val="5"/>
        <c:tickMarkSkip val="1"/>
        <c:noMultiLvlLbl val="0"/>
      </c:catAx>
      <c:valAx>
        <c:axId val="82514718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5151536"/>
        <c:crosses val="autoZero"/>
        <c:crossBetween val="between"/>
      </c:valAx>
      <c:valAx>
        <c:axId val="825149360"/>
        <c:scaling>
          <c:orientation val="minMax"/>
        </c:scaling>
        <c:delete val="0"/>
        <c:axPos val="r"/>
        <c:numFmt formatCode="#,##0.00000" sourceLinked="0"/>
        <c:majorTickMark val="out"/>
        <c:minorTickMark val="none"/>
        <c:tickLblPos val="nextTo"/>
        <c:spPr>
          <a:ln>
            <a:solidFill>
              <a:schemeClr val="tx1"/>
            </a:solidFill>
          </a:ln>
        </c:spPr>
        <c:txPr>
          <a:bodyPr/>
          <a:lstStyle/>
          <a:p>
            <a:pPr>
              <a:defRPr sz="800"/>
            </a:pPr>
            <a:endParaRPr lang="es-BO"/>
          </a:p>
        </c:txPr>
        <c:crossAx val="825140112"/>
        <c:crosses val="max"/>
        <c:crossBetween val="between"/>
      </c:valAx>
      <c:catAx>
        <c:axId val="825140112"/>
        <c:scaling>
          <c:orientation val="minMax"/>
        </c:scaling>
        <c:delete val="1"/>
        <c:axPos val="b"/>
        <c:numFmt formatCode="#,##0.00;\-0.00;&quot;--&quot;" sourceLinked="1"/>
        <c:majorTickMark val="out"/>
        <c:minorTickMark val="none"/>
        <c:tickLblPos val="nextTo"/>
        <c:crossAx val="825149360"/>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Statistics!$I$23:$I$141</c:f>
              <c:numCache>
                <c:formatCode>#,##0.0000000;\-0.0000000;"--"</c:formatCode>
                <c:ptCount val="119"/>
                <c:pt idx="0">
                  <c:v>6.067713628611413E-5</c:v>
                </c:pt>
                <c:pt idx="1">
                  <c:v>7.7431459106964138E-4</c:v>
                </c:pt>
                <c:pt idx="2">
                  <c:v>2.5578402855150131E-3</c:v>
                </c:pt>
                <c:pt idx="3">
                  <c:v>5.1043253859734848E-3</c:v>
                </c:pt>
                <c:pt idx="4">
                  <c:v>7.9251880214143214E-3</c:v>
                </c:pt>
                <c:pt idx="5">
                  <c:v>1.06440430333737E-2</c:v>
                </c:pt>
                <c:pt idx="6">
                  <c:v>1.3041009284164485E-2</c:v>
                </c:pt>
                <c:pt idx="7">
                  <c:v>1.5017822018111663E-2</c:v>
                </c:pt>
                <c:pt idx="8">
                  <c:v>1.6554086733937698E-2</c:v>
                </c:pt>
                <c:pt idx="9">
                  <c:v>1.7673412989047843E-2</c:v>
                </c:pt>
                <c:pt idx="10">
                  <c:v>1.8420995689163045E-2</c:v>
                </c:pt>
                <c:pt idx="11">
                  <c:v>1.8849993915021901E-2</c:v>
                </c:pt>
                <c:pt idx="12">
                  <c:v>1.901381631513718E-2</c:v>
                </c:pt>
                <c:pt idx="13">
                  <c:v>1.8962109900071831E-2</c:v>
                </c:pt>
                <c:pt idx="14">
                  <c:v>1.8738964482484737E-2</c:v>
                </c:pt>
                <c:pt idx="15">
                  <c:v>1.8382385525940251E-2</c:v>
                </c:pt>
                <c:pt idx="16">
                  <c:v>1.7924453754219097E-2</c:v>
                </c:pt>
                <c:pt idx="17">
                  <c:v>1.7391824415803996E-2</c:v>
                </c:pt>
                <c:pt idx="18">
                  <c:v>1.680636506530157E-2</c:v>
                </c:pt>
                <c:pt idx="19">
                  <c:v>1.6185819668710223E-2</c:v>
                </c:pt>
                <c:pt idx="20">
                  <c:v>1.5544440048526804E-2</c:v>
                </c:pt>
                <c:pt idx="21">
                  <c:v>1.4893556875145342E-2</c:v>
                </c:pt>
                <c:pt idx="22">
                  <c:v>1.4242080208640987E-2</c:v>
                </c:pt>
                <c:pt idx="23">
                  <c:v>1.3596929345677971E-2</c:v>
                </c:pt>
                <c:pt idx="24">
                  <c:v>1.2963396710796427E-2</c:v>
                </c:pt>
                <c:pt idx="25">
                  <c:v>1.2345452747221182E-2</c:v>
                </c:pt>
                <c:pt idx="26">
                  <c:v>1.1745999415815332E-2</c:v>
                </c:pt>
                <c:pt idx="27">
                  <c:v>1.1167079722849612E-2</c:v>
                </c:pt>
                <c:pt idx="28">
                  <c:v>1.0610050092754354E-2</c:v>
                </c:pt>
                <c:pt idx="29">
                  <c:v>1.0075721626124173E-2</c:v>
                </c:pt>
                <c:pt idx="30">
                  <c:v>9.5644754728362921E-3</c:v>
                </c:pt>
                <c:pt idx="31">
                  <c:v>9.0763567775265196E-3</c:v>
                </c:pt>
                <c:pt idx="32">
                  <c:v>8.6111509542480067E-3</c:v>
                </c:pt>
                <c:pt idx="33">
                  <c:v>8.1684454315878799E-3</c:v>
                </c:pt>
                <c:pt idx="34">
                  <c:v>7.7476794795248828E-3</c:v>
                </c:pt>
                <c:pt idx="35">
                  <c:v>7.3481842793789434E-3</c:v>
                </c:pt>
                <c:pt idx="36">
                  <c:v>6.9692150200337775E-3</c:v>
                </c:pt>
                <c:pt idx="37">
                  <c:v>6.6099764880468599E-3</c:v>
                </c:pt>
                <c:pt idx="38">
                  <c:v>6.2696433573137308E-3</c:v>
                </c:pt>
                <c:pt idx="39">
                  <c:v>5.9473761673551895E-3</c:v>
                </c:pt>
                <c:pt idx="40">
                  <c:v>5.6423338007023406E-3</c:v>
                </c:pt>
                <c:pt idx="41">
                  <c:v>5.3536831229022835E-3</c:v>
                </c:pt>
                <c:pt idx="42">
                  <c:v>5.0806063279350989E-3</c:v>
                </c:pt>
                <c:pt idx="43">
                  <c:v>4.8223064327472661E-3</c:v>
                </c:pt>
                <c:pt idx="44">
                  <c:v>4.5780112833515305E-3</c:v>
                </c:pt>
                <c:pt idx="45">
                  <c:v>4.346976368344661E-3</c:v>
                </c:pt>
                <c:pt idx="46">
                  <c:v>4.1284866811294226E-3</c:v>
                </c:pt>
                <c:pt idx="47">
                  <c:v>3.9218578274334481E-3</c:v>
                </c:pt>
                <c:pt idx="48">
                  <c:v>3.7264365381169252E-3</c:v>
                </c:pt>
                <c:pt idx="49">
                  <c:v>3.5416007172928573E-3</c:v>
                </c:pt>
                <c:pt idx="50">
                  <c:v>3.3667591312513414E-3</c:v>
                </c:pt>
                <c:pt idx="51">
                  <c:v>3.2013508236007986E-3</c:v>
                </c:pt>
                <c:pt idx="52">
                  <c:v>3.0448443256113223E-3</c:v>
                </c:pt>
                <c:pt idx="53">
                  <c:v>2.8967367173093491E-3</c:v>
                </c:pt>
                <c:pt idx="54">
                  <c:v>2.7565525838899067E-3</c:v>
                </c:pt>
                <c:pt idx="55">
                  <c:v>2.6238429030411041E-3</c:v>
                </c:pt>
                <c:pt idx="56">
                  <c:v>2.4981838914527286E-3</c:v>
                </c:pt>
                <c:pt idx="57">
                  <c:v>2.3791758328112209E-3</c:v>
                </c:pt>
                <c:pt idx="58">
                  <c:v>2.2664419047230995E-3</c:v>
                </c:pt>
                <c:pt idx="59">
                  <c:v>2.159627018058238E-3</c:v>
                </c:pt>
                <c:pt idx="60">
                  <c:v>2.0583966790005555E-3</c:v>
                </c:pt>
                <c:pt idx="61">
                  <c:v>1.9624358815015898E-3</c:v>
                </c:pt>
                <c:pt idx="62">
                  <c:v>1.8714480357413137E-3</c:v>
                </c:pt>
                <c:pt idx="63">
                  <c:v>1.7851539365212011E-3</c:v>
                </c:pt>
                <c:pt idx="64">
                  <c:v>1.7032907741706112E-3</c:v>
                </c:pt>
                <c:pt idx="65">
                  <c:v>1.6256111894792601E-3</c:v>
                </c:pt>
                <c:pt idx="66">
                  <c:v>1.5518823733247022E-3</c:v>
                </c:pt>
                <c:pt idx="67">
                  <c:v>1.4818852110033381E-3</c:v>
                </c:pt>
                <c:pt idx="68">
                  <c:v>1.4154134707620918E-3</c:v>
                </c:pt>
                <c:pt idx="69">
                  <c:v>1.3522730356382703E-3</c:v>
                </c:pt>
                <c:pt idx="70">
                  <c:v>1.2922811774231527E-3</c:v>
                </c:pt>
                <c:pt idx="71">
                  <c:v>1.2352658713528735E-3</c:v>
                </c:pt>
                <c:pt idx="72">
                  <c:v>1.1810651499817887E-3</c:v>
                </c:pt>
                <c:pt idx="73">
                  <c:v>1.1295264945961722E-3</c:v>
                </c:pt>
                <c:pt idx="74">
                  <c:v>1.080506262469911E-3</c:v>
                </c:pt>
                <c:pt idx="75">
                  <c:v>1.0338691482394205E-3</c:v>
                </c:pt>
                <c:pt idx="76">
                  <c:v>9.8948767767613401E-4</c:v>
                </c:pt>
                <c:pt idx="77">
                  <c:v>9.4724173215532804E-4</c:v>
                </c:pt>
                <c:pt idx="78">
                  <c:v>9.0701810215556308E-4</c:v>
                </c:pt>
                <c:pt idx="79">
                  <c:v>8.6871006816957293E-4</c:v>
                </c:pt>
                <c:pt idx="80">
                  <c:v>8.3221700746204357E-4</c:v>
                </c:pt>
                <c:pt idx="81">
                  <c:v>7.974440251700721E-4</c:v>
                </c:pt>
                <c:pt idx="82">
                  <c:v>7.6430160830620153E-4</c:v>
                </c:pt>
                <c:pt idx="83">
                  <c:v>7.3270530128980663E-4</c:v>
                </c:pt>
                <c:pt idx="84">
                  <c:v>7.0257540169988396E-4</c:v>
                </c:pt>
                <c:pt idx="85">
                  <c:v>6.7383667500903058E-4</c:v>
                </c:pt>
                <c:pt idx="86">
                  <c:v>6.4641808712450862E-4</c:v>
                </c:pt>
                <c:pt idx="87">
                  <c:v>6.2025255362696844E-4</c:v>
                </c:pt>
                <c:pt idx="88">
                  <c:v>5.9527670466022703E-4</c:v>
                </c:pt>
                <c:pt idx="89">
                  <c:v>5.714306644860332E-4</c:v>
                </c:pt>
                <c:pt idx="90">
                  <c:v>5.4865784477621743E-4</c:v>
                </c:pt>
                <c:pt idx="91">
                  <c:v>5.269047507701956E-4</c:v>
                </c:pt>
                <c:pt idx="92">
                  <c:v>5.0612079947908459E-4</c:v>
                </c:pt>
                <c:pt idx="93">
                  <c:v>4.862581491682093E-4</c:v>
                </c:pt>
                <c:pt idx="94">
                  <c:v>4.6727153939763317E-4</c:v>
                </c:pt>
                <c:pt idx="95">
                  <c:v>4.4911814094580291E-4</c:v>
                </c:pt>
                <c:pt idx="96">
                  <c:v>4.3175741498405066E-4</c:v>
                </c:pt>
                <c:pt idx="97">
                  <c:v>4.1515098091019918E-4</c:v>
                </c:pt>
                <c:pt idx="98">
                  <c:v>3.9926249228738859E-4</c:v>
                </c:pt>
                <c:pt idx="99">
                  <c:v>3.8405752036997913E-4</c:v>
                </c:pt>
                <c:pt idx="100">
                  <c:v>3.695034447319432E-4</c:v>
                </c:pt>
                <c:pt idx="101">
                  <c:v>3.5556935054456633E-4</c:v>
                </c:pt>
                <c:pt idx="102">
                  <c:v>3.4222593207980091E-4</c:v>
                </c:pt>
                <c:pt idx="103">
                  <c:v>3.2944540204319869E-4</c:v>
                </c:pt>
                <c:pt idx="104">
                  <c:v>3.1720140636623252E-4</c:v>
                </c:pt>
                <c:pt idx="105">
                  <c:v>3.0546894411200188E-4</c:v>
                </c:pt>
                <c:pt idx="106">
                  <c:v>2.9422429217089104E-4</c:v>
                </c:pt>
                <c:pt idx="107">
                  <c:v>2.8344493444396675E-4</c:v>
                </c:pt>
                <c:pt idx="108">
                  <c:v>2.7310949523159592E-4</c:v>
                </c:pt>
                <c:pt idx="109">
                  <c:v>2.6319767656325042E-4</c:v>
                </c:pt>
                <c:pt idx="110">
                  <c:v>2.5369019922170618E-4</c:v>
                </c:pt>
                <c:pt idx="111">
                  <c:v>2.4456874723092462E-4</c:v>
                </c:pt>
                <c:pt idx="112">
                  <c:v>2.3581591559194986E-4</c:v>
                </c:pt>
                <c:pt idx="113">
                  <c:v>2.2741516106517299E-4</c:v>
                </c:pt>
                <c:pt idx="114">
                  <c:v>2.1935075581040896E-4</c:v>
                </c:pt>
                <c:pt idx="115">
                  <c:v>2.1160774370847528E-4</c:v>
                </c:pt>
                <c:pt idx="116">
                  <c:v>2.0417189919933176E-4</c:v>
                </c:pt>
                <c:pt idx="117">
                  <c:v>1.9702968848253611E-4</c:v>
                </c:pt>
                <c:pt idx="118">
                  <c:v>1.9016823293566251E-4</c:v>
                </c:pt>
              </c:numCache>
            </c:numRef>
          </c:val>
          <c:extLst xmlns:c16r2="http://schemas.microsoft.com/office/drawing/2015/06/chart">
            <c:ext xmlns:c16="http://schemas.microsoft.com/office/drawing/2014/chart" uri="{C3380CC4-5D6E-409C-BE32-E72D297353CC}">
              <c16:uniqueId val="{00000000-1614-4EC5-90E6-B8966F3DBEFB}"/>
            </c:ext>
          </c:extLst>
        </c:ser>
        <c:dLbls>
          <c:showLegendKey val="0"/>
          <c:showVal val="0"/>
          <c:showCatName val="0"/>
          <c:showSerName val="0"/>
          <c:showPercent val="0"/>
          <c:showBubbleSize val="0"/>
        </c:dLbls>
        <c:axId val="825137936"/>
        <c:axId val="8251591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614-4EC5-90E6-B8966F3DBEFB}"/>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Statistics!$K$23:$K$141</c:f>
              <c:numCache>
                <c:formatCode>General</c:formatCode>
                <c:ptCount val="119"/>
                <c:pt idx="8">
                  <c:v>1.6554086733937698E-2</c:v>
                </c:pt>
                <c:pt idx="13">
                  <c:v>1.8962109900071831E-2</c:v>
                </c:pt>
                <c:pt idx="22">
                  <c:v>1.4242080208640987E-2</c:v>
                </c:pt>
                <c:pt idx="28">
                  <c:v>1.0610050092754354E-2</c:v>
                </c:pt>
                <c:pt idx="56">
                  <c:v>2.4981838914527286E-3</c:v>
                </c:pt>
              </c:numCache>
            </c:numRef>
          </c:val>
          <c:smooth val="0"/>
          <c:extLst xmlns:c16r2="http://schemas.microsoft.com/office/drawing/2015/06/chart">
            <c:ext xmlns:c16="http://schemas.microsoft.com/office/drawing/2014/chart" uri="{C3380CC4-5D6E-409C-BE32-E72D297353CC}">
              <c16:uniqueId val="{00000002-1614-4EC5-90E6-B8966F3DBEFB}"/>
            </c:ext>
          </c:extLst>
        </c:ser>
        <c:dLbls>
          <c:showLegendKey val="0"/>
          <c:showVal val="0"/>
          <c:showCatName val="0"/>
          <c:showSerName val="0"/>
          <c:showPercent val="0"/>
          <c:showBubbleSize val="0"/>
        </c:dLbls>
        <c:marker val="1"/>
        <c:smooth val="0"/>
        <c:axId val="825137936"/>
        <c:axId val="825159152"/>
      </c:lineChart>
      <c:catAx>
        <c:axId val="82513793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9152"/>
        <c:crosses val="autoZero"/>
        <c:auto val="1"/>
        <c:lblAlgn val="ctr"/>
        <c:lblOffset val="100"/>
        <c:tickLblSkip val="10"/>
        <c:tickMarkSkip val="10"/>
        <c:noMultiLvlLbl val="0"/>
      </c:catAx>
      <c:valAx>
        <c:axId val="8251591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3793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4E28-4B54-BC39-74A55BDCE11B}"/>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4E28-4B54-BC39-74A55BDCE11B}"/>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4E28-4B54-BC39-74A55BDCE11B}"/>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4E28-4B54-BC39-74A55BDCE11B}"/>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4E28-4B54-BC39-74A55BDCE11B}"/>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4E28-4B54-BC39-74A55BDCE11B}"/>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4E28-4B54-BC39-74A55BDCE11B}"/>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4E28-4B54-BC39-74A55BDCE11B}"/>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4E28-4B54-BC39-74A55BDCE11B}"/>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4E28-4B54-BC39-74A55BDCE11B}"/>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4E28-4B54-BC39-74A55BDCE11B}"/>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4E28-4B54-BC39-74A55BDCE11B}"/>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4E28-4B54-BC39-74A55BDCE11B}"/>
            </c:ext>
          </c:extLst>
        </c:ser>
        <c:dLbls>
          <c:showLegendKey val="0"/>
          <c:showVal val="0"/>
          <c:showCatName val="0"/>
          <c:showSerName val="0"/>
          <c:showPercent val="0"/>
          <c:showBubbleSize val="0"/>
        </c:dLbls>
        <c:axId val="825146640"/>
        <c:axId val="825136848"/>
      </c:scatterChart>
      <c:scatterChart>
        <c:scatterStyle val="lineMarker"/>
        <c:varyColors val="0"/>
        <c:ser>
          <c:idx val="1"/>
          <c:order val="1"/>
          <c:tx>
            <c:strRef>
              <c:f>Statistics!$H$7</c:f>
              <c:strCache>
                <c:ptCount val="1"/>
                <c:pt idx="0">
                  <c:v>NTG</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Statistics!$N$7:$O$7</c:f>
              <c:numCache>
                <c:formatCode>0.0;\-0.0;"--"</c:formatCode>
                <c:ptCount val="2"/>
                <c:pt idx="0">
                  <c:v>95</c:v>
                </c:pt>
                <c:pt idx="1">
                  <c:v>15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4E28-4B54-BC39-74A55BDCE11B}"/>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Statistics!$K$7:$M$7</c:f>
              <c:numCache>
                <c:formatCode>0.00;\-0.00;"--"</c:formatCode>
                <c:ptCount val="3"/>
                <c:pt idx="0">
                  <c:v>201.601</c:v>
                </c:pt>
                <c:pt idx="1">
                  <c:v>37.749000000000002</c:v>
                </c:pt>
                <c:pt idx="2">
                  <c:v>7.0679999999999996</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4E28-4B54-BC39-74A55BDCE11B}"/>
            </c:ext>
          </c:extLst>
        </c:ser>
        <c:dLbls>
          <c:showLegendKey val="0"/>
          <c:showVal val="0"/>
          <c:showCatName val="0"/>
          <c:showSerName val="0"/>
          <c:showPercent val="0"/>
          <c:showBubbleSize val="0"/>
        </c:dLbls>
        <c:axId val="825138480"/>
        <c:axId val="825153712"/>
      </c:scatterChart>
      <c:valAx>
        <c:axId val="825146640"/>
        <c:scaling>
          <c:orientation val="minMax"/>
          <c:max val="10000"/>
        </c:scaling>
        <c:delete val="0"/>
        <c:axPos val="t"/>
        <c:title>
          <c:tx>
            <c:rich>
              <a:bodyPr/>
              <a:lstStyle/>
              <a:p>
                <a:pPr>
                  <a:defRPr sz="1000"/>
                </a:pPr>
                <a:r>
                  <a:rPr lang="es-BO" sz="1000"/>
                  <a:t>Net to Gross,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36848"/>
        <c:crossesAt val="2.5"/>
        <c:crossBetween val="midCat"/>
      </c:valAx>
      <c:valAx>
        <c:axId val="82513684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46640"/>
        <c:crosses val="autoZero"/>
        <c:crossBetween val="midCat"/>
      </c:valAx>
      <c:valAx>
        <c:axId val="825153712"/>
        <c:scaling>
          <c:orientation val="maxMin"/>
          <c:max val="2.5"/>
          <c:min val="-2.5"/>
        </c:scaling>
        <c:delete val="0"/>
        <c:axPos val="r"/>
        <c:numFmt formatCode="0.0000" sourceLinked="1"/>
        <c:majorTickMark val="none"/>
        <c:minorTickMark val="none"/>
        <c:tickLblPos val="none"/>
        <c:spPr>
          <a:ln>
            <a:solidFill>
              <a:schemeClr val="tx1"/>
            </a:solidFill>
          </a:ln>
        </c:spPr>
        <c:crossAx val="825138480"/>
        <c:crosses val="max"/>
        <c:crossBetween val="midCat"/>
      </c:valAx>
      <c:valAx>
        <c:axId val="825138480"/>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53712"/>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Statistics!$J$23:$J$141</c:f>
              <c:numCache>
                <c:formatCode>#,##0.0000000;\-0.0000000;"--"</c:formatCode>
                <c:ptCount val="119"/>
                <c:pt idx="0">
                  <c:v>0.99998027035353798</c:v>
                </c:pt>
                <c:pt idx="1">
                  <c:v>0.99942391198412028</c:v>
                </c:pt>
                <c:pt idx="2">
                  <c:v>0.99676829845677961</c:v>
                </c:pt>
                <c:pt idx="3">
                  <c:v>0.99041238186132052</c:v>
                </c:pt>
                <c:pt idx="4">
                  <c:v>0.97949049419797629</c:v>
                </c:pt>
                <c:pt idx="5">
                  <c:v>0.96388042301590804</c:v>
                </c:pt>
                <c:pt idx="6">
                  <c:v>0.94395791074382962</c:v>
                </c:pt>
                <c:pt idx="7">
                  <c:v>0.92035920064030585</c:v>
                </c:pt>
                <c:pt idx="8">
                  <c:v>0.89381449417846892</c:v>
                </c:pt>
                <c:pt idx="9">
                  <c:v>0.86504740993777474</c:v>
                </c:pt>
                <c:pt idx="10">
                  <c:v>0.83472141099739727</c:v>
                </c:pt>
                <c:pt idx="11">
                  <c:v>0.80341603164931552</c:v>
                </c:pt>
                <c:pt idx="12">
                  <c:v>0.77162063908398337</c:v>
                </c:pt>
                <c:pt idx="13">
                  <c:v>0.73973777689943998</c:v>
                </c:pt>
                <c:pt idx="14">
                  <c:v>0.70809121431202171</c:v>
                </c:pt>
                <c:pt idx="15">
                  <c:v>0.67693584085802105</c:v>
                </c:pt>
                <c:pt idx="16">
                  <c:v>0.6464678072454173</c:v>
                </c:pt>
                <c:pt idx="17">
                  <c:v>0.61683407699252002</c:v>
                </c:pt>
                <c:pt idx="18">
                  <c:v>0.58814100349798248</c:v>
                </c:pt>
                <c:pt idx="19">
                  <c:v>0.56046180376938981</c:v>
                </c:pt>
                <c:pt idx="20">
                  <c:v>0.53384293975052688</c:v>
                </c:pt>
                <c:pt idx="21">
                  <c:v>0.50830948860879654</c:v>
                </c:pt>
                <c:pt idx="22">
                  <c:v>0.48386961361082304</c:v>
                </c:pt>
                <c:pt idx="23">
                  <c:v>0.46051825495041276</c:v>
                </c:pt>
                <c:pt idx="24">
                  <c:v>0.43824015562193153</c:v>
                </c:pt>
                <c:pt idx="25">
                  <c:v>0.41701232733519011</c:v>
                </c:pt>
                <c:pt idx="26">
                  <c:v>0.39680604909266992</c:v>
                </c:pt>
                <c:pt idx="27">
                  <c:v>0.3775884783605099</c:v>
                </c:pt>
                <c:pt idx="28">
                  <c:v>0.35932394278457014</c:v>
                </c:pt>
                <c:pt idx="29">
                  <c:v>0.3419749696060177</c:v>
                </c:pt>
                <c:pt idx="30">
                  <c:v>0.32550310047845088</c:v>
                </c:pt>
                <c:pt idx="31">
                  <c:v>0.30986953127098837</c:v>
                </c:pt>
                <c:pt idx="32">
                  <c:v>0.29503560956280384</c:v>
                </c:pt>
                <c:pt idx="33">
                  <c:v>0.28096321676026015</c:v>
                </c:pt>
                <c:pt idx="34">
                  <c:v>0.26761505695397736</c:v>
                </c:pt>
                <c:pt idx="35">
                  <c:v>0.25495487064031064</c:v>
                </c:pt>
                <c:pt idx="36">
                  <c:v>0.24294758813225514</c:v>
                </c:pt>
                <c:pt idx="37">
                  <c:v>0.2315594347659955</c:v>
                </c:pt>
                <c:pt idx="38">
                  <c:v>0.2207579977737304</c:v>
                </c:pt>
                <c:pt idx="39">
                  <c:v>0.2105122628581686</c:v>
                </c:pt>
                <c:pt idx="40">
                  <c:v>0.20079262699939193</c:v>
                </c:pt>
                <c:pt idx="41">
                  <c:v>0.19157089279234074</c:v>
                </c:pt>
                <c:pt idx="42">
                  <c:v>0.18282024860459944</c:v>
                </c:pt>
                <c:pt idx="43">
                  <c:v>0.17451523801937807</c:v>
                </c:pt>
                <c:pt idx="44">
                  <c:v>0.16663172135459792</c:v>
                </c:pt>
                <c:pt idx="45">
                  <c:v>0.15914683149863906</c:v>
                </c:pt>
                <c:pt idx="46">
                  <c:v>0.15203892585423939</c:v>
                </c:pt>
                <c:pt idx="47">
                  <c:v>0.14528753581597886</c:v>
                </c:pt>
                <c:pt idx="48">
                  <c:v>0.13887331490867738</c:v>
                </c:pt>
                <c:pt idx="49">
                  <c:v>0.13277798647159766</c:v>
                </c:pt>
                <c:pt idx="50">
                  <c:v>0.12698429157647062</c:v>
                </c:pt>
                <c:pt idx="51">
                  <c:v>0.12147593770777987</c:v>
                </c:pt>
                <c:pt idx="52">
                  <c:v>0.11623754860468949</c:v>
                </c:pt>
                <c:pt idx="53">
                  <c:v>0.11125461555991234</c:v>
                </c:pt>
                <c:pt idx="54">
                  <c:v>0.10651345038714055</c:v>
                </c:pt>
                <c:pt idx="55">
                  <c:v>0.10200114020167828</c:v>
                </c:pt>
                <c:pt idx="56">
                  <c:v>9.7705504105541907E-2</c:v>
                </c:pt>
                <c:pt idx="57">
                  <c:v>9.3615051826048568E-2</c:v>
                </c:pt>
                <c:pt idx="58">
                  <c:v>8.9718944323708416E-2</c:v>
                </c:pt>
                <c:pt idx="59">
                  <c:v>8.6006956359405917E-2</c:v>
                </c:pt>
                <c:pt idx="60">
                  <c:v>8.2469440990999621E-2</c:v>
                </c:pt>
                <c:pt idx="61">
                  <c:v>7.9097295954468683E-2</c:v>
                </c:pt>
                <c:pt idx="62">
                  <c:v>7.5881931873631236E-2</c:v>
                </c:pt>
                <c:pt idx="63">
                  <c:v>7.2815242234527955E-2</c:v>
                </c:pt>
                <c:pt idx="64">
                  <c:v>6.9889575055141706E-2</c:v>
                </c:pt>
                <c:pt idx="65">
                  <c:v>6.70977061777287E-2</c:v>
                </c:pt>
                <c:pt idx="66">
                  <c:v>6.4432814109233849E-2</c:v>
                </c:pt>
                <c:pt idx="67">
                  <c:v>6.1888456334716291E-2</c:v>
                </c:pt>
                <c:pt idx="68">
                  <c:v>5.9458547029146547E-2</c:v>
                </c:pt>
                <c:pt idx="69">
                  <c:v>5.7137336094123081E-2</c:v>
                </c:pt>
                <c:pt idx="70">
                  <c:v>5.4919389447805944E-2</c:v>
                </c:pt>
                <c:pt idx="71">
                  <c:v>5.279957049854711E-2</c:v>
                </c:pt>
                <c:pt idx="72">
                  <c:v>5.0773022735165374E-2</c:v>
                </c:pt>
                <c:pt idx="73">
                  <c:v>4.8835153369499729E-2</c:v>
                </c:pt>
                <c:pt idx="74">
                  <c:v>4.6981617969675815E-2</c:v>
                </c:pt>
                <c:pt idx="75">
                  <c:v>4.5208306025400269E-2</c:v>
                </c:pt>
                <c:pt idx="76">
                  <c:v>4.351132738948682E-2</c:v>
                </c:pt>
                <c:pt idx="77">
                  <c:v>4.1886999542689485E-2</c:v>
                </c:pt>
                <c:pt idx="78">
                  <c:v>4.0331835631749913E-2</c:v>
                </c:pt>
                <c:pt idx="79">
                  <c:v>3.8842533233319099E-2</c:v>
                </c:pt>
                <c:pt idx="80">
                  <c:v>3.7415963799084961E-2</c:v>
                </c:pt>
                <c:pt idx="81">
                  <c:v>3.6049162740013352E-2</c:v>
                </c:pt>
                <c:pt idx="82">
                  <c:v>3.4739320110082184E-2</c:v>
                </c:pt>
                <c:pt idx="83">
                  <c:v>3.3483771852243938E-2</c:v>
                </c:pt>
                <c:pt idx="84">
                  <c:v>3.2279991571606992E-2</c:v>
                </c:pt>
                <c:pt idx="85">
                  <c:v>3.1125582802959739E-2</c:v>
                </c:pt>
                <c:pt idx="86">
                  <c:v>3.0018271741785063E-2</c:v>
                </c:pt>
                <c:pt idx="87">
                  <c:v>2.8955900409831981E-2</c:v>
                </c:pt>
                <c:pt idx="88">
                  <c:v>2.7936420228117043E-2</c:v>
                </c:pt>
                <c:pt idx="89">
                  <c:v>2.6957885971932938E-2</c:v>
                </c:pt>
                <c:pt idx="90">
                  <c:v>2.6018450084046463E-2</c:v>
                </c:pt>
                <c:pt idx="91">
                  <c:v>2.5116357323779148E-2</c:v>
                </c:pt>
                <c:pt idx="92">
                  <c:v>2.424993973108025E-2</c:v>
                </c:pt>
                <c:pt idx="93">
                  <c:v>2.341761188603142E-2</c:v>
                </c:pt>
                <c:pt idx="94">
                  <c:v>2.2617866445474255E-2</c:v>
                </c:pt>
                <c:pt idx="95">
                  <c:v>2.1849269939618887E-2</c:v>
                </c:pt>
                <c:pt idx="96">
                  <c:v>2.1110458812588107E-2</c:v>
                </c:pt>
                <c:pt idx="97">
                  <c:v>2.0400135691880816E-2</c:v>
                </c:pt>
                <c:pt idx="98">
                  <c:v>1.9717065872695838E-2</c:v>
                </c:pt>
                <c:pt idx="99">
                  <c:v>1.9060074003956928E-2</c:v>
                </c:pt>
                <c:pt idx="100">
                  <c:v>1.8428040963723857E-2</c:v>
                </c:pt>
                <c:pt idx="101">
                  <c:v>1.7819900912454223E-2</c:v>
                </c:pt>
                <c:pt idx="102">
                  <c:v>1.7234638513324629E-2</c:v>
                </c:pt>
                <c:pt idx="103">
                  <c:v>1.6671286309497657E-2</c:v>
                </c:pt>
                <c:pt idx="104">
                  <c:v>1.6128922248871636E-2</c:v>
                </c:pt>
                <c:pt idx="105">
                  <c:v>1.5606667347447423E-2</c:v>
                </c:pt>
                <c:pt idx="106">
                  <c:v>1.5103683483005281E-2</c:v>
                </c:pt>
                <c:pt idx="107">
                  <c:v>1.4619171311315515E-2</c:v>
                </c:pt>
                <c:pt idx="108">
                  <c:v>1.4152368297591034E-2</c:v>
                </c:pt>
                <c:pt idx="109">
                  <c:v>1.3702546856352082E-2</c:v>
                </c:pt>
                <c:pt idx="110">
                  <c:v>1.3269012593299045E-2</c:v>
                </c:pt>
                <c:pt idx="111">
                  <c:v>1.2851102643193224E-2</c:v>
                </c:pt>
                <c:pt idx="112">
                  <c:v>1.2448184098115211E-2</c:v>
                </c:pt>
                <c:pt idx="113">
                  <c:v>1.2059652520823527E-2</c:v>
                </c:pt>
                <c:pt idx="114">
                  <c:v>1.1684930538263472E-2</c:v>
                </c:pt>
                <c:pt idx="115">
                  <c:v>1.1323466510579916E-2</c:v>
                </c:pt>
                <c:pt idx="116">
                  <c:v>1.0974733271275849E-2</c:v>
                </c:pt>
                <c:pt idx="117">
                  <c:v>1.0638226934425732E-2</c:v>
                </c:pt>
                <c:pt idx="118">
                  <c:v>1.0313465765102281E-2</c:v>
                </c:pt>
              </c:numCache>
            </c:numRef>
          </c:val>
          <c:extLst xmlns:c16r2="http://schemas.microsoft.com/office/drawing/2015/06/chart">
            <c:ext xmlns:c16="http://schemas.microsoft.com/office/drawing/2014/chart" uri="{C3380CC4-5D6E-409C-BE32-E72D297353CC}">
              <c16:uniqueId val="{00000000-1ABA-4731-B065-264D8C43FB47}"/>
            </c:ext>
          </c:extLst>
        </c:ser>
        <c:dLbls>
          <c:showLegendKey val="0"/>
          <c:showVal val="0"/>
          <c:showCatName val="0"/>
          <c:showSerName val="0"/>
          <c:showPercent val="0"/>
          <c:showBubbleSize val="0"/>
        </c:dLbls>
        <c:axId val="825166768"/>
        <c:axId val="82516731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ABA-4731-B065-264D8C43FB47}"/>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Statistics!$L$23:$L$141</c:f>
              <c:numCache>
                <c:formatCode>General</c:formatCode>
                <c:ptCount val="119"/>
                <c:pt idx="8">
                  <c:v>0.89381449417846892</c:v>
                </c:pt>
                <c:pt idx="13">
                  <c:v>0.73973777689943998</c:v>
                </c:pt>
                <c:pt idx="22">
                  <c:v>0.48386961361082304</c:v>
                </c:pt>
                <c:pt idx="28">
                  <c:v>0.35932394278457014</c:v>
                </c:pt>
                <c:pt idx="56">
                  <c:v>9.7705504105541907E-2</c:v>
                </c:pt>
              </c:numCache>
            </c:numRef>
          </c:val>
          <c:smooth val="0"/>
          <c:extLst xmlns:c16r2="http://schemas.microsoft.com/office/drawing/2015/06/chart">
            <c:ext xmlns:c16="http://schemas.microsoft.com/office/drawing/2014/chart" uri="{C3380CC4-5D6E-409C-BE32-E72D297353CC}">
              <c16:uniqueId val="{00000002-1ABA-4731-B065-264D8C43FB47}"/>
            </c:ext>
          </c:extLst>
        </c:ser>
        <c:dLbls>
          <c:showLegendKey val="0"/>
          <c:showVal val="0"/>
          <c:showCatName val="0"/>
          <c:showSerName val="0"/>
          <c:showPercent val="0"/>
          <c:showBubbleSize val="0"/>
        </c:dLbls>
        <c:marker val="1"/>
        <c:smooth val="0"/>
        <c:axId val="825166768"/>
        <c:axId val="825167312"/>
      </c:lineChart>
      <c:catAx>
        <c:axId val="825166768"/>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67312"/>
        <c:crosses val="autoZero"/>
        <c:auto val="1"/>
        <c:lblAlgn val="ctr"/>
        <c:lblOffset val="100"/>
        <c:tickLblSkip val="10"/>
        <c:tickMarkSkip val="10"/>
        <c:noMultiLvlLbl val="0"/>
      </c:catAx>
      <c:valAx>
        <c:axId val="825167312"/>
        <c:scaling>
          <c:orientation val="minMax"/>
          <c:max val="1"/>
        </c:scaling>
        <c:delete val="0"/>
        <c:axPos val="l"/>
        <c:numFmt formatCode="#,##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6676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Statistics!$O$23:$O$141</c:f>
              <c:numCache>
                <c:formatCode>#,##0.0000000;\-0.0000000;"--"</c:formatCode>
                <c:ptCount val="119"/>
                <c:pt idx="0">
                  <c:v>7.6413810472924567E-7</c:v>
                </c:pt>
                <c:pt idx="1">
                  <c:v>2.1503575528967804E-6</c:v>
                </c:pt>
                <c:pt idx="2">
                  <c:v>5.4996183575543875E-6</c:v>
                </c:pt>
                <c:pt idx="3">
                  <c:v>1.2933642036274189E-5</c:v>
                </c:pt>
                <c:pt idx="4">
                  <c:v>2.8244885260816505E-5</c:v>
                </c:pt>
                <c:pt idx="5">
                  <c:v>5.775597073994171E-5</c:v>
                </c:pt>
                <c:pt idx="6">
                  <c:v>1.1136970966573404E-4</c:v>
                </c:pt>
                <c:pt idx="7">
                  <c:v>2.0374636230453716E-4</c:v>
                </c:pt>
                <c:pt idx="8">
                  <c:v>3.5550455346998846E-4</c:v>
                </c:pt>
                <c:pt idx="9">
                  <c:v>5.9431115863913973E-4</c:v>
                </c:pt>
                <c:pt idx="10">
                  <c:v>9.5571033535103104E-4</c:v>
                </c:pt>
                <c:pt idx="11">
                  <c:v>1.4835466265750996E-3</c:v>
                </c:pt>
                <c:pt idx="12">
                  <c:v>2.2298620280899756E-3</c:v>
                </c:pt>
                <c:pt idx="13">
                  <c:v>3.2541889523825312E-3</c:v>
                </c:pt>
                <c:pt idx="14">
                  <c:v>4.6222143892953402E-3</c:v>
                </c:pt>
                <c:pt idx="15">
                  <c:v>6.403848137185671E-3</c:v>
                </c:pt>
                <c:pt idx="16">
                  <c:v>8.6707825613904499E-3</c:v>
                </c:pt>
                <c:pt idx="17">
                  <c:v>1.1493676757860371E-2</c:v>
                </c:pt>
                <c:pt idx="18">
                  <c:v>1.4939129855722098E-2</c:v>
                </c:pt>
                <c:pt idx="19">
                  <c:v>1.9066624185504748E-2</c:v>
                </c:pt>
                <c:pt idx="20">
                  <c:v>2.3925618945007911E-2</c:v>
                </c:pt>
                <c:pt idx="21">
                  <c:v>2.9552960348415692E-2</c:v>
                </c:pt>
                <c:pt idx="22">
                  <c:v>3.5970747863655797E-2</c:v>
                </c:pt>
                <c:pt idx="23">
                  <c:v>4.3184761586919578E-2</c:v>
                </c:pt>
                <c:pt idx="24">
                  <c:v>5.1183516858609626E-2</c:v>
                </c:pt>
                <c:pt idx="25">
                  <c:v>5.9937972479327882E-2</c:v>
                </c:pt>
                <c:pt idx="26">
                  <c:v>6.9401881415037267E-2</c:v>
                </c:pt>
                <c:pt idx="27">
                  <c:v>7.9512740066452051E-2</c:v>
                </c:pt>
                <c:pt idx="28">
                  <c:v>9.0193265625855099E-2</c:v>
                </c:pt>
                <c:pt idx="29">
                  <c:v>0.10135331160670846</c:v>
                </c:pt>
                <c:pt idx="30">
                  <c:v>0.11289211948835785</c:v>
                </c:pt>
                <c:pt idx="31">
                  <c:v>0.1247007992038895</c:v>
                </c:pt>
                <c:pt idx="32">
                  <c:v>0.1366649321437951</c:v>
                </c:pt>
                <c:pt idx="33">
                  <c:v>0.14866719641993917</c:v>
                </c:pt>
                <c:pt idx="34">
                  <c:v>0.16058992416996609</c:v>
                </c:pt>
                <c:pt idx="35">
                  <c:v>0.1723175134954312</c:v>
                </c:pt>
                <c:pt idx="36">
                  <c:v>0.18373863209297855</c:v>
                </c:pt>
                <c:pt idx="37">
                  <c:v>0.19474816475369197</c:v>
                </c:pt>
                <c:pt idx="38">
                  <c:v>0.20524887182635668</c:v>
                </c:pt>
                <c:pt idx="39">
                  <c:v>0.21515273979610522</c:v>
                </c:pt>
                <c:pt idx="40">
                  <c:v>0.22438201782759137</c:v>
                </c:pt>
                <c:pt idx="41">
                  <c:v>0.23286994513437234</c:v>
                </c:pt>
                <c:pt idx="42">
                  <c:v>0.24056118318430494</c:v>
                </c:pt>
                <c:pt idx="43">
                  <c:v>0.2474119739801455</c:v>
                </c:pt>
                <c:pt idx="44">
                  <c:v>0.25339005101110101</c:v>
                </c:pt>
                <c:pt idx="45">
                  <c:v>0.25847433307642881</c:v>
                </c:pt>
                <c:pt idx="46">
                  <c:v>0.26265443321089332</c:v>
                </c:pt>
                <c:pt idx="47">
                  <c:v>0.26593001560122548</c:v>
                </c:pt>
                <c:pt idx="48">
                  <c:v>0.2683100328956799</c:v>
                </c:pt>
                <c:pt idx="49">
                  <c:v>0.26981187490020475</c:v>
                </c:pt>
                <c:pt idx="50">
                  <c:v>0.27046045754092896</c:v>
                </c:pt>
                <c:pt idx="51">
                  <c:v>0.27028727835368893</c:v>
                </c:pt>
                <c:pt idx="52">
                  <c:v>0.26932946181604039</c:v>
                </c:pt>
                <c:pt idx="53">
                  <c:v>0.26762881472053046</c:v>
                </c:pt>
                <c:pt idx="54">
                  <c:v>0.2652309086297962</c:v>
                </c:pt>
                <c:pt idx="55">
                  <c:v>0.26218420335945508</c:v>
                </c:pt>
                <c:pt idx="56">
                  <c:v>0.25853922248557143</c:v>
                </c:pt>
                <c:pt idx="57">
                  <c:v>0.25434778913011846</c:v>
                </c:pt>
                <c:pt idx="58">
                  <c:v>0.24966232778181618</c:v>
                </c:pt>
                <c:pt idx="59">
                  <c:v>0.24453523568617649</c:v>
                </c:pt>
                <c:pt idx="60">
                  <c:v>0.2390183253990566</c:v>
                </c:pt>
                <c:pt idx="61">
                  <c:v>0.23316233844296858</c:v>
                </c:pt>
                <c:pt idx="62">
                  <c:v>0.22701652862653782</c:v>
                </c:pt>
                <c:pt idx="63">
                  <c:v>0.22062831247010284</c:v>
                </c:pt>
                <c:pt idx="64">
                  <c:v>0.2140429833050618</c:v>
                </c:pt>
                <c:pt idx="65">
                  <c:v>0.2073034849587761</c:v>
                </c:pt>
                <c:pt idx="66">
                  <c:v>0.20045024047655591</c:v>
                </c:pt>
                <c:pt idx="67">
                  <c:v>0.19352103104282212</c:v>
                </c:pt>
                <c:pt idx="68">
                  <c:v>0.18655092012062249</c:v>
                </c:pt>
                <c:pt idx="69">
                  <c:v>0.17957221780890664</c:v>
                </c:pt>
                <c:pt idx="70">
                  <c:v>0.17261448049837863</c:v>
                </c:pt>
                <c:pt idx="71">
                  <c:v>0.16570454106918556</c:v>
                </c:pt>
                <c:pt idx="72">
                  <c:v>0.15886656509892672</c:v>
                </c:pt>
                <c:pt idx="73">
                  <c:v>0.15212212882129342</c:v>
                </c:pt>
                <c:pt idx="74">
                  <c:v>0.14549031487995509</c:v>
                </c:pt>
                <c:pt idx="75">
                  <c:v>0.13898782224693998</c:v>
                </c:pt>
                <c:pt idx="76">
                  <c:v>0.13262908700947473</c:v>
                </c:pt>
                <c:pt idx="77">
                  <c:v>0.12642641106557501</c:v>
                </c:pt>
                <c:pt idx="78">
                  <c:v>0.12039009609972193</c:v>
                </c:pt>
                <c:pt idx="79">
                  <c:v>0.11452858053031242</c:v>
                </c:pt>
                <c:pt idx="80">
                  <c:v>0.10884857742605346</c:v>
                </c:pt>
                <c:pt idx="81">
                  <c:v>0.10335521167607738</c:v>
                </c:pt>
                <c:pt idx="82">
                  <c:v>9.805215496616157E-2</c:v>
                </c:pt>
                <c:pt idx="83">
                  <c:v>9.2941757359819757E-2</c:v>
                </c:pt>
                <c:pt idx="84">
                  <c:v>8.8025174507539161E-2</c:v>
                </c:pt>
                <c:pt idx="85">
                  <c:v>8.3302489710062738E-2</c:v>
                </c:pt>
                <c:pt idx="86">
                  <c:v>7.877283024270601E-2</c:v>
                </c:pt>
                <c:pt idx="87">
                  <c:v>7.443447750800887E-2</c:v>
                </c:pt>
                <c:pt idx="88">
                  <c:v>7.0284970724524609E-2</c:v>
                </c:pt>
                <c:pt idx="89">
                  <c:v>6.6321203981409393E-2</c:v>
                </c:pt>
                <c:pt idx="90">
                  <c:v>6.2539516592995739E-2</c:v>
                </c:pt>
                <c:pt idx="91">
                  <c:v>5.8935776776066269E-2</c:v>
                </c:pt>
                <c:pt idx="92">
                  <c:v>5.5505458746498676E-2</c:v>
                </c:pt>
                <c:pt idx="93">
                  <c:v>5.2243713392698357E-2</c:v>
                </c:pt>
                <c:pt idx="94">
                  <c:v>4.9145432732161112E-2</c:v>
                </c:pt>
                <c:pt idx="95">
                  <c:v>4.6205308395895865E-2</c:v>
                </c:pt>
                <c:pt idx="96">
                  <c:v>4.341788441456107E-2</c:v>
                </c:pt>
                <c:pt idx="97">
                  <c:v>4.0777604601177263E-2</c:v>
                </c:pt>
                <c:pt idx="98">
                  <c:v>3.8278854839272042E-2</c:v>
                </c:pt>
                <c:pt idx="99">
                  <c:v>3.591600059329185E-2</c:v>
                </c:pt>
                <c:pt idx="100">
                  <c:v>3.3683419960991071E-2</c:v>
                </c:pt>
                <c:pt idx="101">
                  <c:v>3.1575532586114542E-2</c:v>
                </c:pt>
                <c:pt idx="102">
                  <c:v>2.958682474476286E-2</c:v>
                </c:pt>
                <c:pt idx="103">
                  <c:v>2.7711870911042161E-2</c:v>
                </c:pt>
                <c:pt idx="104">
                  <c:v>2.5945352097533736E-2</c:v>
                </c:pt>
                <c:pt idx="105">
                  <c:v>2.428207125428376E-2</c:v>
                </c:pt>
                <c:pt idx="106">
                  <c:v>2.2716965996870855E-2</c:v>
                </c:pt>
                <c:pt idx="107">
                  <c:v>2.1245118920035343E-2</c:v>
                </c:pt>
                <c:pt idx="108">
                  <c:v>1.986176573868273E-2</c:v>
                </c:pt>
                <c:pt idx="109">
                  <c:v>1.8562301483090696E-2</c:v>
                </c:pt>
                <c:pt idx="110">
                  <c:v>1.7342284960085025E-2</c:v>
                </c:pt>
                <c:pt idx="111">
                  <c:v>1.6197441676997944E-2</c:v>
                </c:pt>
                <c:pt idx="112">
                  <c:v>1.5123665410551429E-2</c:v>
                </c:pt>
                <c:pt idx="113">
                  <c:v>1.4117018588532248E-2</c:v>
                </c:pt>
                <c:pt idx="114">
                  <c:v>1.3173731638354093E-2</c:v>
                </c:pt>
                <c:pt idx="115">
                  <c:v>1.2290201443410177E-2</c:v>
                </c:pt>
                <c:pt idx="116">
                  <c:v>1.1462989035554814E-2</c:v>
                </c:pt>
                <c:pt idx="117">
                  <c:v>1.0688816640162909E-2</c:v>
                </c:pt>
                <c:pt idx="118">
                  <c:v>9.9645641790160073E-3</c:v>
                </c:pt>
              </c:numCache>
            </c:numRef>
          </c:val>
          <c:extLst xmlns:c16r2="http://schemas.microsoft.com/office/drawing/2015/06/chart">
            <c:ext xmlns:c16="http://schemas.microsoft.com/office/drawing/2014/chart" uri="{C3380CC4-5D6E-409C-BE32-E72D297353CC}">
              <c16:uniqueId val="{00000000-A945-40BA-B847-CE7BDE0F79C4}"/>
            </c:ext>
          </c:extLst>
        </c:ser>
        <c:dLbls>
          <c:showLegendKey val="0"/>
          <c:showVal val="0"/>
          <c:showCatName val="0"/>
          <c:showSerName val="0"/>
          <c:showPercent val="0"/>
          <c:showBubbleSize val="0"/>
        </c:dLbls>
        <c:axId val="825150448"/>
        <c:axId val="82515480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A945-40BA-B847-CE7BDE0F79C4}"/>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Statistics!$Q$23:$Q$141</c:f>
              <c:numCache>
                <c:formatCode>General</c:formatCode>
                <c:ptCount val="119"/>
                <c:pt idx="35">
                  <c:v>0.1723175134954312</c:v>
                </c:pt>
                <c:pt idx="51">
                  <c:v>0.27028727835368893</c:v>
                </c:pt>
                <c:pt idx="56">
                  <c:v>0.25853922248557143</c:v>
                </c:pt>
                <c:pt idx="59">
                  <c:v>0.24453523568617649</c:v>
                </c:pt>
                <c:pt idx="86">
                  <c:v>7.877283024270601E-2</c:v>
                </c:pt>
              </c:numCache>
            </c:numRef>
          </c:val>
          <c:smooth val="0"/>
          <c:extLst xmlns:c16r2="http://schemas.microsoft.com/office/drawing/2015/06/chart">
            <c:ext xmlns:c16="http://schemas.microsoft.com/office/drawing/2014/chart" uri="{C3380CC4-5D6E-409C-BE32-E72D297353CC}">
              <c16:uniqueId val="{00000002-A945-40BA-B847-CE7BDE0F79C4}"/>
            </c:ext>
          </c:extLst>
        </c:ser>
        <c:dLbls>
          <c:showLegendKey val="0"/>
          <c:showVal val="0"/>
          <c:showCatName val="0"/>
          <c:showSerName val="0"/>
          <c:showPercent val="0"/>
          <c:showBubbleSize val="0"/>
        </c:dLbls>
        <c:marker val="1"/>
        <c:smooth val="0"/>
        <c:axId val="825150448"/>
        <c:axId val="825154800"/>
      </c:lineChart>
      <c:catAx>
        <c:axId val="825150448"/>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4800"/>
        <c:crosses val="autoZero"/>
        <c:auto val="1"/>
        <c:lblAlgn val="ctr"/>
        <c:lblOffset val="100"/>
        <c:tickLblSkip val="10"/>
        <c:tickMarkSkip val="10"/>
        <c:noMultiLvlLbl val="0"/>
      </c:catAx>
      <c:valAx>
        <c:axId val="825154800"/>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044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E41C-4C33-8F77-3D15723B72E3}"/>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E41C-4C33-8F77-3D15723B72E3}"/>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E41C-4C33-8F77-3D15723B72E3}"/>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E41C-4C33-8F77-3D15723B72E3}"/>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E41C-4C33-8F77-3D15723B72E3}"/>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E41C-4C33-8F77-3D15723B72E3}"/>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E41C-4C33-8F77-3D15723B72E3}"/>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E41C-4C33-8F77-3D15723B72E3}"/>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E41C-4C33-8F77-3D15723B72E3}"/>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E41C-4C33-8F77-3D15723B72E3}"/>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E41C-4C33-8F77-3D15723B72E3}"/>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E41C-4C33-8F77-3D15723B72E3}"/>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E41C-4C33-8F77-3D15723B72E3}"/>
            </c:ext>
          </c:extLst>
        </c:ser>
        <c:dLbls>
          <c:showLegendKey val="0"/>
          <c:showVal val="0"/>
          <c:showCatName val="0"/>
          <c:showSerName val="0"/>
          <c:showPercent val="0"/>
          <c:showBubbleSize val="0"/>
        </c:dLbls>
        <c:axId val="825162960"/>
        <c:axId val="825147728"/>
      </c:scatterChart>
      <c:scatterChart>
        <c:scatterStyle val="lineMarker"/>
        <c:varyColors val="0"/>
        <c:ser>
          <c:idx val="1"/>
          <c:order val="1"/>
          <c:tx>
            <c:strRef>
              <c:f>Statistics!$H$8</c:f>
              <c:strCache>
                <c:ptCount val="1"/>
                <c:pt idx="0">
                  <c:v>PHI</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Statistics!$N$8:$O$8</c:f>
              <c:numCache>
                <c:formatCode>0.0;\-0.0;"--"</c:formatCode>
                <c:ptCount val="2"/>
                <c:pt idx="0">
                  <c:v>8</c:v>
                </c:pt>
                <c:pt idx="1">
                  <c:v>4</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E41C-4C33-8F77-3D15723B72E3}"/>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Statistics!$K$8:$M$8</c:f>
              <c:numCache>
                <c:formatCode>0.00;\-0.00;"--"</c:formatCode>
                <c:ptCount val="3"/>
                <c:pt idx="0">
                  <c:v>10.612</c:v>
                </c:pt>
                <c:pt idx="1">
                  <c:v>5.657</c:v>
                </c:pt>
                <c:pt idx="2">
                  <c:v>3.0150000000000001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E41C-4C33-8F77-3D15723B72E3}"/>
            </c:ext>
          </c:extLst>
        </c:ser>
        <c:dLbls>
          <c:showLegendKey val="0"/>
          <c:showVal val="0"/>
          <c:showCatName val="0"/>
          <c:showSerName val="0"/>
          <c:showPercent val="0"/>
          <c:showBubbleSize val="0"/>
        </c:dLbls>
        <c:axId val="825155888"/>
        <c:axId val="825142288"/>
      </c:scatterChart>
      <c:valAx>
        <c:axId val="825162960"/>
        <c:scaling>
          <c:orientation val="minMax"/>
          <c:max val="10000"/>
        </c:scaling>
        <c:delete val="0"/>
        <c:axPos val="t"/>
        <c:title>
          <c:tx>
            <c:rich>
              <a:bodyPr/>
              <a:lstStyle/>
              <a:p>
                <a:pPr>
                  <a:defRPr sz="1000"/>
                </a:pPr>
                <a:r>
                  <a:rPr lang="es-BO" sz="1000"/>
                  <a:t>Porosity,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47728"/>
        <c:crossesAt val="2.5"/>
        <c:crossBetween val="midCat"/>
      </c:valAx>
      <c:valAx>
        <c:axId val="82514772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62960"/>
        <c:crosses val="autoZero"/>
        <c:crossBetween val="midCat"/>
      </c:valAx>
      <c:valAx>
        <c:axId val="825142288"/>
        <c:scaling>
          <c:orientation val="maxMin"/>
          <c:max val="2.5"/>
          <c:min val="-2.5"/>
        </c:scaling>
        <c:delete val="0"/>
        <c:axPos val="r"/>
        <c:numFmt formatCode="0.0000" sourceLinked="1"/>
        <c:majorTickMark val="none"/>
        <c:minorTickMark val="none"/>
        <c:tickLblPos val="none"/>
        <c:spPr>
          <a:ln>
            <a:solidFill>
              <a:schemeClr val="tx1"/>
            </a:solidFill>
          </a:ln>
        </c:spPr>
        <c:crossAx val="825155888"/>
        <c:crosses val="max"/>
        <c:crossBetween val="midCat"/>
      </c:valAx>
      <c:valAx>
        <c:axId val="8251558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42288"/>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Statistics!$P$23:$P$141</c:f>
              <c:numCache>
                <c:formatCode>#,##0.0000000;\-0.0000000;"--"</c:formatCode>
                <c:ptCount val="119"/>
                <c:pt idx="0">
                  <c:v>0.9999999496707549</c:v>
                </c:pt>
                <c:pt idx="1">
                  <c:v>0.99999984440281953</c:v>
                </c:pt>
                <c:pt idx="2">
                  <c:v>0.99999956445785787</c:v>
                </c:pt>
                <c:pt idx="3">
                  <c:v>0.99999888272116577</c:v>
                </c:pt>
                <c:pt idx="4">
                  <c:v>0.99999734656649675</c:v>
                </c:pt>
                <c:pt idx="5">
                  <c:v>0.9999941155536749</c:v>
                </c:pt>
                <c:pt idx="6">
                  <c:v>0.99998772446383344</c:v>
                </c:pt>
                <c:pt idx="7">
                  <c:v>0.99997575901614988</c:v>
                </c:pt>
                <c:pt idx="8">
                  <c:v>0.99995443814660856</c:v>
                </c:pt>
                <c:pt idx="9">
                  <c:v>0.99991810609590248</c:v>
                </c:pt>
                <c:pt idx="10">
                  <c:v>0.99985864875800778</c:v>
                </c:pt>
                <c:pt idx="11">
                  <c:v>0.99976486036422985</c:v>
                </c:pt>
                <c:pt idx="12">
                  <c:v>0.99962179703326237</c:v>
                </c:pt>
                <c:pt idx="13">
                  <c:v>0.99941016153293949</c:v>
                </c:pt>
                <c:pt idx="14">
                  <c:v>0.99910576765424441</c:v>
                </c:pt>
                <c:pt idx="15">
                  <c:v>0.99867913228299232</c:v>
                </c:pt>
                <c:pt idx="16">
                  <c:v>0.99809523852556348</c:v>
                </c:pt>
                <c:pt idx="17">
                  <c:v>0.99731350458507217</c:v>
                </c:pt>
                <c:pt idx="18">
                  <c:v>0.99628798139190777</c:v>
                </c:pt>
                <c:pt idx="19">
                  <c:v>0.99496778842807188</c:v>
                </c:pt>
                <c:pt idx="20">
                  <c:v>0.99329778300561911</c:v>
                </c:pt>
                <c:pt idx="21">
                  <c:v>0.99121944466944933</c:v>
                </c:pt>
                <c:pt idx="22">
                  <c:v>0.98867194442429818</c:v>
                </c:pt>
                <c:pt idx="23">
                  <c:v>0.98559335891377908</c:v>
                </c:pt>
                <c:pt idx="24">
                  <c:v>0.98192198299514422</c:v>
                </c:pt>
                <c:pt idx="25">
                  <c:v>0.97759769055680901</c:v>
                </c:pt>
                <c:pt idx="26">
                  <c:v>0.97256329285506271</c:v>
                </c:pt>
                <c:pt idx="27">
                  <c:v>0.96676584582684777</c:v>
                </c:pt>
                <c:pt idx="28">
                  <c:v>0.96015786233663802</c:v>
                </c:pt>
                <c:pt idx="29">
                  <c:v>0.95269839161148395</c:v>
                </c:pt>
                <c:pt idx="30">
                  <c:v>0.94435393564389059</c:v>
                </c:pt>
                <c:pt idx="31">
                  <c:v>0.93509918054014063</c:v>
                </c:pt>
                <c:pt idx="32">
                  <c:v>0.92491752914994108</c:v>
                </c:pt>
                <c:pt idx="33">
                  <c:v>0.91380142939092168</c:v>
                </c:pt>
                <c:pt idx="34">
                  <c:v>0.90175250012391062</c:v>
                </c:pt>
                <c:pt idx="35">
                  <c:v>0.88878146297956973</c:v>
                </c:pt>
                <c:pt idx="36">
                  <c:v>0.87490789401192892</c:v>
                </c:pt>
                <c:pt idx="37">
                  <c:v>0.86015981337083647</c:v>
                </c:pt>
                <c:pt idx="38">
                  <c:v>0.8445731343267272</c:v>
                </c:pt>
                <c:pt idx="39">
                  <c:v>0.8281909949898778</c:v>
                </c:pt>
                <c:pt idx="40">
                  <c:v>0.8110629970301706</c:v>
                </c:pt>
                <c:pt idx="41">
                  <c:v>0.79324437574192752</c:v>
                </c:pt>
                <c:pt idx="42">
                  <c:v>0.77479512505076364</c:v>
                </c:pt>
                <c:pt idx="43">
                  <c:v>0.75577909967376589</c:v>
                </c:pt>
                <c:pt idx="44">
                  <c:v>0.73626311476890827</c:v>
                </c:pt>
                <c:pt idx="45">
                  <c:v>0.71631606118607249</c:v>
                </c:pt>
                <c:pt idx="46">
                  <c:v>0.69600805199026317</c:v>
                </c:pt>
                <c:pt idx="47">
                  <c:v>0.67540961338253513</c:v>
                </c:pt>
                <c:pt idx="48">
                  <c:v>0.6545909305938169</c:v>
                </c:pt>
                <c:pt idx="49">
                  <c:v>0.63362115685178866</c:v>
                </c:pt>
                <c:pt idx="50">
                  <c:v>0.61256779118453153</c:v>
                </c:pt>
                <c:pt idx="51">
                  <c:v>0.59149612867381829</c:v>
                </c:pt>
                <c:pt idx="52">
                  <c:v>0.57046878483796026</c:v>
                </c:pt>
                <c:pt idx="53">
                  <c:v>0.54954529412821951</c:v>
                </c:pt>
                <c:pt idx="54">
                  <c:v>0.52878178107214557</c:v>
                </c:pt>
                <c:pt idx="55">
                  <c:v>0.50823070139070703</c:v>
                </c:pt>
                <c:pt idx="56">
                  <c:v>0.48794064944555438</c:v>
                </c:pt>
                <c:pt idx="57">
                  <c:v>0.46795622762427458</c:v>
                </c:pt>
                <c:pt idx="58">
                  <c:v>0.44831797272738982</c:v>
                </c:pt>
                <c:pt idx="59">
                  <c:v>0.42906233406068717</c:v>
                </c:pt>
                <c:pt idx="60">
                  <c:v>0.41022169773856021</c:v>
                </c:pt>
                <c:pt idx="61">
                  <c:v>0.39182445164611457</c:v>
                </c:pt>
                <c:pt idx="62">
                  <c:v>0.37389508556800233</c:v>
                </c:pt>
                <c:pt idx="63">
                  <c:v>0.35645432114928277</c:v>
                </c:pt>
                <c:pt idx="64">
                  <c:v>0.33951926658844755</c:v>
                </c:pt>
                <c:pt idx="65">
                  <c:v>0.32310359125708044</c:v>
                </c:pt>
                <c:pt idx="66">
                  <c:v>0.30721771577828161</c:v>
                </c:pt>
                <c:pt idx="67">
                  <c:v>0.29186901346268912</c:v>
                </c:pt>
                <c:pt idx="68">
                  <c:v>0.2770620193843204</c:v>
                </c:pt>
                <c:pt idx="69">
                  <c:v>0.26279864376804252</c:v>
                </c:pt>
                <c:pt idx="70">
                  <c:v>0.2490783867475197</c:v>
                </c:pt>
                <c:pt idx="71">
                  <c:v>0.23589855192990705</c:v>
                </c:pt>
                <c:pt idx="72">
                  <c:v>0.22325445656576903</c:v>
                </c:pt>
                <c:pt idx="73">
                  <c:v>0.2111396364654301</c:v>
                </c:pt>
                <c:pt idx="74">
                  <c:v>0.19954604412319243</c:v>
                </c:pt>
                <c:pt idx="75">
                  <c:v>0.18846423880648366</c:v>
                </c:pt>
                <c:pt idx="76">
                  <c:v>0.17788356763688296</c:v>
                </c:pt>
                <c:pt idx="77">
                  <c:v>0.16779233693368811</c:v>
                </c:pt>
                <c:pt idx="78">
                  <c:v>0.15817797330832262</c:v>
                </c:pt>
                <c:pt idx="79">
                  <c:v>0.14902717419015132</c:v>
                </c:pt>
                <c:pt idx="80">
                  <c:v>0.14032604763210288</c:v>
                </c:pt>
                <c:pt idx="81">
                  <c:v>0.132060241389239</c:v>
                </c:pt>
                <c:pt idx="82">
                  <c:v>0.12421506138647154</c:v>
                </c:pt>
                <c:pt idx="83">
                  <c:v>0.11677557979470465</c:v>
                </c:pt>
                <c:pt idx="84">
                  <c:v>0.1097267330193662</c:v>
                </c:pt>
                <c:pt idx="85">
                  <c:v>0.10305340997337331</c:v>
                </c:pt>
                <c:pt idx="86">
                  <c:v>9.6740531059692048E-2</c:v>
                </c:pt>
                <c:pt idx="87">
                  <c:v>9.0773118328479674E-2</c:v>
                </c:pt>
                <c:pt idx="88">
                  <c:v>8.5136357301915822E-2</c:v>
                </c:pt>
                <c:pt idx="89">
                  <c:v>7.981565097773069E-2</c:v>
                </c:pt>
                <c:pt idx="90">
                  <c:v>7.47966665315275E-2</c:v>
                </c:pt>
                <c:pt idx="91">
                  <c:v>7.0065375239578787E-2</c:v>
                </c:pt>
                <c:pt idx="92">
                  <c:v>6.560808613903657E-2</c:v>
                </c:pt>
                <c:pt idx="93">
                  <c:v>6.1411473932510674E-2</c:v>
                </c:pt>
                <c:pt idx="94">
                  <c:v>5.7462601629732601E-2</c:v>
                </c:pt>
                <c:pt idx="95">
                  <c:v>5.3748938401379953E-2</c:v>
                </c:pt>
                <c:pt idx="96">
                  <c:v>5.0258373099878795E-2</c:v>
                </c:pt>
                <c:pt idx="97">
                  <c:v>4.6979223879799026E-2</c:v>
                </c:pt>
                <c:pt idx="98">
                  <c:v>4.3900244326890436E-2</c:v>
                </c:pt>
                <c:pt idx="99">
                  <c:v>4.1010626480400769E-2</c:v>
                </c:pt>
                <c:pt idx="100">
                  <c:v>3.8300001108484971E-2</c:v>
                </c:pt>
                <c:pt idx="101">
                  <c:v>3.575843557163505E-2</c:v>
                </c:pt>
                <c:pt idx="102">
                  <c:v>3.3376429584429212E-2</c:v>
                </c:pt>
                <c:pt idx="103">
                  <c:v>3.1144909161764711E-2</c:v>
                </c:pt>
                <c:pt idx="104">
                  <c:v>2.9055219012312894E-2</c:v>
                </c:pt>
                <c:pt idx="105">
                  <c:v>2.7099113619353354E-2</c:v>
                </c:pt>
                <c:pt idx="106">
                  <c:v>2.526874722754513E-2</c:v>
                </c:pt>
                <c:pt idx="107">
                  <c:v>2.3556662933660433E-2</c:v>
                </c:pt>
                <c:pt idx="108">
                  <c:v>2.1955781059882606E-2</c:v>
                </c:pt>
                <c:pt idx="109">
                  <c:v>2.0459386970019811E-2</c:v>
                </c:pt>
                <c:pt idx="110">
                  <c:v>1.9061118471892402E-2</c:v>
                </c:pt>
                <c:pt idx="111">
                  <c:v>1.7754952933241364E-2</c:v>
                </c:pt>
                <c:pt idx="112">
                  <c:v>1.653519422373928E-2</c:v>
                </c:pt>
                <c:pt idx="113">
                  <c:v>1.5396459582057376E-2</c:v>
                </c:pt>
                <c:pt idx="114">
                  <c:v>1.4333666494397934E-2</c:v>
                </c:pt>
                <c:pt idx="115">
                  <c:v>1.3342019659416282E-2</c:v>
                </c:pt>
                <c:pt idx="116">
                  <c:v>1.2416998103971455E-2</c:v>
                </c:pt>
                <c:pt idx="117">
                  <c:v>1.1554342504608406E-2</c:v>
                </c:pt>
                <c:pt idx="118">
                  <c:v>1.0750042761049849E-2</c:v>
                </c:pt>
              </c:numCache>
            </c:numRef>
          </c:val>
          <c:extLst xmlns:c16r2="http://schemas.microsoft.com/office/drawing/2015/06/chart">
            <c:ext xmlns:c16="http://schemas.microsoft.com/office/drawing/2014/chart" uri="{C3380CC4-5D6E-409C-BE32-E72D297353CC}">
              <c16:uniqueId val="{00000000-6948-457F-9073-1E671ACD8D98}"/>
            </c:ext>
          </c:extLst>
        </c:ser>
        <c:dLbls>
          <c:showLegendKey val="0"/>
          <c:showVal val="0"/>
          <c:showCatName val="0"/>
          <c:showSerName val="0"/>
          <c:showPercent val="0"/>
          <c:showBubbleSize val="0"/>
        </c:dLbls>
        <c:axId val="825143376"/>
        <c:axId val="82514392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6948-457F-9073-1E671ACD8D98}"/>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Statistics!$R$23:$R$141</c:f>
              <c:numCache>
                <c:formatCode>General</c:formatCode>
                <c:ptCount val="119"/>
                <c:pt idx="35">
                  <c:v>0.88878146297956973</c:v>
                </c:pt>
                <c:pt idx="51">
                  <c:v>0.59149612867381829</c:v>
                </c:pt>
                <c:pt idx="56">
                  <c:v>0.48794064944555438</c:v>
                </c:pt>
                <c:pt idx="59">
                  <c:v>0.42906233406068717</c:v>
                </c:pt>
                <c:pt idx="86">
                  <c:v>9.6740531059692048E-2</c:v>
                </c:pt>
              </c:numCache>
            </c:numRef>
          </c:val>
          <c:smooth val="0"/>
          <c:extLst xmlns:c16r2="http://schemas.microsoft.com/office/drawing/2015/06/chart">
            <c:ext xmlns:c16="http://schemas.microsoft.com/office/drawing/2014/chart" uri="{C3380CC4-5D6E-409C-BE32-E72D297353CC}">
              <c16:uniqueId val="{00000002-6948-457F-9073-1E671ACD8D98}"/>
            </c:ext>
          </c:extLst>
        </c:ser>
        <c:dLbls>
          <c:showLegendKey val="0"/>
          <c:showVal val="0"/>
          <c:showCatName val="0"/>
          <c:showSerName val="0"/>
          <c:showPercent val="0"/>
          <c:showBubbleSize val="0"/>
        </c:dLbls>
        <c:marker val="1"/>
        <c:smooth val="0"/>
        <c:axId val="825143376"/>
        <c:axId val="825143920"/>
      </c:lineChart>
      <c:catAx>
        <c:axId val="825143376"/>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3920"/>
        <c:crosses val="autoZero"/>
        <c:auto val="1"/>
        <c:lblAlgn val="ctr"/>
        <c:lblOffset val="100"/>
        <c:tickLblSkip val="10"/>
        <c:tickMarkSkip val="10"/>
        <c:noMultiLvlLbl val="0"/>
      </c:catAx>
      <c:valAx>
        <c:axId val="825143920"/>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4337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893D-4134-83F7-F03A297697BD}"/>
            </c:ext>
          </c:extLst>
        </c:ser>
        <c:dLbls>
          <c:showLegendKey val="0"/>
          <c:showVal val="0"/>
          <c:showCatName val="0"/>
          <c:showSerName val="0"/>
          <c:showPercent val="0"/>
          <c:showBubbleSize val="0"/>
        </c:dLbls>
        <c:axId val="825156432"/>
        <c:axId val="8251455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893D-4134-83F7-F03A297697B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893D-4134-83F7-F03A297697BD}"/>
            </c:ext>
          </c:extLst>
        </c:ser>
        <c:dLbls>
          <c:showLegendKey val="0"/>
          <c:showVal val="0"/>
          <c:showCatName val="0"/>
          <c:showSerName val="0"/>
          <c:showPercent val="0"/>
          <c:showBubbleSize val="0"/>
        </c:dLbls>
        <c:marker val="1"/>
        <c:smooth val="0"/>
        <c:axId val="825156432"/>
        <c:axId val="825145552"/>
      </c:lineChart>
      <c:catAx>
        <c:axId val="825156432"/>
        <c:scaling>
          <c:orientation val="minMax"/>
        </c:scaling>
        <c:delete val="0"/>
        <c:axPos val="b"/>
        <c:title>
          <c:tx>
            <c:rich>
              <a:bodyPr/>
              <a:lstStyle/>
              <a:p>
                <a:pPr>
                  <a:defRPr/>
                </a:pPr>
                <a:r>
                  <a:rPr lang="es-BO"/>
                  <a:t>Water</a:t>
                </a:r>
                <a:r>
                  <a:rPr lang="es-BO" baseline="0"/>
                  <a:t> Saturation, %</a:t>
                </a:r>
                <a:endParaRPr lang="es-BO"/>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5552"/>
        <c:crosses val="autoZero"/>
        <c:auto val="1"/>
        <c:lblAlgn val="ctr"/>
        <c:lblOffset val="100"/>
        <c:tickLblSkip val="10"/>
        <c:tickMarkSkip val="10"/>
        <c:noMultiLvlLbl val="0"/>
      </c:catAx>
      <c:valAx>
        <c:axId val="8251455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643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F9CB-4FB5-A8C3-802BC32C306F}"/>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F9CB-4FB5-A8C3-802BC32C306F}"/>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F9CB-4FB5-A8C3-802BC32C306F}"/>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F9CB-4FB5-A8C3-802BC32C306F}"/>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F9CB-4FB5-A8C3-802BC32C306F}"/>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F9CB-4FB5-A8C3-802BC32C306F}"/>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F9CB-4FB5-A8C3-802BC32C306F}"/>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F9CB-4FB5-A8C3-802BC32C306F}"/>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F9CB-4FB5-A8C3-802BC32C306F}"/>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F9CB-4FB5-A8C3-802BC32C306F}"/>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F9CB-4FB5-A8C3-802BC32C306F}"/>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F9CB-4FB5-A8C3-802BC32C306F}"/>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F9CB-4FB5-A8C3-802BC32C306F}"/>
            </c:ext>
          </c:extLst>
        </c:ser>
        <c:dLbls>
          <c:showLegendKey val="0"/>
          <c:showVal val="0"/>
          <c:showCatName val="0"/>
          <c:showSerName val="0"/>
          <c:showPercent val="0"/>
          <c:showBubbleSize val="0"/>
        </c:dLbls>
        <c:axId val="827029312"/>
        <c:axId val="827044000"/>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F9CB-4FB5-A8C3-802BC32C306F}"/>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F9CB-4FB5-A8C3-802BC32C306F}"/>
            </c:ext>
          </c:extLst>
        </c:ser>
        <c:dLbls>
          <c:showLegendKey val="0"/>
          <c:showVal val="0"/>
          <c:showCatName val="0"/>
          <c:showSerName val="0"/>
          <c:showPercent val="0"/>
          <c:showBubbleSize val="0"/>
        </c:dLbls>
        <c:axId val="827045088"/>
        <c:axId val="827049984"/>
      </c:scatterChart>
      <c:valAx>
        <c:axId val="827029312"/>
        <c:scaling>
          <c:orientation val="minMax"/>
          <c:max val="10000"/>
        </c:scaling>
        <c:delete val="0"/>
        <c:axPos val="t"/>
        <c:title>
          <c:tx>
            <c:rich>
              <a:bodyPr/>
              <a:lstStyle/>
              <a:p>
                <a:pPr>
                  <a:defRPr sz="1000"/>
                </a:pPr>
                <a:r>
                  <a:rPr lang="es-BO" sz="1000"/>
                  <a:t>Water Saturtion,</a:t>
                </a:r>
                <a:r>
                  <a:rPr lang="es-BO" sz="1000" baseline="0"/>
                  <a:t> %</a:t>
                </a:r>
                <a:endParaRPr lang="es-BO" sz="1000"/>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44000"/>
        <c:crossesAt val="2.5"/>
        <c:crossBetween val="midCat"/>
      </c:valAx>
      <c:valAx>
        <c:axId val="827044000"/>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29312"/>
        <c:crosses val="autoZero"/>
        <c:crossBetween val="midCat"/>
      </c:valAx>
      <c:valAx>
        <c:axId val="827049984"/>
        <c:scaling>
          <c:orientation val="maxMin"/>
          <c:max val="2.5"/>
          <c:min val="-2.5"/>
        </c:scaling>
        <c:delete val="0"/>
        <c:axPos val="r"/>
        <c:numFmt formatCode="0.0000" sourceLinked="1"/>
        <c:majorTickMark val="none"/>
        <c:minorTickMark val="none"/>
        <c:tickLblPos val="none"/>
        <c:spPr>
          <a:ln>
            <a:solidFill>
              <a:schemeClr val="tx1"/>
            </a:solidFill>
          </a:ln>
        </c:spPr>
        <c:crossAx val="827045088"/>
        <c:crosses val="max"/>
        <c:crossBetween val="midCat"/>
      </c:valAx>
      <c:valAx>
        <c:axId val="8270450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49984"/>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0EFC-4A09-8AAA-E813EEF9ABF2}"/>
            </c:ext>
          </c:extLst>
        </c:ser>
        <c:dLbls>
          <c:showLegendKey val="0"/>
          <c:showVal val="0"/>
          <c:showCatName val="0"/>
          <c:showSerName val="0"/>
          <c:showPercent val="0"/>
          <c:showBubbleSize val="0"/>
        </c:dLbls>
        <c:axId val="827023872"/>
        <c:axId val="82704563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0EFC-4A09-8AAA-E813EEF9ABF2}"/>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0EFC-4A09-8AAA-E813EEF9ABF2}"/>
            </c:ext>
          </c:extLst>
        </c:ser>
        <c:dLbls>
          <c:showLegendKey val="0"/>
          <c:showVal val="0"/>
          <c:showCatName val="0"/>
          <c:showSerName val="0"/>
          <c:showPercent val="0"/>
          <c:showBubbleSize val="0"/>
        </c:dLbls>
        <c:marker val="1"/>
        <c:smooth val="0"/>
        <c:axId val="827023872"/>
        <c:axId val="827045632"/>
      </c:lineChart>
      <c:catAx>
        <c:axId val="827023872"/>
        <c:scaling>
          <c:orientation val="minMax"/>
        </c:scaling>
        <c:delete val="0"/>
        <c:axPos val="b"/>
        <c:title>
          <c:tx>
            <c:rich>
              <a:bodyPr/>
              <a:lstStyle/>
              <a:p>
                <a:pPr>
                  <a:defRPr/>
                </a:pPr>
                <a:r>
                  <a:rPr lang="es-BO"/>
                  <a:t>Water Saturation,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5632"/>
        <c:crosses val="autoZero"/>
        <c:auto val="1"/>
        <c:lblAlgn val="ctr"/>
        <c:lblOffset val="100"/>
        <c:tickLblSkip val="10"/>
        <c:tickMarkSkip val="10"/>
        <c:noMultiLvlLbl val="0"/>
      </c:catAx>
      <c:valAx>
        <c:axId val="827045632"/>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387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Statistics!$AD$32:$AD$76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BE8-4271-BB43-B763A66732B5}"/>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BE8-4271-BB43-B763A66732B5}"/>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Statistics!$AD$24:$AD$25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EBE8-4271-BB43-B763A66732B5}"/>
            </c:ext>
          </c:extLst>
        </c:ser>
        <c:dLbls>
          <c:showLegendKey val="0"/>
          <c:showVal val="0"/>
          <c:showCatName val="0"/>
          <c:showSerName val="0"/>
          <c:showPercent val="0"/>
          <c:showBubbleSize val="0"/>
        </c:dLbls>
        <c:axId val="827048896"/>
        <c:axId val="827032576"/>
      </c:scatterChart>
      <c:valAx>
        <c:axId val="827048896"/>
        <c:scaling>
          <c:orientation val="minMax"/>
        </c:scaling>
        <c:delete val="0"/>
        <c:axPos val="b"/>
        <c:title>
          <c:tx>
            <c:rich>
              <a:bodyPr/>
              <a:lstStyle/>
              <a:p>
                <a:pPr>
                  <a:defRPr/>
                </a:pPr>
                <a:r>
                  <a:rPr lang="es-BO"/>
                  <a:t>Gas</a:t>
                </a:r>
                <a:r>
                  <a:rPr lang="es-BO" baseline="0"/>
                  <a:t>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2576"/>
        <c:crosses val="autoZero"/>
        <c:crossBetween val="midCat"/>
      </c:valAx>
      <c:valAx>
        <c:axId val="827032576"/>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Statistics!$AE$32:$AE$76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499E-4B32-86A0-82FFD7A317BE}"/>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499E-4B32-86A0-82FFD7A317BE}"/>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Statistics!$AD$26:$AD$27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499E-4B32-86A0-82FFD7A317BE}"/>
            </c:ext>
          </c:extLst>
        </c:ser>
        <c:dLbls>
          <c:showLegendKey val="0"/>
          <c:showVal val="0"/>
          <c:showCatName val="0"/>
          <c:showSerName val="0"/>
          <c:showPercent val="0"/>
          <c:showBubbleSize val="0"/>
        </c:dLbls>
        <c:axId val="827028768"/>
        <c:axId val="827019520"/>
      </c:scatterChart>
      <c:valAx>
        <c:axId val="827028768"/>
        <c:scaling>
          <c:orientation val="minMax"/>
        </c:scaling>
        <c:delete val="0"/>
        <c:axPos val="b"/>
        <c:title>
          <c:tx>
            <c:rich>
              <a:bodyPr/>
              <a:lstStyle/>
              <a:p>
                <a:pPr>
                  <a:defRPr/>
                </a:pPr>
                <a:r>
                  <a:rPr lang="es-BO"/>
                  <a:t>Gas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19520"/>
        <c:crosses val="autoZero"/>
        <c:crossBetween val="midCat"/>
      </c:valAx>
      <c:valAx>
        <c:axId val="82701952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8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40000"/>
                  <a:lumOff val="60000"/>
                </a:schemeClr>
              </a:solidFill>
              <a:ln w="9525">
                <a:solidFill>
                  <a:srgbClr val="0000FF"/>
                </a:solidFill>
              </a:ln>
              <a:effectLst/>
            </c:spPr>
          </c:marker>
          <c:xVal>
            <c:numRef>
              <c:f>Statistics!$AG$32:$AG$76</c:f>
              <c:numCache>
                <c:formatCode>General</c:formatCode>
                <c:ptCount val="45"/>
              </c:numCache>
            </c:numRef>
          </c:xVal>
          <c:yVal>
            <c:numRef>
              <c:f>Statistics!$AH$32:$AH$76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ADD5-448D-9E37-AF688A880479}"/>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ADD5-448D-9E37-AF688A880479}"/>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Statistics!$AH$24:$AH$25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ADD5-448D-9E37-AF688A880479}"/>
            </c:ext>
          </c:extLst>
        </c:ser>
        <c:dLbls>
          <c:showLegendKey val="0"/>
          <c:showVal val="0"/>
          <c:showCatName val="0"/>
          <c:showSerName val="0"/>
          <c:showPercent val="0"/>
          <c:showBubbleSize val="0"/>
        </c:dLbls>
        <c:axId val="827048352"/>
        <c:axId val="827020064"/>
      </c:scatterChart>
      <c:valAx>
        <c:axId val="827048352"/>
        <c:scaling>
          <c:orientation val="minMax"/>
        </c:scaling>
        <c:delete val="0"/>
        <c:axPos val="b"/>
        <c:title>
          <c:tx>
            <c:rich>
              <a:bodyPr/>
              <a:lstStyle/>
              <a:p>
                <a:pPr>
                  <a:defRPr/>
                </a:pPr>
                <a:r>
                  <a:rPr lang="es-BO" baseline="0"/>
                  <a:t>Water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0064"/>
        <c:crosses val="autoZero"/>
        <c:crossBetween val="midCat"/>
      </c:valAx>
      <c:valAx>
        <c:axId val="827020064"/>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20000"/>
                  <a:lumOff val="80000"/>
                </a:schemeClr>
              </a:solidFill>
              <a:ln w="9525">
                <a:solidFill>
                  <a:srgbClr val="0000FF"/>
                </a:solidFill>
              </a:ln>
              <a:effectLst/>
            </c:spPr>
          </c:marker>
          <c:xVal>
            <c:numRef>
              <c:f>Statistics!$AG$32:$AG$76</c:f>
              <c:numCache>
                <c:formatCode>General</c:formatCode>
                <c:ptCount val="45"/>
              </c:numCache>
            </c:numRef>
          </c:xVal>
          <c:yVal>
            <c:numRef>
              <c:f>Statistics!$AI$32:$AI$76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3FD2-4A98-92C7-DEBFEF7B78F8}"/>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3FD2-4A98-92C7-DEBFEF7B78F8}"/>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Statistics!$AH$26:$AH$27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3FD2-4A98-92C7-DEBFEF7B78F8}"/>
            </c:ext>
          </c:extLst>
        </c:ser>
        <c:dLbls>
          <c:showLegendKey val="0"/>
          <c:showVal val="0"/>
          <c:showCatName val="0"/>
          <c:showSerName val="0"/>
          <c:showPercent val="0"/>
          <c:showBubbleSize val="0"/>
        </c:dLbls>
        <c:axId val="827049440"/>
        <c:axId val="827026592"/>
      </c:scatterChart>
      <c:valAx>
        <c:axId val="827049440"/>
        <c:scaling>
          <c:orientation val="minMax"/>
        </c:scaling>
        <c:delete val="0"/>
        <c:axPos val="b"/>
        <c:title>
          <c:tx>
            <c:rich>
              <a:bodyPr/>
              <a:lstStyle/>
              <a:p>
                <a:pPr>
                  <a:defRPr/>
                </a:pPr>
                <a:r>
                  <a:rPr lang="es-BO"/>
                  <a:t>Water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592"/>
        <c:crosses val="autoZero"/>
        <c:crossBetween val="midCat"/>
      </c:valAx>
      <c:valAx>
        <c:axId val="82702659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9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1900820250760591"/>
          <c:w val="0.83725244294821244"/>
          <c:h val="0.66081022408526113"/>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rgbClr val="FFFF00"/>
              </a:solidFill>
              <a:ln w="9525">
                <a:solidFill>
                  <a:schemeClr val="tx1"/>
                </a:solidFill>
              </a:ln>
              <a:effectLst/>
            </c:spPr>
          </c:marker>
          <c:xVal>
            <c:numRef>
              <c:f>Statistics!$AJ$32:$AJ$76</c:f>
              <c:numCache>
                <c:formatCode>General</c:formatCode>
                <c:ptCount val="45"/>
              </c:numCache>
            </c:numRef>
          </c:xVal>
          <c:yVal>
            <c:numRef>
              <c:f>Statistics!$AM$32:$AM$76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4F5-43E0-AF6E-28F89245E0FD}"/>
            </c:ext>
          </c:extLst>
        </c:ser>
        <c:ser>
          <c:idx val="1"/>
          <c:order val="1"/>
          <c:tx>
            <c:strRef>
              <c:f>Statistics!$AK$19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4F5-43E0-AF6E-28F89245E0FD}"/>
                </c:ext>
                <c:ext xmlns:c15="http://schemas.microsoft.com/office/drawing/2012/chart" uri="{CE6537A1-D6FC-4f65-9D91-7224C49458BB}"/>
              </c:extLst>
            </c:dLbl>
            <c:spPr>
              <a:noFill/>
              <a:ln>
                <a:noFill/>
              </a:ln>
              <a:effectLst/>
            </c:spPr>
            <c:dLblPos val="t"/>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Statistics!$AK$21:$AK$22</c:f>
              <c:numCache>
                <c:formatCode>General</c:formatCode>
                <c:ptCount val="2"/>
              </c:numCache>
            </c:numRef>
          </c:xVal>
          <c:yVal>
            <c:numRef>
              <c:f>Statistics!$AK$26:$AK$27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E4F5-43E0-AF6E-28F89245E0FD}"/>
            </c:ext>
          </c:extLst>
        </c:ser>
        <c:ser>
          <c:idx val="2"/>
          <c:order val="2"/>
          <c:tx>
            <c:strRef>
              <c:f>Statistics!$AJ$10</c:f>
              <c:strCache>
                <c:ptCount val="1"/>
              </c:strCache>
            </c:strRef>
          </c:tx>
          <c:spPr>
            <a:ln>
              <a:solidFill>
                <a:schemeClr val="tx1"/>
              </a:solidFill>
              <a:prstDash val="dash"/>
            </a:ln>
          </c:spPr>
          <c:marker>
            <c:symbol val="square"/>
            <c:size val="4"/>
            <c:spPr>
              <a:solidFill>
                <a:srgbClr val="0000FF"/>
              </a:solidFill>
              <a:ln>
                <a:solidFill>
                  <a:schemeClr val="tx1"/>
                </a:solidFill>
              </a:ln>
            </c:spPr>
          </c:marker>
          <c:dPt>
            <c:idx val="0"/>
            <c:marker>
              <c:symbol val="none"/>
            </c:marker>
            <c:bubble3D val="0"/>
            <c:extLst xmlns:c16r2="http://schemas.microsoft.com/office/drawing/2015/06/chart">
              <c:ext xmlns:c16="http://schemas.microsoft.com/office/drawing/2014/chart" uri="{C3380CC4-5D6E-409C-BE32-E72D297353CC}">
                <c16:uniqueId val="{00000003-E4F5-43E0-AF6E-28F89245E0FD}"/>
              </c:ext>
            </c:extLst>
          </c:dPt>
          <c:dPt>
            <c:idx val="1"/>
            <c:marker>
              <c:spPr>
                <a:solidFill>
                  <a:schemeClr val="accent1">
                    <a:lumMod val="40000"/>
                    <a:lumOff val="60000"/>
                  </a:schemeClr>
                </a:solidFill>
                <a:ln>
                  <a:solidFill>
                    <a:schemeClr val="tx1"/>
                  </a:solidFill>
                </a:ln>
              </c:spPr>
            </c:marker>
            <c:bubble3D val="0"/>
            <c:extLst xmlns:c16r2="http://schemas.microsoft.com/office/drawing/2015/06/chart">
              <c:ext xmlns:c16="http://schemas.microsoft.com/office/drawing/2014/chart" uri="{C3380CC4-5D6E-409C-BE32-E72D297353CC}">
                <c16:uniqueId val="{00000004-E4F5-43E0-AF6E-28F89245E0FD}"/>
              </c:ext>
            </c:extLst>
          </c:dPt>
          <c:dLbls>
            <c:dLbl>
              <c:idx val="1"/>
              <c:showLegendKey val="0"/>
              <c:showVal val="0"/>
              <c:showCatName val="0"/>
              <c:showSerName val="1"/>
              <c:showPercent val="0"/>
              <c:showBubbleSize val="0"/>
              <c:extLst xmlns:c16r2="http://schemas.microsoft.com/office/drawing/2015/06/chart">
                <c:ext xmlns:c16="http://schemas.microsoft.com/office/drawing/2014/chart" uri="{C3380CC4-5D6E-409C-BE32-E72D297353CC}">
                  <c16:uniqueId val="{00000004-E4F5-43E0-AF6E-28F89245E0FD}"/>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Statistics!$AJ$14:$AJ$15</c:f>
              <c:numCache>
                <c:formatCode>General</c:formatCode>
                <c:ptCount val="2"/>
              </c:numCache>
            </c:numRef>
          </c:xVal>
          <c:yVal>
            <c:numRef>
              <c:f>Statistics!$AL$14:$AL$15</c:f>
              <c:numCache>
                <c:formatCode>General</c:formatCode>
                <c:ptCount val="2"/>
              </c:numCache>
            </c:numRef>
          </c:yVal>
          <c:smooth val="0"/>
          <c:extLst xmlns:c16r2="http://schemas.microsoft.com/office/drawing/2015/06/chart">
            <c:ext xmlns:c16="http://schemas.microsoft.com/office/drawing/2014/chart" uri="{C3380CC4-5D6E-409C-BE32-E72D297353CC}">
              <c16:uniqueId val="{00000005-E4F5-43E0-AF6E-28F89245E0FD}"/>
            </c:ext>
          </c:extLst>
        </c:ser>
        <c:ser>
          <c:idx val="3"/>
          <c:order val="3"/>
          <c:tx>
            <c:strRef>
              <c:f>Statistics!$AJ$11</c:f>
              <c:strCache>
                <c:ptCount val="1"/>
              </c:strCache>
            </c:strRef>
          </c:tx>
          <c:spPr>
            <a:ln>
              <a:solidFill>
                <a:schemeClr val="tx1"/>
              </a:solidFill>
              <a:prstDash val="dash"/>
            </a:ln>
          </c:spPr>
          <c:marker>
            <c:symbol val="square"/>
            <c:size val="4"/>
            <c:spPr>
              <a:solidFill>
                <a:schemeClr val="accent1">
                  <a:lumMod val="40000"/>
                  <a:lumOff val="60000"/>
                </a:schemeClr>
              </a:solidFill>
              <a:ln>
                <a:solidFill>
                  <a:schemeClr val="tx1"/>
                </a:solidFill>
              </a:ln>
            </c:spPr>
          </c:marker>
          <c:dPt>
            <c:idx val="1"/>
            <c:bubble3D val="0"/>
            <c:extLst xmlns:c16r2="http://schemas.microsoft.com/office/drawing/2015/06/chart">
              <c:ext xmlns:c16="http://schemas.microsoft.com/office/drawing/2014/chart" uri="{C3380CC4-5D6E-409C-BE32-E72D297353CC}">
                <c16:uniqueId val="{00000006-E4F5-43E0-AF6E-28F89245E0FD}"/>
              </c:ext>
            </c:extLst>
          </c:dPt>
          <c:dLbls>
            <c:dLbl>
              <c:idx val="0"/>
              <c:delete val="1"/>
              <c:extLst xmlns:c16r2="http://schemas.microsoft.com/office/drawing/2015/06/chart">
                <c:ext xmlns:c16="http://schemas.microsoft.com/office/drawing/2014/chart" uri="{C3380CC4-5D6E-409C-BE32-E72D297353CC}">
                  <c16:uniqueId val="{00000007-E4F5-43E0-AF6E-28F89245E0FD}"/>
                </c:ext>
                <c:ext xmlns:c15="http://schemas.microsoft.com/office/drawing/2012/chart" uri="{CE6537A1-D6FC-4f65-9D91-7224C49458BB}"/>
              </c:extLst>
            </c:dLbl>
            <c:dLbl>
              <c:idx val="2"/>
              <c:delete val="1"/>
              <c:extLst xmlns:c16r2="http://schemas.microsoft.com/office/drawing/2015/06/chart">
                <c:ext xmlns:c16="http://schemas.microsoft.com/office/drawing/2014/chart" uri="{C3380CC4-5D6E-409C-BE32-E72D297353CC}">
                  <c16:uniqueId val="{00000008-E4F5-43E0-AF6E-28F89245E0FD}"/>
                </c:ext>
                <c:ext xmlns:c15="http://schemas.microsoft.com/office/drawing/2012/chart" uri="{CE6537A1-D6FC-4f65-9D91-7224C49458BB}"/>
              </c:extLst>
            </c:dLbl>
            <c:spPr>
              <a:noFill/>
              <a:ln>
                <a:noFill/>
              </a:ln>
              <a:effectLst/>
            </c:spPr>
            <c:dLblPos val="r"/>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Statistics!$AK$14:$AK$16</c:f>
              <c:numCache>
                <c:formatCode>General</c:formatCode>
                <c:ptCount val="3"/>
              </c:numCache>
            </c:numRef>
          </c:xVal>
          <c:yVal>
            <c:numRef>
              <c:f>Statistics!$AM$14:$AM$15</c:f>
              <c:numCache>
                <c:formatCode>General</c:formatCode>
                <c:ptCount val="2"/>
              </c:numCache>
            </c:numRef>
          </c:yVal>
          <c:smooth val="0"/>
          <c:extLst xmlns:c16r2="http://schemas.microsoft.com/office/drawing/2015/06/chart">
            <c:ext xmlns:c16="http://schemas.microsoft.com/office/drawing/2014/chart" uri="{C3380CC4-5D6E-409C-BE32-E72D297353CC}">
              <c16:uniqueId val="{00000009-E4F5-43E0-AF6E-28F89245E0FD}"/>
            </c:ext>
          </c:extLst>
        </c:ser>
        <c:dLbls>
          <c:showLegendKey val="0"/>
          <c:showVal val="0"/>
          <c:showCatName val="0"/>
          <c:showSerName val="0"/>
          <c:showPercent val="0"/>
          <c:showBubbleSize val="0"/>
        </c:dLbls>
        <c:axId val="827026048"/>
        <c:axId val="827030400"/>
      </c:scatterChart>
      <c:valAx>
        <c:axId val="827026048"/>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400"/>
        <c:crosses val="autoZero"/>
        <c:crossBetween val="midCat"/>
      </c:valAx>
      <c:valAx>
        <c:axId val="82703040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8.6389201349831246E-2"/>
          <c:w val="0.80553996324229959"/>
          <c:h val="0.72088554148122785"/>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D217-4CA2-A511-E16E9D6A764E}"/>
            </c:ext>
          </c:extLst>
        </c:ser>
        <c:dLbls>
          <c:showLegendKey val="0"/>
          <c:showVal val="0"/>
          <c:showCatName val="0"/>
          <c:showSerName val="0"/>
          <c:showPercent val="0"/>
          <c:showBubbleSize val="0"/>
        </c:dLbls>
        <c:axId val="827022240"/>
        <c:axId val="82704726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spPr>
              <a:noFill/>
              <a:ln>
                <a:noFill/>
              </a:ln>
              <a:effectLst/>
            </c:sp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3-D217-4CA2-A511-E16E9D6A764E}"/>
            </c:ext>
          </c:extLst>
        </c:ser>
        <c:dLbls>
          <c:showLegendKey val="0"/>
          <c:showVal val="0"/>
          <c:showCatName val="0"/>
          <c:showSerName val="0"/>
          <c:showPercent val="0"/>
          <c:showBubbleSize val="0"/>
        </c:dLbls>
        <c:marker val="1"/>
        <c:smooth val="0"/>
        <c:axId val="827039104"/>
        <c:axId val="827021152"/>
      </c:lineChart>
      <c:catAx>
        <c:axId val="827022240"/>
        <c:scaling>
          <c:orientation val="minMax"/>
        </c:scaling>
        <c:delete val="0"/>
        <c:axPos val="b"/>
        <c:title>
          <c:tx>
            <c:rich>
              <a:bodyPr/>
              <a:lstStyle/>
              <a:p>
                <a:pPr>
                  <a:defRPr/>
                </a:pPr>
                <a:r>
                  <a:rPr lang="es-BO"/>
                  <a:t>Rock Volume, MM m</a:t>
                </a:r>
                <a:r>
                  <a:rPr lang="es-BO" baseline="30000"/>
                  <a:t>3</a:t>
                </a:r>
              </a:p>
            </c:rich>
          </c:tx>
          <c:layout>
            <c:manualLayout>
              <c:xMode val="edge"/>
              <c:yMode val="edge"/>
              <c:x val="0.36101618445235334"/>
              <c:y val="0.92040462333512663"/>
            </c:manualLayout>
          </c:layout>
          <c:overlay val="0"/>
        </c:title>
        <c:numFmt formatCode="#,##0" sourceLinked="0"/>
        <c:majorTickMark val="out"/>
        <c:minorTickMark val="none"/>
        <c:tickLblPos val="nextTo"/>
        <c:spPr>
          <a:ln>
            <a:solidFill>
              <a:schemeClr val="tx1"/>
            </a:solidFill>
          </a:ln>
        </c:spPr>
        <c:txPr>
          <a:bodyPr/>
          <a:lstStyle/>
          <a:p>
            <a:pPr>
              <a:defRPr sz="800" b="1"/>
            </a:pPr>
            <a:endParaRPr lang="es-BO"/>
          </a:p>
        </c:txPr>
        <c:crossAx val="827047264"/>
        <c:crosses val="autoZero"/>
        <c:auto val="1"/>
        <c:lblAlgn val="ctr"/>
        <c:lblOffset val="50"/>
        <c:tickLblSkip val="2"/>
        <c:tickMarkSkip val="1"/>
        <c:noMultiLvlLbl val="0"/>
      </c:catAx>
      <c:valAx>
        <c:axId val="82704726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7022240"/>
        <c:crosses val="autoZero"/>
        <c:crossBetween val="between"/>
      </c:valAx>
      <c:valAx>
        <c:axId val="827021152"/>
        <c:scaling>
          <c:orientation val="minMax"/>
        </c:scaling>
        <c:delete val="0"/>
        <c:axPos val="r"/>
        <c:numFmt formatCode="General" sourceLinked="1"/>
        <c:majorTickMark val="out"/>
        <c:minorTickMark val="none"/>
        <c:tickLblPos val="nextTo"/>
        <c:txPr>
          <a:bodyPr/>
          <a:lstStyle/>
          <a:p>
            <a:pPr>
              <a:defRPr sz="800"/>
            </a:pPr>
            <a:endParaRPr lang="es-BO"/>
          </a:p>
        </c:txPr>
        <c:crossAx val="827039104"/>
        <c:crosses val="max"/>
        <c:crossBetween val="between"/>
      </c:valAx>
      <c:catAx>
        <c:axId val="827039104"/>
        <c:scaling>
          <c:orientation val="minMax"/>
        </c:scaling>
        <c:delete val="1"/>
        <c:axPos val="b"/>
        <c:numFmt formatCode="#,##0.00;\-0.00;&quot;--&quot;" sourceLinked="1"/>
        <c:majorTickMark val="out"/>
        <c:minorTickMark val="none"/>
        <c:tickLblPos val="nextTo"/>
        <c:crossAx val="827021152"/>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rgbClr val="FFC000"/>
            </a:solidFill>
            <a:ln w="9525" cap="rnd">
              <a:solidFill>
                <a:srgbClr val="C00000"/>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3218-4376-951E-AC89C1A1BAFE}"/>
            </c:ext>
          </c:extLst>
        </c:ser>
        <c:dLbls>
          <c:showLegendKey val="0"/>
          <c:showVal val="0"/>
          <c:showCatName val="0"/>
          <c:showSerName val="0"/>
          <c:showPercent val="0"/>
          <c:showBubbleSize val="0"/>
        </c:dLbls>
        <c:axId val="827024416"/>
        <c:axId val="827023328"/>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3218-4376-951E-AC89C1A1BAFE}"/>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3218-4376-951E-AC89C1A1BAFE}"/>
            </c:ext>
          </c:extLst>
        </c:ser>
        <c:dLbls>
          <c:showLegendKey val="0"/>
          <c:showVal val="0"/>
          <c:showCatName val="0"/>
          <c:showSerName val="0"/>
          <c:showPercent val="0"/>
          <c:showBubbleSize val="0"/>
        </c:dLbls>
        <c:marker val="1"/>
        <c:smooth val="0"/>
        <c:axId val="827024416"/>
        <c:axId val="827023328"/>
      </c:lineChart>
      <c:catAx>
        <c:axId val="82702441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3328"/>
        <c:crosses val="autoZero"/>
        <c:auto val="1"/>
        <c:lblAlgn val="ctr"/>
        <c:lblOffset val="100"/>
        <c:tickLblSkip val="10"/>
        <c:tickMarkSkip val="10"/>
        <c:noMultiLvlLbl val="0"/>
      </c:catAx>
      <c:valAx>
        <c:axId val="827023328"/>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441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5384-42AF-9AF9-0C3370E80550}"/>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5384-42AF-9AF9-0C3370E80550}"/>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384-42AF-9AF9-0C3370E80550}"/>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5384-42AF-9AF9-0C3370E80550}"/>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5384-42AF-9AF9-0C3370E80550}"/>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5384-42AF-9AF9-0C3370E80550}"/>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5384-42AF-9AF9-0C3370E80550}"/>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5384-42AF-9AF9-0C3370E80550}"/>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5384-42AF-9AF9-0C3370E80550}"/>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5384-42AF-9AF9-0C3370E80550}"/>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5384-42AF-9AF9-0C3370E80550}"/>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5384-42AF-9AF9-0C3370E80550}"/>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5384-42AF-9AF9-0C3370E80550}"/>
            </c:ext>
          </c:extLst>
        </c:ser>
        <c:dLbls>
          <c:showLegendKey val="0"/>
          <c:showVal val="0"/>
          <c:showCatName val="0"/>
          <c:showSerName val="0"/>
          <c:showPercent val="0"/>
          <c:showBubbleSize val="0"/>
        </c:dLbls>
        <c:axId val="827042912"/>
        <c:axId val="827027136"/>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5384-42AF-9AF9-0C3370E80550}"/>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5384-42AF-9AF9-0C3370E80550}"/>
            </c:ext>
          </c:extLst>
        </c:ser>
        <c:dLbls>
          <c:showLegendKey val="0"/>
          <c:showVal val="0"/>
          <c:showCatName val="0"/>
          <c:showSerName val="0"/>
          <c:showPercent val="0"/>
          <c:showBubbleSize val="0"/>
        </c:dLbls>
        <c:axId val="827039648"/>
        <c:axId val="827024960"/>
      </c:scatterChart>
      <c:valAx>
        <c:axId val="827042912"/>
        <c:scaling>
          <c:orientation val="minMax"/>
          <c:max val="10000"/>
        </c:scaling>
        <c:delete val="0"/>
        <c:axPos val="t"/>
        <c:title>
          <c:tx>
            <c:rich>
              <a:bodyPr/>
              <a:lstStyle/>
              <a:p>
                <a:pPr>
                  <a:defRPr sz="1000"/>
                </a:pPr>
                <a:r>
                  <a:rPr lang="es-BO" sz="1000"/>
                  <a:t>Net to Gross, decimal</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27136"/>
        <c:crossesAt val="2.5"/>
        <c:crossBetween val="midCat"/>
      </c:valAx>
      <c:valAx>
        <c:axId val="827027136"/>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42912"/>
        <c:crosses val="autoZero"/>
        <c:crossBetween val="midCat"/>
      </c:valAx>
      <c:valAx>
        <c:axId val="827024960"/>
        <c:scaling>
          <c:orientation val="maxMin"/>
          <c:max val="2.5"/>
          <c:min val="-2.5"/>
        </c:scaling>
        <c:delete val="0"/>
        <c:axPos val="r"/>
        <c:numFmt formatCode="0.0000" sourceLinked="1"/>
        <c:majorTickMark val="none"/>
        <c:minorTickMark val="none"/>
        <c:tickLblPos val="none"/>
        <c:spPr>
          <a:ln>
            <a:solidFill>
              <a:schemeClr val="tx1"/>
            </a:solidFill>
          </a:ln>
        </c:spPr>
        <c:crossAx val="827039648"/>
        <c:crosses val="max"/>
        <c:crossBetween val="midCat"/>
      </c:valAx>
      <c:valAx>
        <c:axId val="82703964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24960"/>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lumMod val="20000"/>
                <a:lumOff val="80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BE47-4D20-8155-9BCD2633DE7D}"/>
            </c:ext>
          </c:extLst>
        </c:ser>
        <c:dLbls>
          <c:showLegendKey val="0"/>
          <c:showVal val="0"/>
          <c:showCatName val="0"/>
          <c:showSerName val="0"/>
          <c:showPercent val="0"/>
          <c:showBubbleSize val="0"/>
        </c:dLbls>
        <c:axId val="827028224"/>
        <c:axId val="827030944"/>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BE47-4D20-8155-9BCD2633DE7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BE47-4D20-8155-9BCD2633DE7D}"/>
            </c:ext>
          </c:extLst>
        </c:ser>
        <c:dLbls>
          <c:showLegendKey val="0"/>
          <c:showVal val="0"/>
          <c:showCatName val="0"/>
          <c:showSerName val="0"/>
          <c:showPercent val="0"/>
          <c:showBubbleSize val="0"/>
        </c:dLbls>
        <c:marker val="1"/>
        <c:smooth val="0"/>
        <c:axId val="827028224"/>
        <c:axId val="827030944"/>
      </c:lineChart>
      <c:catAx>
        <c:axId val="827028224"/>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944"/>
        <c:crosses val="autoZero"/>
        <c:auto val="1"/>
        <c:lblAlgn val="ctr"/>
        <c:lblOffset val="100"/>
        <c:tickLblSkip val="10"/>
        <c:tickMarkSkip val="10"/>
        <c:noMultiLvlLbl val="0"/>
      </c:catAx>
      <c:valAx>
        <c:axId val="827030944"/>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8224"/>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Corr'!$O$10:$O$210</c:f>
              <c:numCache>
                <c:formatCode>#,##0.00;\-0.00;"--"</c:formatCode>
                <c:ptCount val="201"/>
                <c:pt idx="1">
                  <c:v>0.5</c:v>
                </c:pt>
                <c:pt idx="2">
                  <c:v>1</c:v>
                </c:pt>
                <c:pt idx="3">
                  <c:v>1.5</c:v>
                </c:pt>
                <c:pt idx="4">
                  <c:v>0.40000000000000036</c:v>
                </c:pt>
                <c:pt idx="5">
                  <c:v>0.90000000000000036</c:v>
                </c:pt>
                <c:pt idx="6">
                  <c:v>4.5999999999999996</c:v>
                </c:pt>
                <c:pt idx="7">
                  <c:v>5.0999999999999996</c:v>
                </c:pt>
                <c:pt idx="8">
                  <c:v>7.1999999999999993</c:v>
                </c:pt>
                <c:pt idx="9">
                  <c:v>1.3000000000000007</c:v>
                </c:pt>
                <c:pt idx="10">
                  <c:v>8.1999999999999993</c:v>
                </c:pt>
                <c:pt idx="11">
                  <c:v>3.9000000000000004</c:v>
                </c:pt>
                <c:pt idx="12">
                  <c:v>6</c:v>
                </c:pt>
                <c:pt idx="13">
                  <c:v>9.6999999999999993</c:v>
                </c:pt>
                <c:pt idx="14">
                  <c:v>8.6</c:v>
                </c:pt>
                <c:pt idx="15">
                  <c:v>2.7000000000000011</c:v>
                </c:pt>
                <c:pt idx="16">
                  <c:v>12.799999999999999</c:v>
                </c:pt>
                <c:pt idx="17">
                  <c:v>13.299999999999999</c:v>
                </c:pt>
                <c:pt idx="18">
                  <c:v>9</c:v>
                </c:pt>
                <c:pt idx="19">
                  <c:v>3.1000000000000014</c:v>
                </c:pt>
                <c:pt idx="20">
                  <c:v>8.4</c:v>
                </c:pt>
                <c:pt idx="21">
                  <c:v>10.5</c:v>
                </c:pt>
                <c:pt idx="22">
                  <c:v>3.0000000000000018</c:v>
                </c:pt>
                <c:pt idx="23">
                  <c:v>17.899999999999999</c:v>
                </c:pt>
                <c:pt idx="24">
                  <c:v>10.4</c:v>
                </c:pt>
                <c:pt idx="25">
                  <c:v>10.9</c:v>
                </c:pt>
                <c:pt idx="26">
                  <c:v>8.2000000000000011</c:v>
                </c:pt>
                <c:pt idx="27">
                  <c:v>15.1</c:v>
                </c:pt>
                <c:pt idx="28">
                  <c:v>20.399999999999999</c:v>
                </c:pt>
                <c:pt idx="29">
                  <c:v>9.7000000000000011</c:v>
                </c:pt>
                <c:pt idx="30">
                  <c:v>24.599999999999998</c:v>
                </c:pt>
                <c:pt idx="31">
                  <c:v>18.7</c:v>
                </c:pt>
                <c:pt idx="32">
                  <c:v>20.799999999999997</c:v>
                </c:pt>
                <c:pt idx="33">
                  <c:v>8.5000000000000018</c:v>
                </c:pt>
                <c:pt idx="34">
                  <c:v>17</c:v>
                </c:pt>
                <c:pt idx="35">
                  <c:v>30.299999999999997</c:v>
                </c:pt>
                <c:pt idx="36">
                  <c:v>32.4</c:v>
                </c:pt>
                <c:pt idx="37">
                  <c:v>16.899999999999999</c:v>
                </c:pt>
                <c:pt idx="38">
                  <c:v>4.6000000000000032</c:v>
                </c:pt>
                <c:pt idx="39">
                  <c:v>33.9</c:v>
                </c:pt>
                <c:pt idx="40">
                  <c:v>7.2000000000000028</c:v>
                </c:pt>
                <c:pt idx="41">
                  <c:v>36.5</c:v>
                </c:pt>
                <c:pt idx="42">
                  <c:v>37</c:v>
                </c:pt>
                <c:pt idx="43">
                  <c:v>5.5000000000000036</c:v>
                </c:pt>
                <c:pt idx="44">
                  <c:v>23.6</c:v>
                </c:pt>
                <c:pt idx="45">
                  <c:v>35.299999999999997</c:v>
                </c:pt>
                <c:pt idx="46">
                  <c:v>34.199999999999996</c:v>
                </c:pt>
                <c:pt idx="47">
                  <c:v>9.1000000000000032</c:v>
                </c:pt>
                <c:pt idx="48">
                  <c:v>9.6000000000000032</c:v>
                </c:pt>
                <c:pt idx="49">
                  <c:v>30.9</c:v>
                </c:pt>
                <c:pt idx="50">
                  <c:v>44.199999999999996</c:v>
                </c:pt>
                <c:pt idx="51">
                  <c:v>39.9</c:v>
                </c:pt>
                <c:pt idx="52">
                  <c:v>35.599999999999994</c:v>
                </c:pt>
                <c:pt idx="53">
                  <c:v>34.5</c:v>
                </c:pt>
                <c:pt idx="54">
                  <c:v>14.200000000000003</c:v>
                </c:pt>
                <c:pt idx="55">
                  <c:v>21.1</c:v>
                </c:pt>
                <c:pt idx="56">
                  <c:v>44</c:v>
                </c:pt>
                <c:pt idx="57">
                  <c:v>38.099999999999994</c:v>
                </c:pt>
                <c:pt idx="58">
                  <c:v>6.600000000000005</c:v>
                </c:pt>
                <c:pt idx="59">
                  <c:v>48.699999999999996</c:v>
                </c:pt>
                <c:pt idx="60">
                  <c:v>15.600000000000003</c:v>
                </c:pt>
                <c:pt idx="61">
                  <c:v>35.299999999999997</c:v>
                </c:pt>
                <c:pt idx="62">
                  <c:v>45.4</c:v>
                </c:pt>
                <c:pt idx="63">
                  <c:v>21.900000000000002</c:v>
                </c:pt>
                <c:pt idx="64">
                  <c:v>16.000000000000004</c:v>
                </c:pt>
                <c:pt idx="65">
                  <c:v>43.699999999999996</c:v>
                </c:pt>
                <c:pt idx="66">
                  <c:v>13.800000000000004</c:v>
                </c:pt>
                <c:pt idx="67">
                  <c:v>30.3</c:v>
                </c:pt>
                <c:pt idx="68">
                  <c:v>53.199999999999996</c:v>
                </c:pt>
                <c:pt idx="69">
                  <c:v>56.899999999999991</c:v>
                </c:pt>
                <c:pt idx="70">
                  <c:v>7.8000000000000043</c:v>
                </c:pt>
                <c:pt idx="71">
                  <c:v>33.9</c:v>
                </c:pt>
                <c:pt idx="72">
                  <c:v>31.200000000000003</c:v>
                </c:pt>
                <c:pt idx="73">
                  <c:v>7.7000000000000064</c:v>
                </c:pt>
                <c:pt idx="74">
                  <c:v>16.200000000000003</c:v>
                </c:pt>
                <c:pt idx="75">
                  <c:v>27.900000000000002</c:v>
                </c:pt>
                <c:pt idx="76">
                  <c:v>31.6</c:v>
                </c:pt>
                <c:pt idx="77">
                  <c:v>35.299999999999997</c:v>
                </c:pt>
                <c:pt idx="78">
                  <c:v>45.4</c:v>
                </c:pt>
                <c:pt idx="79">
                  <c:v>57.099999999999994</c:v>
                </c:pt>
                <c:pt idx="80">
                  <c:v>22.400000000000006</c:v>
                </c:pt>
                <c:pt idx="81">
                  <c:v>38.9</c:v>
                </c:pt>
                <c:pt idx="82">
                  <c:v>31.400000000000002</c:v>
                </c:pt>
                <c:pt idx="83">
                  <c:v>62.3</c:v>
                </c:pt>
                <c:pt idx="84">
                  <c:v>24.400000000000006</c:v>
                </c:pt>
                <c:pt idx="85">
                  <c:v>63.3</c:v>
                </c:pt>
                <c:pt idx="86">
                  <c:v>54.199999999999996</c:v>
                </c:pt>
                <c:pt idx="87">
                  <c:v>19.500000000000007</c:v>
                </c:pt>
                <c:pt idx="88">
                  <c:v>26.400000000000006</c:v>
                </c:pt>
                <c:pt idx="89">
                  <c:v>38.1</c:v>
                </c:pt>
                <c:pt idx="90">
                  <c:v>33.800000000000004</c:v>
                </c:pt>
                <c:pt idx="91">
                  <c:v>53.5</c:v>
                </c:pt>
                <c:pt idx="92">
                  <c:v>36.400000000000006</c:v>
                </c:pt>
                <c:pt idx="93">
                  <c:v>32.1</c:v>
                </c:pt>
                <c:pt idx="94">
                  <c:v>35.800000000000004</c:v>
                </c:pt>
                <c:pt idx="95">
                  <c:v>23.500000000000007</c:v>
                </c:pt>
                <c:pt idx="96">
                  <c:v>70.399999999999991</c:v>
                </c:pt>
                <c:pt idx="97">
                  <c:v>22.900000000000006</c:v>
                </c:pt>
                <c:pt idx="98">
                  <c:v>45.8</c:v>
                </c:pt>
                <c:pt idx="99">
                  <c:v>52.7</c:v>
                </c:pt>
                <c:pt idx="100">
                  <c:v>13.20000000000001</c:v>
                </c:pt>
                <c:pt idx="101">
                  <c:v>47.3</c:v>
                </c:pt>
                <c:pt idx="102">
                  <c:v>89.399999999999991</c:v>
                </c:pt>
                <c:pt idx="103">
                  <c:v>70.699999999999989</c:v>
                </c:pt>
                <c:pt idx="104">
                  <c:v>47.2</c:v>
                </c:pt>
                <c:pt idx="105">
                  <c:v>62.099999999999994</c:v>
                </c:pt>
                <c:pt idx="106">
                  <c:v>89.799999999999983</c:v>
                </c:pt>
                <c:pt idx="107">
                  <c:v>75.899999999999991</c:v>
                </c:pt>
                <c:pt idx="108">
                  <c:v>23.600000000000009</c:v>
                </c:pt>
                <c:pt idx="109">
                  <c:v>24.100000000000009</c:v>
                </c:pt>
                <c:pt idx="110">
                  <c:v>67.8</c:v>
                </c:pt>
                <c:pt idx="111">
                  <c:v>71.5</c:v>
                </c:pt>
                <c:pt idx="112">
                  <c:v>33.600000000000009</c:v>
                </c:pt>
                <c:pt idx="113">
                  <c:v>46.900000000000006</c:v>
                </c:pt>
                <c:pt idx="114">
                  <c:v>61.8</c:v>
                </c:pt>
                <c:pt idx="115">
                  <c:v>30.300000000000004</c:v>
                </c:pt>
                <c:pt idx="116">
                  <c:v>78.8</c:v>
                </c:pt>
                <c:pt idx="117">
                  <c:v>88.899999999999991</c:v>
                </c:pt>
                <c:pt idx="118">
                  <c:v>76.599999999999994</c:v>
                </c:pt>
                <c:pt idx="119">
                  <c:v>46.7</c:v>
                </c:pt>
                <c:pt idx="120">
                  <c:v>92</c:v>
                </c:pt>
                <c:pt idx="121">
                  <c:v>76.5</c:v>
                </c:pt>
                <c:pt idx="122">
                  <c:v>88.199999999999989</c:v>
                </c:pt>
                <c:pt idx="123">
                  <c:v>91.899999999999991</c:v>
                </c:pt>
                <c:pt idx="124">
                  <c:v>42.800000000000004</c:v>
                </c:pt>
                <c:pt idx="125">
                  <c:v>65.7</c:v>
                </c:pt>
                <c:pt idx="126">
                  <c:v>58.2</c:v>
                </c:pt>
                <c:pt idx="127">
                  <c:v>71.5</c:v>
                </c:pt>
                <c:pt idx="128">
                  <c:v>76.8</c:v>
                </c:pt>
                <c:pt idx="129">
                  <c:v>64.5</c:v>
                </c:pt>
                <c:pt idx="130">
                  <c:v>58.6</c:v>
                </c:pt>
                <c:pt idx="131">
                  <c:v>78.3</c:v>
                </c:pt>
                <c:pt idx="132">
                  <c:v>66</c:v>
                </c:pt>
                <c:pt idx="133">
                  <c:v>48.900000000000006</c:v>
                </c:pt>
                <c:pt idx="134">
                  <c:v>65.400000000000006</c:v>
                </c:pt>
                <c:pt idx="135">
                  <c:v>57.900000000000006</c:v>
                </c:pt>
                <c:pt idx="136">
                  <c:v>47.2</c:v>
                </c:pt>
                <c:pt idx="137">
                  <c:v>66.900000000000006</c:v>
                </c:pt>
                <c:pt idx="138">
                  <c:v>78.599999999999994</c:v>
                </c:pt>
                <c:pt idx="139">
                  <c:v>63.1</c:v>
                </c:pt>
                <c:pt idx="140">
                  <c:v>50.800000000000004</c:v>
                </c:pt>
                <c:pt idx="141">
                  <c:v>56.1</c:v>
                </c:pt>
                <c:pt idx="142">
                  <c:v>56.6</c:v>
                </c:pt>
                <c:pt idx="143">
                  <c:v>81.099999999999994</c:v>
                </c:pt>
                <c:pt idx="144">
                  <c:v>83.2</c:v>
                </c:pt>
                <c:pt idx="145">
                  <c:v>67.7</c:v>
                </c:pt>
                <c:pt idx="146">
                  <c:v>53.800000000000004</c:v>
                </c:pt>
                <c:pt idx="147">
                  <c:v>63.900000000000006</c:v>
                </c:pt>
                <c:pt idx="148">
                  <c:v>78.8</c:v>
                </c:pt>
                <c:pt idx="149">
                  <c:v>76.099999999999994</c:v>
                </c:pt>
                <c:pt idx="150">
                  <c:v>78.2</c:v>
                </c:pt>
                <c:pt idx="151">
                  <c:v>69.099999999999994</c:v>
                </c:pt>
                <c:pt idx="152">
                  <c:v>85.6</c:v>
                </c:pt>
                <c:pt idx="153">
                  <c:v>84.5</c:v>
                </c:pt>
                <c:pt idx="154">
                  <c:v>78.599999999999994</c:v>
                </c:pt>
                <c:pt idx="155">
                  <c:v>71.099999999999994</c:v>
                </c:pt>
                <c:pt idx="156">
                  <c:v>65.2</c:v>
                </c:pt>
                <c:pt idx="157">
                  <c:v>80.099999999999994</c:v>
                </c:pt>
                <c:pt idx="158">
                  <c:v>63</c:v>
                </c:pt>
                <c:pt idx="159">
                  <c:v>71.5</c:v>
                </c:pt>
                <c:pt idx="160">
                  <c:v>65.600000000000009</c:v>
                </c:pt>
                <c:pt idx="161">
                  <c:v>70.900000000000006</c:v>
                </c:pt>
                <c:pt idx="162">
                  <c:v>84.2</c:v>
                </c:pt>
                <c:pt idx="163">
                  <c:v>89.5</c:v>
                </c:pt>
                <c:pt idx="164">
                  <c:v>72.400000000000006</c:v>
                </c:pt>
                <c:pt idx="165">
                  <c:v>74.5</c:v>
                </c:pt>
                <c:pt idx="166">
                  <c:v>95.8</c:v>
                </c:pt>
                <c:pt idx="167">
                  <c:v>88.3</c:v>
                </c:pt>
                <c:pt idx="168">
                  <c:v>95.2</c:v>
                </c:pt>
                <c:pt idx="169">
                  <c:v>76.5</c:v>
                </c:pt>
                <c:pt idx="170">
                  <c:v>88.2</c:v>
                </c:pt>
                <c:pt idx="171">
                  <c:v>87.1</c:v>
                </c:pt>
                <c:pt idx="172">
                  <c:v>97.2</c:v>
                </c:pt>
                <c:pt idx="173">
                  <c:v>86.5</c:v>
                </c:pt>
                <c:pt idx="174">
                  <c:v>90.2</c:v>
                </c:pt>
                <c:pt idx="175">
                  <c:v>85.9</c:v>
                </c:pt>
                <c:pt idx="176">
                  <c:v>88</c:v>
                </c:pt>
                <c:pt idx="177">
                  <c:v>94.9</c:v>
                </c:pt>
                <c:pt idx="178">
                  <c:v>81</c:v>
                </c:pt>
                <c:pt idx="179">
                  <c:v>91.1</c:v>
                </c:pt>
                <c:pt idx="180">
                  <c:v>82</c:v>
                </c:pt>
                <c:pt idx="181">
                  <c:v>88.9</c:v>
                </c:pt>
                <c:pt idx="182">
                  <c:v>91</c:v>
                </c:pt>
                <c:pt idx="183">
                  <c:v>88.3</c:v>
                </c:pt>
                <c:pt idx="184">
                  <c:v>93.6</c:v>
                </c:pt>
                <c:pt idx="185">
                  <c:v>95.7</c:v>
                </c:pt>
                <c:pt idx="186">
                  <c:v>94.6</c:v>
                </c:pt>
                <c:pt idx="187">
                  <c:v>90.3</c:v>
                </c:pt>
                <c:pt idx="188">
                  <c:v>98.8</c:v>
                </c:pt>
                <c:pt idx="189">
                  <c:v>94.5</c:v>
                </c:pt>
                <c:pt idx="190">
                  <c:v>95</c:v>
                </c:pt>
                <c:pt idx="191">
                  <c:v>95.5</c:v>
                </c:pt>
                <c:pt idx="192">
                  <c:v>94.4</c:v>
                </c:pt>
                <c:pt idx="193">
                  <c:v>96.5</c:v>
                </c:pt>
                <c:pt idx="194">
                  <c:v>98.6</c:v>
                </c:pt>
                <c:pt idx="195">
                  <c:v>99.1</c:v>
                </c:pt>
                <c:pt idx="196">
                  <c:v>96.4</c:v>
                </c:pt>
                <c:pt idx="197">
                  <c:v>98.5</c:v>
                </c:pt>
                <c:pt idx="198">
                  <c:v>99</c:v>
                </c:pt>
                <c:pt idx="199">
                  <c:v>99.5</c:v>
                </c:pt>
                <c:pt idx="200">
                  <c:v>100</c:v>
                </c:pt>
              </c:numCache>
            </c:numRef>
          </c:yVal>
          <c:smooth val="0"/>
          <c:extLst xmlns:c16r2="http://schemas.microsoft.com/office/drawing/2015/06/chart">
            <c:ext xmlns:c16="http://schemas.microsoft.com/office/drawing/2014/chart" uri="{C3380CC4-5D6E-409C-BE32-E72D297353CC}">
              <c16:uniqueId val="{00000000-E134-4B63-95F6-236057BA471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134-4B63-95F6-236057BA4710}"/>
            </c:ext>
          </c:extLst>
        </c:ser>
        <c:dLbls>
          <c:showLegendKey val="0"/>
          <c:showVal val="0"/>
          <c:showCatName val="0"/>
          <c:showSerName val="0"/>
          <c:showPercent val="0"/>
          <c:showBubbleSize val="0"/>
        </c:dLbls>
        <c:axId val="827035840"/>
        <c:axId val="827036384"/>
      </c:scatterChart>
      <c:valAx>
        <c:axId val="827035840"/>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6384"/>
        <c:crosses val="autoZero"/>
        <c:crossBetween val="midCat"/>
      </c:valAx>
      <c:valAx>
        <c:axId val="827036384"/>
        <c:scaling>
          <c:orientation val="minMax"/>
          <c:max val="100"/>
          <c:min val="0"/>
        </c:scaling>
        <c:delete val="0"/>
        <c:axPos val="l"/>
        <c:title>
          <c:tx>
            <c:rich>
              <a:bodyPr rot="0" vert="horz"/>
              <a:lstStyle/>
              <a:p>
                <a:pPr>
                  <a:defRPr/>
                </a:pPr>
                <a:r>
                  <a:rPr lang="es-BO"/>
                  <a:t>Sg, %</a:t>
                </a:r>
              </a:p>
            </c:rich>
          </c:tx>
          <c:layout>
            <c:manualLayout>
              <c:xMode val="edge"/>
              <c:yMode val="edge"/>
              <c:x val="2.7272727272727271E-2"/>
              <c:y val="1.2745406824146991E-2"/>
            </c:manualLayout>
          </c:layout>
          <c:overlay val="0"/>
        </c:title>
        <c:numFmt formatCode="General" sourceLinked="0"/>
        <c:majorTickMark val="out"/>
        <c:minorTickMark val="none"/>
        <c:tickLblPos val="nextTo"/>
        <c:crossAx val="82703584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Simulated Data</a:t>
            </a:r>
          </a:p>
        </c:rich>
      </c:tx>
      <c:layout>
        <c:manualLayout>
          <c:xMode val="edge"/>
          <c:yMode val="edge"/>
          <c:x val="0.62854545454545452"/>
          <c:y val="2.1052631578947368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Corr'!$P$10:$P$210</c:f>
              <c:numCache>
                <c:formatCode>#,##0.00;\-0.00;"--"</c:formatCode>
                <c:ptCount val="201"/>
                <c:pt idx="1">
                  <c:v>99.5</c:v>
                </c:pt>
                <c:pt idx="2">
                  <c:v>99</c:v>
                </c:pt>
                <c:pt idx="3">
                  <c:v>98.5</c:v>
                </c:pt>
                <c:pt idx="4">
                  <c:v>99.6</c:v>
                </c:pt>
                <c:pt idx="5">
                  <c:v>99.1</c:v>
                </c:pt>
                <c:pt idx="6">
                  <c:v>95.4</c:v>
                </c:pt>
                <c:pt idx="7">
                  <c:v>94.9</c:v>
                </c:pt>
                <c:pt idx="8">
                  <c:v>92.8</c:v>
                </c:pt>
                <c:pt idx="9">
                  <c:v>98.7</c:v>
                </c:pt>
                <c:pt idx="10">
                  <c:v>91.8</c:v>
                </c:pt>
                <c:pt idx="11">
                  <c:v>96.1</c:v>
                </c:pt>
                <c:pt idx="12">
                  <c:v>94</c:v>
                </c:pt>
                <c:pt idx="13">
                  <c:v>90.3</c:v>
                </c:pt>
                <c:pt idx="14">
                  <c:v>91.4</c:v>
                </c:pt>
                <c:pt idx="15">
                  <c:v>97.3</c:v>
                </c:pt>
                <c:pt idx="16">
                  <c:v>87.2</c:v>
                </c:pt>
                <c:pt idx="17">
                  <c:v>86.7</c:v>
                </c:pt>
                <c:pt idx="18">
                  <c:v>91</c:v>
                </c:pt>
                <c:pt idx="19">
                  <c:v>96.9</c:v>
                </c:pt>
                <c:pt idx="20">
                  <c:v>91.6</c:v>
                </c:pt>
                <c:pt idx="21">
                  <c:v>89.5</c:v>
                </c:pt>
                <c:pt idx="22">
                  <c:v>97</c:v>
                </c:pt>
                <c:pt idx="23">
                  <c:v>82.1</c:v>
                </c:pt>
                <c:pt idx="24">
                  <c:v>89.6</c:v>
                </c:pt>
                <c:pt idx="25">
                  <c:v>89.1</c:v>
                </c:pt>
                <c:pt idx="26">
                  <c:v>91.8</c:v>
                </c:pt>
                <c:pt idx="27">
                  <c:v>84.9</c:v>
                </c:pt>
                <c:pt idx="28">
                  <c:v>79.599999999999994</c:v>
                </c:pt>
                <c:pt idx="29">
                  <c:v>90.3</c:v>
                </c:pt>
                <c:pt idx="30">
                  <c:v>75.400000000000006</c:v>
                </c:pt>
                <c:pt idx="31">
                  <c:v>81.3</c:v>
                </c:pt>
                <c:pt idx="32">
                  <c:v>79.2</c:v>
                </c:pt>
                <c:pt idx="33">
                  <c:v>91.5</c:v>
                </c:pt>
                <c:pt idx="34">
                  <c:v>83</c:v>
                </c:pt>
                <c:pt idx="35">
                  <c:v>69.7</c:v>
                </c:pt>
                <c:pt idx="36">
                  <c:v>67.599999999999994</c:v>
                </c:pt>
                <c:pt idx="37">
                  <c:v>83.1</c:v>
                </c:pt>
                <c:pt idx="38">
                  <c:v>95.399999999999991</c:v>
                </c:pt>
                <c:pt idx="39">
                  <c:v>66.099999999999994</c:v>
                </c:pt>
                <c:pt idx="40">
                  <c:v>92.8</c:v>
                </c:pt>
                <c:pt idx="41">
                  <c:v>63.5</c:v>
                </c:pt>
                <c:pt idx="42">
                  <c:v>63</c:v>
                </c:pt>
                <c:pt idx="43">
                  <c:v>94.5</c:v>
                </c:pt>
                <c:pt idx="44">
                  <c:v>76.400000000000006</c:v>
                </c:pt>
                <c:pt idx="45">
                  <c:v>64.7</c:v>
                </c:pt>
                <c:pt idx="46">
                  <c:v>65.800000000000011</c:v>
                </c:pt>
                <c:pt idx="47">
                  <c:v>90.899999999999991</c:v>
                </c:pt>
                <c:pt idx="48">
                  <c:v>90.399999999999991</c:v>
                </c:pt>
                <c:pt idx="49">
                  <c:v>69.099999999999994</c:v>
                </c:pt>
                <c:pt idx="50">
                  <c:v>55.800000000000004</c:v>
                </c:pt>
                <c:pt idx="51">
                  <c:v>60.1</c:v>
                </c:pt>
                <c:pt idx="52">
                  <c:v>64.400000000000006</c:v>
                </c:pt>
                <c:pt idx="53">
                  <c:v>65.5</c:v>
                </c:pt>
                <c:pt idx="54">
                  <c:v>85.8</c:v>
                </c:pt>
                <c:pt idx="55">
                  <c:v>78.900000000000006</c:v>
                </c:pt>
                <c:pt idx="56">
                  <c:v>56</c:v>
                </c:pt>
                <c:pt idx="57">
                  <c:v>61.900000000000006</c:v>
                </c:pt>
                <c:pt idx="58">
                  <c:v>93.399999999999991</c:v>
                </c:pt>
                <c:pt idx="59">
                  <c:v>51.300000000000004</c:v>
                </c:pt>
                <c:pt idx="60">
                  <c:v>84.399999999999991</c:v>
                </c:pt>
                <c:pt idx="61">
                  <c:v>64.7</c:v>
                </c:pt>
                <c:pt idx="62">
                  <c:v>54.6</c:v>
                </c:pt>
                <c:pt idx="63">
                  <c:v>78.099999999999994</c:v>
                </c:pt>
                <c:pt idx="64">
                  <c:v>84</c:v>
                </c:pt>
                <c:pt idx="65">
                  <c:v>56.300000000000004</c:v>
                </c:pt>
                <c:pt idx="66">
                  <c:v>86.199999999999989</c:v>
                </c:pt>
                <c:pt idx="67">
                  <c:v>69.7</c:v>
                </c:pt>
                <c:pt idx="68">
                  <c:v>46.800000000000004</c:v>
                </c:pt>
                <c:pt idx="69">
                  <c:v>43.100000000000009</c:v>
                </c:pt>
                <c:pt idx="70">
                  <c:v>92.199999999999989</c:v>
                </c:pt>
                <c:pt idx="71">
                  <c:v>66.099999999999994</c:v>
                </c:pt>
                <c:pt idx="72">
                  <c:v>68.8</c:v>
                </c:pt>
                <c:pt idx="73">
                  <c:v>92.3</c:v>
                </c:pt>
                <c:pt idx="74">
                  <c:v>83.8</c:v>
                </c:pt>
                <c:pt idx="75">
                  <c:v>72.099999999999994</c:v>
                </c:pt>
                <c:pt idx="76">
                  <c:v>68.400000000000006</c:v>
                </c:pt>
                <c:pt idx="77">
                  <c:v>64.7</c:v>
                </c:pt>
                <c:pt idx="78">
                  <c:v>54.6</c:v>
                </c:pt>
                <c:pt idx="79">
                  <c:v>42.900000000000006</c:v>
                </c:pt>
                <c:pt idx="80">
                  <c:v>77.599999999999994</c:v>
                </c:pt>
                <c:pt idx="81">
                  <c:v>61.1</c:v>
                </c:pt>
                <c:pt idx="82">
                  <c:v>68.599999999999994</c:v>
                </c:pt>
                <c:pt idx="83">
                  <c:v>37.700000000000003</c:v>
                </c:pt>
                <c:pt idx="84">
                  <c:v>75.599999999999994</c:v>
                </c:pt>
                <c:pt idx="85">
                  <c:v>36.700000000000003</c:v>
                </c:pt>
                <c:pt idx="86">
                  <c:v>45.800000000000004</c:v>
                </c:pt>
                <c:pt idx="87">
                  <c:v>80.5</c:v>
                </c:pt>
                <c:pt idx="88">
                  <c:v>73.599999999999994</c:v>
                </c:pt>
                <c:pt idx="89">
                  <c:v>61.9</c:v>
                </c:pt>
                <c:pt idx="90">
                  <c:v>66.199999999999989</c:v>
                </c:pt>
                <c:pt idx="91">
                  <c:v>46.5</c:v>
                </c:pt>
                <c:pt idx="92">
                  <c:v>63.599999999999994</c:v>
                </c:pt>
                <c:pt idx="93">
                  <c:v>67.900000000000006</c:v>
                </c:pt>
                <c:pt idx="94">
                  <c:v>64.199999999999989</c:v>
                </c:pt>
                <c:pt idx="95">
                  <c:v>76.5</c:v>
                </c:pt>
                <c:pt idx="96">
                  <c:v>29.600000000000009</c:v>
                </c:pt>
                <c:pt idx="97">
                  <c:v>77.099999999999994</c:v>
                </c:pt>
                <c:pt idx="98">
                  <c:v>54.2</c:v>
                </c:pt>
                <c:pt idx="99">
                  <c:v>47.3</c:v>
                </c:pt>
                <c:pt idx="100">
                  <c:v>86.799999999999983</c:v>
                </c:pt>
                <c:pt idx="101">
                  <c:v>52.7</c:v>
                </c:pt>
                <c:pt idx="102">
                  <c:v>10.600000000000009</c:v>
                </c:pt>
                <c:pt idx="103">
                  <c:v>29.300000000000011</c:v>
                </c:pt>
                <c:pt idx="104">
                  <c:v>52.8</c:v>
                </c:pt>
                <c:pt idx="105">
                  <c:v>37.900000000000006</c:v>
                </c:pt>
                <c:pt idx="106">
                  <c:v>10.200000000000017</c:v>
                </c:pt>
                <c:pt idx="107">
                  <c:v>24.100000000000009</c:v>
                </c:pt>
                <c:pt idx="108">
                  <c:v>76.399999999999991</c:v>
                </c:pt>
                <c:pt idx="109">
                  <c:v>75.899999999999991</c:v>
                </c:pt>
                <c:pt idx="110">
                  <c:v>32.200000000000003</c:v>
                </c:pt>
                <c:pt idx="111">
                  <c:v>28.5</c:v>
                </c:pt>
                <c:pt idx="112">
                  <c:v>66.399999999999991</c:v>
                </c:pt>
                <c:pt idx="113">
                  <c:v>53.099999999999994</c:v>
                </c:pt>
                <c:pt idx="114">
                  <c:v>38.200000000000003</c:v>
                </c:pt>
                <c:pt idx="115">
                  <c:v>69.699999999999989</c:v>
                </c:pt>
                <c:pt idx="116">
                  <c:v>21.200000000000003</c:v>
                </c:pt>
                <c:pt idx="117">
                  <c:v>11.100000000000009</c:v>
                </c:pt>
                <c:pt idx="118">
                  <c:v>23.400000000000006</c:v>
                </c:pt>
                <c:pt idx="119">
                  <c:v>53.3</c:v>
                </c:pt>
                <c:pt idx="120">
                  <c:v>8</c:v>
                </c:pt>
                <c:pt idx="121">
                  <c:v>23.5</c:v>
                </c:pt>
                <c:pt idx="122">
                  <c:v>11.800000000000011</c:v>
                </c:pt>
                <c:pt idx="123">
                  <c:v>8.1000000000000085</c:v>
                </c:pt>
                <c:pt idx="124">
                  <c:v>57.199999999999996</c:v>
                </c:pt>
                <c:pt idx="125">
                  <c:v>34.299999999999997</c:v>
                </c:pt>
                <c:pt idx="126">
                  <c:v>41.8</c:v>
                </c:pt>
                <c:pt idx="127">
                  <c:v>28.5</c:v>
                </c:pt>
                <c:pt idx="128">
                  <c:v>23.200000000000003</c:v>
                </c:pt>
                <c:pt idx="129">
                  <c:v>35.5</c:v>
                </c:pt>
                <c:pt idx="130">
                  <c:v>41.4</c:v>
                </c:pt>
                <c:pt idx="131">
                  <c:v>21.700000000000003</c:v>
                </c:pt>
                <c:pt idx="132">
                  <c:v>34</c:v>
                </c:pt>
                <c:pt idx="133">
                  <c:v>51.099999999999994</c:v>
                </c:pt>
                <c:pt idx="134">
                  <c:v>34.599999999999994</c:v>
                </c:pt>
                <c:pt idx="135">
                  <c:v>42.099999999999994</c:v>
                </c:pt>
                <c:pt idx="136">
                  <c:v>52.8</c:v>
                </c:pt>
                <c:pt idx="137">
                  <c:v>33.099999999999994</c:v>
                </c:pt>
                <c:pt idx="138">
                  <c:v>21.400000000000006</c:v>
                </c:pt>
                <c:pt idx="139">
                  <c:v>36.9</c:v>
                </c:pt>
                <c:pt idx="140">
                  <c:v>49.199999999999996</c:v>
                </c:pt>
                <c:pt idx="141">
                  <c:v>43.9</c:v>
                </c:pt>
                <c:pt idx="142">
                  <c:v>43.4</c:v>
                </c:pt>
                <c:pt idx="143">
                  <c:v>18.900000000000006</c:v>
                </c:pt>
                <c:pt idx="144">
                  <c:v>16.799999999999997</c:v>
                </c:pt>
                <c:pt idx="145">
                  <c:v>32.299999999999997</c:v>
                </c:pt>
                <c:pt idx="146">
                  <c:v>46.199999999999996</c:v>
                </c:pt>
                <c:pt idx="147">
                  <c:v>36.099999999999994</c:v>
                </c:pt>
                <c:pt idx="148">
                  <c:v>21.200000000000003</c:v>
                </c:pt>
                <c:pt idx="149">
                  <c:v>23.900000000000006</c:v>
                </c:pt>
                <c:pt idx="150">
                  <c:v>21.799999999999997</c:v>
                </c:pt>
                <c:pt idx="151">
                  <c:v>30.900000000000006</c:v>
                </c:pt>
                <c:pt idx="152">
                  <c:v>14.400000000000006</c:v>
                </c:pt>
                <c:pt idx="153">
                  <c:v>15.5</c:v>
                </c:pt>
                <c:pt idx="154">
                  <c:v>21.400000000000006</c:v>
                </c:pt>
                <c:pt idx="155">
                  <c:v>28.900000000000006</c:v>
                </c:pt>
                <c:pt idx="156">
                  <c:v>34.799999999999997</c:v>
                </c:pt>
                <c:pt idx="157">
                  <c:v>19.900000000000006</c:v>
                </c:pt>
                <c:pt idx="158">
                  <c:v>37</c:v>
                </c:pt>
                <c:pt idx="159">
                  <c:v>28.5</c:v>
                </c:pt>
                <c:pt idx="160">
                  <c:v>34.399999999999991</c:v>
                </c:pt>
                <c:pt idx="161">
                  <c:v>29.099999999999994</c:v>
                </c:pt>
                <c:pt idx="162">
                  <c:v>15.799999999999997</c:v>
                </c:pt>
                <c:pt idx="163">
                  <c:v>10.5</c:v>
                </c:pt>
                <c:pt idx="164">
                  <c:v>27.599999999999994</c:v>
                </c:pt>
                <c:pt idx="165">
                  <c:v>25.5</c:v>
                </c:pt>
                <c:pt idx="166">
                  <c:v>4.2000000000000028</c:v>
                </c:pt>
                <c:pt idx="167">
                  <c:v>11.700000000000003</c:v>
                </c:pt>
                <c:pt idx="168">
                  <c:v>4.7999999999999972</c:v>
                </c:pt>
                <c:pt idx="169">
                  <c:v>23.5</c:v>
                </c:pt>
                <c:pt idx="170">
                  <c:v>11.799999999999997</c:v>
                </c:pt>
                <c:pt idx="171">
                  <c:v>12.900000000000006</c:v>
                </c:pt>
                <c:pt idx="172">
                  <c:v>2.7999999999999972</c:v>
                </c:pt>
                <c:pt idx="173">
                  <c:v>13.5</c:v>
                </c:pt>
                <c:pt idx="174">
                  <c:v>9.7999999999999972</c:v>
                </c:pt>
                <c:pt idx="175">
                  <c:v>14.099999999999994</c:v>
                </c:pt>
                <c:pt idx="176">
                  <c:v>12</c:v>
                </c:pt>
                <c:pt idx="177">
                  <c:v>5.0999999999999943</c:v>
                </c:pt>
                <c:pt idx="178">
                  <c:v>19</c:v>
                </c:pt>
                <c:pt idx="179">
                  <c:v>8.9000000000000057</c:v>
                </c:pt>
                <c:pt idx="180">
                  <c:v>18</c:v>
                </c:pt>
                <c:pt idx="181">
                  <c:v>11.099999999999994</c:v>
                </c:pt>
                <c:pt idx="182">
                  <c:v>9</c:v>
                </c:pt>
                <c:pt idx="183">
                  <c:v>11.700000000000003</c:v>
                </c:pt>
                <c:pt idx="184">
                  <c:v>6.4000000000000057</c:v>
                </c:pt>
                <c:pt idx="185">
                  <c:v>4.2999999999999972</c:v>
                </c:pt>
                <c:pt idx="186">
                  <c:v>5.4000000000000057</c:v>
                </c:pt>
                <c:pt idx="187">
                  <c:v>9.7000000000000028</c:v>
                </c:pt>
                <c:pt idx="188">
                  <c:v>1.2000000000000028</c:v>
                </c:pt>
                <c:pt idx="189">
                  <c:v>5.5</c:v>
                </c:pt>
                <c:pt idx="190">
                  <c:v>5</c:v>
                </c:pt>
                <c:pt idx="191">
                  <c:v>4.5</c:v>
                </c:pt>
                <c:pt idx="192">
                  <c:v>5.5999999999999943</c:v>
                </c:pt>
                <c:pt idx="193">
                  <c:v>3.5</c:v>
                </c:pt>
                <c:pt idx="194">
                  <c:v>1.4000000000000057</c:v>
                </c:pt>
                <c:pt idx="195">
                  <c:v>0.90000000000000568</c:v>
                </c:pt>
                <c:pt idx="196">
                  <c:v>3.5999999999999943</c:v>
                </c:pt>
                <c:pt idx="197">
                  <c:v>1.5</c:v>
                </c:pt>
                <c:pt idx="198">
                  <c:v>1</c:v>
                </c:pt>
                <c:pt idx="199">
                  <c:v>0.5</c:v>
                </c:pt>
                <c:pt idx="200">
                  <c:v>0</c:v>
                </c:pt>
              </c:numCache>
            </c:numRef>
          </c:yVal>
          <c:smooth val="0"/>
          <c:extLst xmlns:c16r2="http://schemas.microsoft.com/office/drawing/2015/06/chart">
            <c:ext xmlns:c16="http://schemas.microsoft.com/office/drawing/2014/chart" uri="{C3380CC4-5D6E-409C-BE32-E72D297353CC}">
              <c16:uniqueId val="{00000000-E42F-430F-BC9A-37D371B345F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42F-430F-BC9A-37D371B345FF}"/>
            </c:ext>
          </c:extLst>
        </c:ser>
        <c:dLbls>
          <c:showLegendKey val="0"/>
          <c:showVal val="0"/>
          <c:showCatName val="0"/>
          <c:showSerName val="0"/>
          <c:showPercent val="0"/>
          <c:showBubbleSize val="0"/>
        </c:dLbls>
        <c:axId val="827037472"/>
        <c:axId val="827038016"/>
      </c:scatterChart>
      <c:valAx>
        <c:axId val="827037472"/>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8016"/>
        <c:crosses val="autoZero"/>
        <c:crossBetween val="midCat"/>
      </c:valAx>
      <c:valAx>
        <c:axId val="827038016"/>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1212121212121213E-2"/>
              <c:y val="1.2745406824146991E-2"/>
            </c:manualLayout>
          </c:layout>
          <c:overlay val="0"/>
        </c:title>
        <c:numFmt formatCode="General" sourceLinked="0"/>
        <c:majorTickMark val="out"/>
        <c:minorTickMark val="none"/>
        <c:tickLblPos val="nextTo"/>
        <c:crossAx val="827037472"/>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trendline>
            <c:trendlineType val="linear"/>
            <c:intercept val="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Corr'!$D$10:$D$210</c:f>
              <c:numCache>
                <c:formatCode>#,##0.00;\-0.00;"--"</c:formatCode>
                <c:ptCount val="201"/>
                <c:pt idx="0">
                  <c:v>0</c:v>
                </c:pt>
                <c:pt idx="1">
                  <c:v>0.5</c:v>
                </c:pt>
                <c:pt idx="2">
                  <c:v>1</c:v>
                </c:pt>
                <c:pt idx="3">
                  <c:v>5.5</c:v>
                </c:pt>
                <c:pt idx="4">
                  <c:v>10</c:v>
                </c:pt>
                <c:pt idx="5">
                  <c:v>2.5</c:v>
                </c:pt>
                <c:pt idx="6">
                  <c:v>11</c:v>
                </c:pt>
                <c:pt idx="7">
                  <c:v>11.5</c:v>
                </c:pt>
                <c:pt idx="8">
                  <c:v>20</c:v>
                </c:pt>
                <c:pt idx="9">
                  <c:v>16.5</c:v>
                </c:pt>
                <c:pt idx="10">
                  <c:v>17</c:v>
                </c:pt>
                <c:pt idx="11">
                  <c:v>25.5</c:v>
                </c:pt>
                <c:pt idx="12">
                  <c:v>30</c:v>
                </c:pt>
                <c:pt idx="13">
                  <c:v>22.5</c:v>
                </c:pt>
                <c:pt idx="14">
                  <c:v>31</c:v>
                </c:pt>
                <c:pt idx="15">
                  <c:v>11.5</c:v>
                </c:pt>
                <c:pt idx="16">
                  <c:v>40</c:v>
                </c:pt>
                <c:pt idx="17">
                  <c:v>12.5</c:v>
                </c:pt>
                <c:pt idx="18">
                  <c:v>21</c:v>
                </c:pt>
                <c:pt idx="19">
                  <c:v>17.5</c:v>
                </c:pt>
                <c:pt idx="20">
                  <c:v>10</c:v>
                </c:pt>
                <c:pt idx="21">
                  <c:v>26.5</c:v>
                </c:pt>
                <c:pt idx="22">
                  <c:v>23</c:v>
                </c:pt>
                <c:pt idx="23">
                  <c:v>27.5</c:v>
                </c:pt>
                <c:pt idx="24">
                  <c:v>28</c:v>
                </c:pt>
                <c:pt idx="25">
                  <c:v>24.5</c:v>
                </c:pt>
                <c:pt idx="26">
                  <c:v>25</c:v>
                </c:pt>
                <c:pt idx="27">
                  <c:v>57.5</c:v>
                </c:pt>
                <c:pt idx="28">
                  <c:v>30</c:v>
                </c:pt>
                <c:pt idx="29">
                  <c:v>34.5</c:v>
                </c:pt>
                <c:pt idx="30">
                  <c:v>15</c:v>
                </c:pt>
              </c:numCache>
            </c:numRef>
          </c:yVal>
          <c:smooth val="0"/>
          <c:extLst xmlns:c16r2="http://schemas.microsoft.com/office/drawing/2015/06/chart">
            <c:ext xmlns:c16="http://schemas.microsoft.com/office/drawing/2014/chart" uri="{C3380CC4-5D6E-409C-BE32-E72D297353CC}">
              <c16:uniqueId val="{00000000-7784-45A3-A9CD-25E933DF329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7784-45A3-A9CD-25E933DF3290}"/>
            </c:ext>
          </c:extLst>
        </c:ser>
        <c:dLbls>
          <c:showLegendKey val="0"/>
          <c:showVal val="0"/>
          <c:showCatName val="0"/>
          <c:showSerName val="0"/>
          <c:showPercent val="0"/>
          <c:showBubbleSize val="0"/>
        </c:dLbls>
        <c:axId val="827043456"/>
        <c:axId val="828855056"/>
      </c:scatterChart>
      <c:valAx>
        <c:axId val="827043456"/>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55056"/>
        <c:crosses val="autoZero"/>
        <c:crossBetween val="midCat"/>
      </c:valAx>
      <c:valAx>
        <c:axId val="828855056"/>
        <c:scaling>
          <c:orientation val="minMax"/>
          <c:max val="100"/>
          <c:min val="0"/>
        </c:scaling>
        <c:delete val="0"/>
        <c:axPos val="l"/>
        <c:title>
          <c:tx>
            <c:rich>
              <a:bodyPr rot="0" vert="horz"/>
              <a:lstStyle/>
              <a:p>
                <a:pPr>
                  <a:defRPr/>
                </a:pPr>
                <a:r>
                  <a:rPr lang="es-BO"/>
                  <a:t>Sg, %</a:t>
                </a:r>
              </a:p>
            </c:rich>
          </c:tx>
          <c:layout>
            <c:manualLayout>
              <c:xMode val="edge"/>
              <c:yMode val="edge"/>
              <c:x val="1.9753086419753086E-2"/>
              <c:y val="1.9762950683796111E-2"/>
            </c:manualLayout>
          </c:layout>
          <c:overlay val="0"/>
        </c:title>
        <c:numFmt formatCode="General" sourceLinked="0"/>
        <c:majorTickMark val="out"/>
        <c:minorTickMark val="none"/>
        <c:tickLblPos val="nextTo"/>
        <c:crossAx val="827043456"/>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Real Data</a:t>
            </a:r>
          </a:p>
        </c:rich>
      </c:tx>
      <c:layout>
        <c:manualLayout>
          <c:xMode val="edge"/>
          <c:yMode val="edge"/>
          <c:x val="0.71821392696283348"/>
          <c:y val="1.4035087719298246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trendline>
            <c:trendlineType val="linear"/>
            <c:intercept val="10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Corr'!$C$10:$C$210</c:f>
              <c:numCache>
                <c:formatCode>#,##0.00;\-0.00;"--"</c:formatCode>
                <c:ptCount val="201"/>
                <c:pt idx="0">
                  <c:v>100</c:v>
                </c:pt>
                <c:pt idx="1">
                  <c:v>99.5</c:v>
                </c:pt>
                <c:pt idx="2">
                  <c:v>99</c:v>
                </c:pt>
                <c:pt idx="3">
                  <c:v>94.5</c:v>
                </c:pt>
                <c:pt idx="4">
                  <c:v>90</c:v>
                </c:pt>
                <c:pt idx="5">
                  <c:v>97.5</c:v>
                </c:pt>
                <c:pt idx="6">
                  <c:v>89</c:v>
                </c:pt>
                <c:pt idx="7">
                  <c:v>88.5</c:v>
                </c:pt>
                <c:pt idx="8">
                  <c:v>80</c:v>
                </c:pt>
                <c:pt idx="9">
                  <c:v>83.5</c:v>
                </c:pt>
                <c:pt idx="10">
                  <c:v>83</c:v>
                </c:pt>
                <c:pt idx="11">
                  <c:v>74.5</c:v>
                </c:pt>
                <c:pt idx="12">
                  <c:v>70</c:v>
                </c:pt>
                <c:pt idx="13">
                  <c:v>77.5</c:v>
                </c:pt>
                <c:pt idx="14">
                  <c:v>69</c:v>
                </c:pt>
                <c:pt idx="15">
                  <c:v>88.5</c:v>
                </c:pt>
                <c:pt idx="16">
                  <c:v>60</c:v>
                </c:pt>
                <c:pt idx="17">
                  <c:v>87.5</c:v>
                </c:pt>
                <c:pt idx="18">
                  <c:v>79</c:v>
                </c:pt>
                <c:pt idx="19">
                  <c:v>82.5</c:v>
                </c:pt>
                <c:pt idx="20">
                  <c:v>90</c:v>
                </c:pt>
                <c:pt idx="21">
                  <c:v>73.5</c:v>
                </c:pt>
                <c:pt idx="22">
                  <c:v>77</c:v>
                </c:pt>
                <c:pt idx="23">
                  <c:v>72.5</c:v>
                </c:pt>
                <c:pt idx="24">
                  <c:v>72</c:v>
                </c:pt>
                <c:pt idx="25">
                  <c:v>75.5</c:v>
                </c:pt>
                <c:pt idx="26">
                  <c:v>75</c:v>
                </c:pt>
                <c:pt idx="27">
                  <c:v>42.5</c:v>
                </c:pt>
                <c:pt idx="28">
                  <c:v>70</c:v>
                </c:pt>
                <c:pt idx="29">
                  <c:v>65.5</c:v>
                </c:pt>
                <c:pt idx="30">
                  <c:v>85</c:v>
                </c:pt>
              </c:numCache>
            </c:numRef>
          </c:yVal>
          <c:smooth val="0"/>
          <c:extLst xmlns:c16r2="http://schemas.microsoft.com/office/drawing/2015/06/chart">
            <c:ext xmlns:c16="http://schemas.microsoft.com/office/drawing/2014/chart" uri="{C3380CC4-5D6E-409C-BE32-E72D297353CC}">
              <c16:uniqueId val="{00000000-1FF9-449B-B9B4-351BA9496E2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1FF9-449B-B9B4-351BA9496E2F}"/>
            </c:ext>
          </c:extLst>
        </c:ser>
        <c:dLbls>
          <c:showLegendKey val="0"/>
          <c:showVal val="0"/>
          <c:showCatName val="0"/>
          <c:showSerName val="0"/>
          <c:showPercent val="0"/>
          <c:showBubbleSize val="0"/>
        </c:dLbls>
        <c:axId val="828875184"/>
        <c:axId val="828864848"/>
      </c:scatterChart>
      <c:valAx>
        <c:axId val="828875184"/>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64848"/>
        <c:crosses val="autoZero"/>
        <c:crossBetween val="midCat"/>
      </c:valAx>
      <c:valAx>
        <c:axId val="828864848"/>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3045267489711935E-2"/>
              <c:y val="1.6254178753971556E-2"/>
            </c:manualLayout>
          </c:layout>
          <c:overlay val="0"/>
        </c:title>
        <c:numFmt formatCode="General" sourceLinked="0"/>
        <c:majorTickMark val="out"/>
        <c:minorTickMark val="none"/>
        <c:tickLblPos val="nextTo"/>
        <c:crossAx val="828875184"/>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image" Target="../media/image7.jpeg"/><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 Id="rId9"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_rels/drawing12.xml.rels><?xml version="1.0" encoding="UTF-8" standalone="yes"?>
<Relationships xmlns="http://schemas.openxmlformats.org/package/2006/relationships"><Relationship Id="rId8" Type="http://schemas.openxmlformats.org/officeDocument/2006/relationships/image" Target="../media/image29.png"/><Relationship Id="rId13" Type="http://schemas.openxmlformats.org/officeDocument/2006/relationships/image" Target="../media/image34.png"/><Relationship Id="rId3" Type="http://schemas.openxmlformats.org/officeDocument/2006/relationships/image" Target="../media/image24.png"/><Relationship Id="rId7" Type="http://schemas.openxmlformats.org/officeDocument/2006/relationships/image" Target="../media/image28.png"/><Relationship Id="rId12" Type="http://schemas.openxmlformats.org/officeDocument/2006/relationships/image" Target="../media/image33.png"/><Relationship Id="rId2" Type="http://schemas.openxmlformats.org/officeDocument/2006/relationships/image" Target="../media/image23.png"/><Relationship Id="rId16" Type="http://schemas.openxmlformats.org/officeDocument/2006/relationships/image" Target="../media/image37.png"/><Relationship Id="rId1" Type="http://schemas.openxmlformats.org/officeDocument/2006/relationships/image" Target="../media/image22.png"/><Relationship Id="rId6" Type="http://schemas.openxmlformats.org/officeDocument/2006/relationships/image" Target="../media/image27.png"/><Relationship Id="rId11" Type="http://schemas.openxmlformats.org/officeDocument/2006/relationships/image" Target="../media/image32.png"/><Relationship Id="rId5" Type="http://schemas.openxmlformats.org/officeDocument/2006/relationships/image" Target="../media/image26.png"/><Relationship Id="rId15" Type="http://schemas.openxmlformats.org/officeDocument/2006/relationships/image" Target="../media/image36.png"/><Relationship Id="rId10" Type="http://schemas.openxmlformats.org/officeDocument/2006/relationships/image" Target="../media/image31.png"/><Relationship Id="rId4" Type="http://schemas.openxmlformats.org/officeDocument/2006/relationships/image" Target="../media/image25.png"/><Relationship Id="rId9" Type="http://schemas.openxmlformats.org/officeDocument/2006/relationships/image" Target="../media/image30.png"/><Relationship Id="rId14" Type="http://schemas.openxmlformats.org/officeDocument/2006/relationships/image" Target="../media/image3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18.emf"/><Relationship Id="rId7" Type="http://schemas.openxmlformats.org/officeDocument/2006/relationships/image" Target="../media/image13.emf"/><Relationship Id="rId2" Type="http://schemas.openxmlformats.org/officeDocument/2006/relationships/image" Target="../media/image19.emf"/><Relationship Id="rId1" Type="http://schemas.openxmlformats.org/officeDocument/2006/relationships/image" Target="../media/image16.emf"/><Relationship Id="rId6" Type="http://schemas.openxmlformats.org/officeDocument/2006/relationships/image" Target="../media/image14.emf"/><Relationship Id="rId11" Type="http://schemas.openxmlformats.org/officeDocument/2006/relationships/image" Target="../media/image20.emf"/><Relationship Id="rId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9</xdr:col>
      <xdr:colOff>7620</xdr:colOff>
      <xdr:row>1</xdr:row>
      <xdr:rowOff>128214</xdr:rowOff>
    </xdr:from>
    <xdr:to>
      <xdr:col>10</xdr:col>
      <xdr:colOff>0</xdr:colOff>
      <xdr:row>3</xdr:row>
      <xdr:rowOff>87505</xdr:rowOff>
    </xdr:to>
    <mc:AlternateContent xmlns:mc="http://schemas.openxmlformats.org/markup-compatibility/2006" xmlns:a14="http://schemas.microsoft.com/office/drawing/2010/main">
      <mc:Choice Requires="a14">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s-BO" sz="1000" b="0" i="1">
                            <a:solidFill>
                              <a:schemeClr val="tx1"/>
                            </a:solidFill>
                            <a:latin typeface="Cambria Math" panose="02040503050406030204" pitchFamily="18" charset="0"/>
                            <a:ea typeface="Cambria Math" panose="02040503050406030204" pitchFamily="18" charset="0"/>
                          </a:rPr>
                          <m:t>𝑀𝑊</m:t>
                        </m:r>
                      </m:e>
                      <m:sub>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a:t>
              </a:r>
              <a:r>
                <a:rPr lang="es-BO" sz="1000" b="0" i="0">
                  <a:solidFill>
                    <a:schemeClr val="tx1"/>
                  </a:solidFill>
                  <a:latin typeface="Cambria Math" panose="02040503050406030204" pitchFamily="18" charset="0"/>
                  <a:ea typeface="Cambria Math" panose="02040503050406030204" pitchFamily="18" charset="0"/>
                </a:rPr>
                <a:t>𝑀𝑊</a:t>
              </a:r>
              <a:r>
                <a:rPr lang="en-US" sz="1000" b="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 𝑖)</a:t>
              </a:r>
              <a:endParaRPr lang="es-BO" sz="1000">
                <a:solidFill>
                  <a:schemeClr val="tx1"/>
                </a:solidFill>
              </a:endParaRPr>
            </a:p>
          </xdr:txBody>
        </xdr:sp>
      </mc:Fallback>
    </mc:AlternateContent>
    <xdr:clientData/>
  </xdr:twoCellAnchor>
  <xdr:twoCellAnchor>
    <xdr:from>
      <xdr:col>10</xdr:col>
      <xdr:colOff>31047</xdr:colOff>
      <xdr:row>1</xdr:row>
      <xdr:rowOff>123854</xdr:rowOff>
    </xdr:from>
    <xdr:to>
      <xdr:col>10</xdr:col>
      <xdr:colOff>702962</xdr:colOff>
      <xdr:row>3</xdr:row>
      <xdr:rowOff>87505</xdr:rowOff>
    </xdr:to>
    <mc:AlternateContent xmlns:mc="http://schemas.openxmlformats.org/markup-compatibility/2006" xmlns:a14="http://schemas.microsoft.com/office/drawing/2010/main">
      <mc:Choice Requires="a14">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𝑇</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×𝑇_(𝑐, 𝑖)</a:t>
              </a:r>
              <a:endParaRPr lang="es-BO" sz="1000">
                <a:solidFill>
                  <a:schemeClr val="tx1"/>
                </a:solidFill>
              </a:endParaRPr>
            </a:p>
          </xdr:txBody>
        </xdr:sp>
      </mc:Fallback>
    </mc:AlternateContent>
    <xdr:clientData/>
  </xdr:twoCellAnchor>
  <xdr:twoCellAnchor>
    <xdr:from>
      <xdr:col>11</xdr:col>
      <xdr:colOff>45720</xdr:colOff>
      <xdr:row>1</xdr:row>
      <xdr:rowOff>123854</xdr:rowOff>
    </xdr:from>
    <xdr:to>
      <xdr:col>11</xdr:col>
      <xdr:colOff>720841</xdr:colOff>
      <xdr:row>3</xdr:row>
      <xdr:rowOff>87505</xdr:rowOff>
    </xdr:to>
    <mc:AlternateContent xmlns:mc="http://schemas.openxmlformats.org/markup-compatibility/2006" xmlns:a14="http://schemas.microsoft.com/office/drawing/2010/main">
      <mc:Choice Requires="a14">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𝑃</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×𝑃_(𝑐, 𝑖)</a:t>
              </a:r>
              <a:endParaRPr lang="es-BO" sz="1000">
                <a:solidFill>
                  <a:schemeClr val="tx1"/>
                </a:solidFill>
              </a:endParaRPr>
            </a:p>
          </xdr:txBody>
        </xdr:sp>
      </mc:Fallback>
    </mc:AlternateContent>
    <xdr:clientData/>
  </xdr:twoCellAnchor>
  <xdr:twoCellAnchor>
    <xdr:from>
      <xdr:col>12</xdr:col>
      <xdr:colOff>53340</xdr:colOff>
      <xdr:row>1</xdr:row>
      <xdr:rowOff>123854</xdr:rowOff>
    </xdr:from>
    <xdr:to>
      <xdr:col>12</xdr:col>
      <xdr:colOff>728461</xdr:colOff>
      <xdr:row>3</xdr:row>
      <xdr:rowOff>87505</xdr:rowOff>
    </xdr:to>
    <mc:AlternateContent xmlns:mc="http://schemas.openxmlformats.org/markup-compatibility/2006" xmlns:a14="http://schemas.microsoft.com/office/drawing/2010/main">
      <mc:Choice Requires="a14">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𝜔</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×𝜔_(𝑐, 𝑖)</a:t>
              </a:r>
              <a:endParaRPr lang="es-BO" sz="1000">
                <a:solidFill>
                  <a:schemeClr val="tx1"/>
                </a:solidFill>
              </a:endParaRPr>
            </a:p>
          </xdr:txBody>
        </xdr:sp>
      </mc:Fallback>
    </mc:AlternateContent>
    <xdr:clientData/>
  </xdr:twoCellAnchor>
  <xdr:oneCellAnchor>
    <xdr:from>
      <xdr:col>2</xdr:col>
      <xdr:colOff>79343</xdr:colOff>
      <xdr:row>20</xdr:row>
      <xdr:rowOff>27463</xdr:rowOff>
    </xdr:from>
    <xdr:ext cx="362535" cy="465064"/>
    <mc:AlternateContent xmlns:mc="http://schemas.openxmlformats.org/markup-compatibility/2006" xmlns:a14="http://schemas.microsoft.com/office/drawing/2010/main">
      <mc:Choice Requires="a14">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hr m:val="∑"/>
                        <m:ctrlPr>
                          <a:rPr lang="es-BO" sz="1100" i="1">
                            <a:latin typeface="Cambria Math" panose="02040503050406030204" pitchFamily="18" charset="0"/>
                          </a:rPr>
                        </m:ctrlPr>
                      </m:naryPr>
                      <m:sub>
                        <m:r>
                          <m:rPr>
                            <m:brk m:alnAt="23"/>
                          </m:rPr>
                          <a:rPr lang="es-BO" sz="1100" b="0" i="1">
                            <a:latin typeface="Cambria Math" panose="02040503050406030204" pitchFamily="18" charset="0"/>
                          </a:rPr>
                          <m:t>𝑖</m:t>
                        </m:r>
                        <m:r>
                          <a:rPr lang="es-BO" sz="1100" b="0" i="1">
                            <a:latin typeface="Cambria Math" panose="02040503050406030204" pitchFamily="18" charset="0"/>
                          </a:rPr>
                          <m:t>=1</m:t>
                        </m:r>
                      </m:sub>
                      <m:sup>
                        <m:r>
                          <a:rPr lang="es-BO" sz="1100" b="0" i="1">
                            <a:latin typeface="Cambria Math" panose="02040503050406030204" pitchFamily="18" charset="0"/>
                          </a:rPr>
                          <m:t>𝑛</m:t>
                        </m:r>
                      </m:sup>
                      <m:e>
                        <m:sSub>
                          <m:sSubPr>
                            <m:ctrlPr>
                              <a:rPr lang="es-BO" sz="1100" i="1">
                                <a:latin typeface="Cambria Math" panose="02040503050406030204" pitchFamily="18" charset="0"/>
                              </a:rPr>
                            </m:ctrlPr>
                          </m:sSubPr>
                          <m:e>
                            <m:r>
                              <a:rPr lang="es-BO" sz="1100" b="0" i="1">
                                <a:latin typeface="Cambria Math" panose="02040503050406030204" pitchFamily="18" charset="0"/>
                              </a:rPr>
                              <m:t>𝑦</m:t>
                            </m:r>
                          </m:e>
                          <m:sub>
                            <m:r>
                              <a:rPr lang="es-BO" sz="1100" b="0" i="1">
                                <a:latin typeface="Cambria Math" panose="02040503050406030204" pitchFamily="18" charset="0"/>
                              </a:rPr>
                              <m:t>𝑖</m:t>
                            </m:r>
                          </m:sub>
                        </m:sSub>
                      </m:e>
                    </m:nary>
                  </m:oMath>
                </m:oMathPara>
              </a14:m>
              <a:endParaRPr lang="es-BO" sz="1100"/>
            </a:p>
          </xdr:txBody>
        </xdr:sp>
      </mc:Choice>
      <mc:Fallback xmlns="">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_(𝑖=1)^𝑛▒𝑦_𝑖 </a:t>
              </a:r>
              <a:endParaRPr lang="es-BO" sz="1100"/>
            </a:p>
          </xdr:txBody>
        </xdr:sp>
      </mc:Fallback>
    </mc:AlternateContent>
    <xdr:clientData/>
  </xdr:oneCellAnchor>
  <xdr:twoCellAnchor>
    <xdr:from>
      <xdr:col>14</xdr:col>
      <xdr:colOff>38100</xdr:colOff>
      <xdr:row>10</xdr:row>
      <xdr:rowOff>53340</xdr:rowOff>
    </xdr:from>
    <xdr:to>
      <xdr:col>14</xdr:col>
      <xdr:colOff>1226820</xdr:colOff>
      <xdr:row>12</xdr:row>
      <xdr:rowOff>149694</xdr:rowOff>
    </xdr:to>
    <mc:AlternateContent xmlns:mc="http://schemas.openxmlformats.org/markup-compatibility/2006" xmlns:a14="http://schemas.microsoft.com/office/drawing/2010/main">
      <mc:Choice Requires="a14">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𝑇_(𝑐, 𝑖) 〗</a:t>
              </a:r>
              <a:endParaRPr lang="es-BO" sz="1100"/>
            </a:p>
          </xdr:txBody>
        </xdr:sp>
      </mc:Fallback>
    </mc:AlternateContent>
    <xdr:clientData/>
  </xdr:twoCellAnchor>
  <xdr:twoCellAnchor>
    <xdr:from>
      <xdr:col>14</xdr:col>
      <xdr:colOff>38100</xdr:colOff>
      <xdr:row>13</xdr:row>
      <xdr:rowOff>22860</xdr:rowOff>
    </xdr:from>
    <xdr:to>
      <xdr:col>14</xdr:col>
      <xdr:colOff>1226820</xdr:colOff>
      <xdr:row>15</xdr:row>
      <xdr:rowOff>119214</xdr:rowOff>
    </xdr:to>
    <mc:AlternateContent xmlns:mc="http://schemas.openxmlformats.org/markup-compatibility/2006" xmlns:a14="http://schemas.microsoft.com/office/drawing/2010/main">
      <mc:Choice Requires="a14">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𝑃_(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16</xdr:row>
      <xdr:rowOff>38100</xdr:rowOff>
    </xdr:from>
    <xdr:to>
      <xdr:col>14</xdr:col>
      <xdr:colOff>1226820</xdr:colOff>
      <xdr:row>18</xdr:row>
      <xdr:rowOff>134454</xdr:rowOff>
    </xdr:to>
    <mc:AlternateContent xmlns:mc="http://schemas.openxmlformats.org/markup-compatibility/2006" xmlns:a14="http://schemas.microsoft.com/office/drawing/2010/main">
      <mc:Choice Requires="a14">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𝜔</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𝜔_(𝑐, 𝑖) 〗</a:t>
              </a:r>
              <a:endParaRPr lang="es-BO" sz="1100"/>
            </a:p>
          </xdr:txBody>
        </xdr:sp>
      </mc:Fallback>
    </mc:AlternateContent>
    <xdr:clientData/>
  </xdr:twoCellAnchor>
  <xdr:twoCellAnchor>
    <xdr:from>
      <xdr:col>14</xdr:col>
      <xdr:colOff>38100</xdr:colOff>
      <xdr:row>4</xdr:row>
      <xdr:rowOff>45720</xdr:rowOff>
    </xdr:from>
    <xdr:to>
      <xdr:col>15</xdr:col>
      <xdr:colOff>15240</xdr:colOff>
      <xdr:row>6</xdr:row>
      <xdr:rowOff>142074</xdr:rowOff>
    </xdr:to>
    <mc:AlternateContent xmlns:mc="http://schemas.openxmlformats.org/markup-compatibility/2006" xmlns:a14="http://schemas.microsoft.com/office/drawing/2010/main">
      <mc:Choice Requires="a14">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𝑀𝑊〗_(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7</xdr:row>
      <xdr:rowOff>121920</xdr:rowOff>
    </xdr:from>
    <xdr:to>
      <xdr:col>14</xdr:col>
      <xdr:colOff>1226820</xdr:colOff>
      <xdr:row>9</xdr:row>
      <xdr:rowOff>76889</xdr:rowOff>
    </xdr:to>
    <mc:AlternateContent xmlns:mc="http://schemas.openxmlformats.org/markup-compatibility/2006" xmlns:a14="http://schemas.microsoft.com/office/drawing/2010/main">
      <mc:Choice Requires="a14">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𝑆𝐺</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num>
                      <m:den>
                        <m:r>
                          <a:rPr lang="en-US" sz="1100" b="0" i="1">
                            <a:latin typeface="Cambria Math" panose="02040503050406030204" pitchFamily="18" charset="0"/>
                            <a:ea typeface="Cambria Math" panose="02040503050406030204" pitchFamily="18" charset="0"/>
                          </a:rPr>
                          <m:t>28.967</m:t>
                        </m:r>
                      </m:den>
                    </m:f>
                  </m:oMath>
                </m:oMathPara>
              </a14:m>
              <a:endParaRPr lang="es-BO" sz="1100"/>
            </a:p>
          </xdr:txBody>
        </xdr:sp>
      </mc:Choice>
      <mc:Fallback xmlns="">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𝑆𝐺</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𝑀𝑊〗_𝑔/28.967</a:t>
              </a:r>
              <a:endParaRPr lang="es-BO" sz="1100"/>
            </a:p>
          </xdr:txBody>
        </xdr:sp>
      </mc:Fallback>
    </mc:AlternateContent>
    <xdr:clientData/>
  </xdr:twoCellAnchor>
  <xdr:twoCellAnchor>
    <xdr:from>
      <xdr:col>18</xdr:col>
      <xdr:colOff>53341</xdr:colOff>
      <xdr:row>14</xdr:row>
      <xdr:rowOff>7620</xdr:rowOff>
    </xdr:from>
    <xdr:to>
      <xdr:col>18</xdr:col>
      <xdr:colOff>2476500</xdr:colOff>
      <xdr:row>15</xdr:row>
      <xdr:rowOff>7354</xdr:rowOff>
    </xdr:to>
    <mc:AlternateContent xmlns:mc="http://schemas.openxmlformats.org/markup-compatibility/2006" xmlns:a14="http://schemas.microsoft.com/office/drawing/2010/main">
      <mc:Choice Requires="a14">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𝜀</m:t>
                    </m:r>
                  </m:oMath>
                </m:oMathPara>
              </a14:m>
              <a:endParaRPr lang="es-BO" sz="1100"/>
            </a:p>
          </xdr:txBody>
        </xdr:sp>
      </mc:Choice>
      <mc:Fallback xmlns="">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𝑇_𝑝𝑐^′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𝑇_𝑝𝑐−𝜀</a:t>
              </a:r>
              <a:endParaRPr lang="es-BO" sz="1100"/>
            </a:p>
          </xdr:txBody>
        </xdr:sp>
      </mc:Fallback>
    </mc:AlternateContent>
    <xdr:clientData/>
  </xdr:twoCellAnchor>
  <xdr:twoCellAnchor>
    <xdr:from>
      <xdr:col>18</xdr:col>
      <xdr:colOff>53341</xdr:colOff>
      <xdr:row>16</xdr:row>
      <xdr:rowOff>51300</xdr:rowOff>
    </xdr:from>
    <xdr:to>
      <xdr:col>18</xdr:col>
      <xdr:colOff>1805940</xdr:colOff>
      <xdr:row>18</xdr:row>
      <xdr:rowOff>78148</xdr:rowOff>
    </xdr:to>
    <mc:AlternateContent xmlns:mc="http://schemas.openxmlformats.org/markup-compatibility/2006" xmlns:a14="http://schemas.microsoft.com/office/drawing/2010/main">
      <mc:Choice Requires="a14">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 </m:t>
                    </m:r>
                    <m:f>
                      <m:fPr>
                        <m:ctrlPr>
                          <a:rPr lang="en-US" sz="1100" b="0" i="1">
                            <a:latin typeface="Cambria Math" panose="02040503050406030204" pitchFamily="18" charset="0"/>
                            <a:ea typeface="Cambria Math" panose="02040503050406030204" pitchFamily="18" charset="0"/>
                          </a:rPr>
                        </m:ctrlPr>
                      </m:fPr>
                      <m:num>
                        <m:sSubSup>
                          <m:sSubSupPr>
                            <m:ctrlPr>
                              <a:rPr lang="en-US" sz="1100" i="1">
                                <a:latin typeface="Cambria Math" panose="02040503050406030204" pitchFamily="18" charset="0"/>
                                <a:ea typeface="Cambria Math" panose="02040503050406030204" pitchFamily="18" charset="0"/>
                              </a:rPr>
                            </m:ctrlPr>
                          </m:sSubSup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𝑝𝑐</m:t>
                            </m:r>
                          </m:sub>
                          <m:sup>
                            <m:r>
                              <a:rPr lang="en-US" sz="1100" i="1">
                                <a:latin typeface="Cambria Math" panose="02040503050406030204" pitchFamily="18" charset="0"/>
                                <a:ea typeface="Cambria Math" panose="02040503050406030204" pitchFamily="18" charset="0"/>
                              </a:rPr>
                              <m:t>′</m:t>
                            </m:r>
                          </m:sup>
                        </m:sSubSup>
                      </m:num>
                      <m:den>
                        <m:d>
                          <m:dPr>
                            <m:begChr m:val="["/>
                            <m:endChr m:val="]"/>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𝐵</m:t>
                            </m:r>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1−</m:t>
                                </m:r>
                                <m:r>
                                  <a:rPr lang="en-US" sz="1100" b="0" i="1">
                                    <a:latin typeface="Cambria Math" panose="02040503050406030204" pitchFamily="18" charset="0"/>
                                    <a:ea typeface="Cambria Math" panose="02040503050406030204" pitchFamily="18" charset="0"/>
                                  </a:rPr>
                                  <m:t>𝐵</m:t>
                                </m:r>
                              </m:e>
                            </m:d>
                            <m:r>
                              <a:rPr lang="en-US" sz="1100" b="0" i="1">
                                <a:latin typeface="Cambria Math" panose="02040503050406030204" pitchFamily="18" charset="0"/>
                                <a:ea typeface="Cambria Math" panose="02040503050406030204" pitchFamily="18" charset="0"/>
                              </a:rPr>
                              <m:t>𝜀</m:t>
                            </m:r>
                          </m:e>
                        </m:d>
                      </m:den>
                    </m:f>
                  </m:oMath>
                </m:oMathPara>
              </a14:m>
              <a:endParaRPr lang="es-BO" sz="1100"/>
            </a:p>
          </xdr:txBody>
        </xdr:sp>
      </mc:Choice>
      <mc:Fallback xmlns="">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𝑃_𝑝𝑐  </a:t>
              </a:r>
              <a:r>
                <a:rPr lang="en-US" sz="1100" i="0">
                  <a:latin typeface="Cambria Math" panose="02040503050406030204" pitchFamily="18" charset="0"/>
                  <a:ea typeface="Cambria Math" panose="02040503050406030204" pitchFamily="18" charset="0"/>
                </a:rPr>
                <a:t> </a:t>
              </a:r>
              <a:r>
                <a:rPr lang="en-US" sz="1100" b="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𝑇_𝑝𝑐^′</a:t>
              </a:r>
              <a:r>
                <a:rPr lang="en-US" sz="1100" b="0" i="0">
                  <a:latin typeface="Cambria Math" panose="02040503050406030204" pitchFamily="18" charset="0"/>
                  <a:ea typeface="Cambria Math" panose="02040503050406030204" pitchFamily="18" charset="0"/>
                </a:rPr>
                <a:t>)/[𝑇_𝑝𝑐+𝐵(1−𝐵)𝜀] </a:t>
              </a:r>
              <a:endParaRPr lang="es-BO" sz="1100"/>
            </a:p>
          </xdr:txBody>
        </xdr:sp>
      </mc:Fallback>
    </mc:AlternateContent>
    <xdr:clientData/>
  </xdr:twoCellAnchor>
  <xdr:twoCellAnchor>
    <xdr:from>
      <xdr:col>18</xdr:col>
      <xdr:colOff>53341</xdr:colOff>
      <xdr:row>6</xdr:row>
      <xdr:rowOff>99060</xdr:rowOff>
    </xdr:from>
    <xdr:to>
      <xdr:col>18</xdr:col>
      <xdr:colOff>1241825</xdr:colOff>
      <xdr:row>7</xdr:row>
      <xdr:rowOff>106744</xdr:rowOff>
    </xdr:to>
    <mc:AlternateContent xmlns:mc="http://schemas.openxmlformats.org/markup-compatibility/2006" xmlns:a14="http://schemas.microsoft.com/office/drawing/2010/main">
      <mc:Choice Requires="a14">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𝐴</m:t>
                    </m:r>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𝐶𝑂</m:t>
                            </m:r>
                          </m:e>
                          <m:sub>
                            <m:r>
                              <a:rPr lang="en-US" sz="1100" b="0" i="1">
                                <a:latin typeface="Cambria Math" panose="02040503050406030204" pitchFamily="18" charset="0"/>
                                <a:ea typeface="Cambria Math" panose="02040503050406030204" pitchFamily="18" charset="0"/>
                              </a:rPr>
                              <m:t>2</m:t>
                            </m:r>
                          </m:sub>
                        </m:sSub>
                      </m:sub>
                    </m:sSub>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𝐴</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𝑦_(〖𝐶𝑂〗_2 )+𝑦_(𝐻_2 𝑆)</a:t>
              </a:r>
              <a:endParaRPr lang="es-BO" sz="1100"/>
            </a:p>
          </xdr:txBody>
        </xdr:sp>
      </mc:Fallback>
    </mc:AlternateContent>
    <xdr:clientData/>
  </xdr:twoCellAnchor>
  <xdr:twoCellAnchor>
    <xdr:from>
      <xdr:col>18</xdr:col>
      <xdr:colOff>53341</xdr:colOff>
      <xdr:row>8</xdr:row>
      <xdr:rowOff>117106</xdr:rowOff>
    </xdr:from>
    <xdr:to>
      <xdr:col>18</xdr:col>
      <xdr:colOff>1241826</xdr:colOff>
      <xdr:row>9</xdr:row>
      <xdr:rowOff>117994</xdr:rowOff>
    </xdr:to>
    <mc:AlternateContent xmlns:mc="http://schemas.openxmlformats.org/markup-compatibility/2006" xmlns:a14="http://schemas.microsoft.com/office/drawing/2010/main">
      <mc:Choice Requires="a14">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𝐵</m:t>
                    </m:r>
                    <m:r>
                      <a:rPr lang="en-US" sz="110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𝐵</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𝑦_(𝐻_2 𝑆)</a:t>
              </a:r>
              <a:endParaRPr lang="es-BO" sz="1100"/>
            </a:p>
          </xdr:txBody>
        </xdr:sp>
      </mc:Fallback>
    </mc:AlternateContent>
    <xdr:clientData/>
  </xdr:twoCellAnchor>
  <xdr:twoCellAnchor>
    <xdr:from>
      <xdr:col>18</xdr:col>
      <xdr:colOff>53341</xdr:colOff>
      <xdr:row>10</xdr:row>
      <xdr:rowOff>121921</xdr:rowOff>
    </xdr:from>
    <xdr:to>
      <xdr:col>18</xdr:col>
      <xdr:colOff>2331720</xdr:colOff>
      <xdr:row>11</xdr:row>
      <xdr:rowOff>116782</xdr:rowOff>
    </xdr:to>
    <mc:AlternateContent xmlns:mc="http://schemas.openxmlformats.org/markup-compatibility/2006" xmlns:a14="http://schemas.microsoft.com/office/drawing/2010/main">
      <mc:Choice Requires="a14">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i="1">
                        <a:latin typeface="Cambria Math" panose="02040503050406030204" pitchFamily="18" charset="0"/>
                        <a:ea typeface="Cambria Math" panose="02040503050406030204" pitchFamily="18" charset="0"/>
                      </a:rPr>
                      <m:t>=120</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0.9</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1.6</m:t>
                            </m:r>
                          </m:sup>
                        </m:sSup>
                      </m:e>
                    </m:d>
                    <m:r>
                      <a:rPr lang="en-US" sz="1100" b="0" i="1">
                        <a:latin typeface="Cambria Math" panose="02040503050406030204" pitchFamily="18" charset="0"/>
                        <a:ea typeface="Cambria Math" panose="02040503050406030204" pitchFamily="18" charset="0"/>
                      </a:rPr>
                      <m:t>+15</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0.5</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4</m:t>
                            </m:r>
                          </m:sup>
                        </m:sSup>
                      </m:e>
                    </m:d>
                  </m:oMath>
                </m:oMathPara>
              </a14:m>
              <a:endParaRPr lang="es-BO" sz="1100"/>
            </a:p>
          </xdr:txBody>
        </xdr:sp>
      </mc:Choice>
      <mc:Fallback xmlns="">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𝜀=120</a:t>
              </a:r>
              <a:r>
                <a:rPr lang="en-US" sz="1100" b="0" i="0">
                  <a:latin typeface="Cambria Math" panose="02040503050406030204" pitchFamily="18" charset="0"/>
                  <a:ea typeface="Cambria Math" panose="02040503050406030204" pitchFamily="18" charset="0"/>
                </a:rPr>
                <a:t>(𝐴^0.9−𝐴^1.6 )+15(𝐵^0.5−𝐵^4 )</a:t>
              </a:r>
              <a:endParaRPr lang="es-BO" sz="1100"/>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152400</xdr:colOff>
          <xdr:row>20</xdr:row>
          <xdr:rowOff>9525</xdr:rowOff>
        </xdr:from>
        <xdr:to>
          <xdr:col>7</xdr:col>
          <xdr:colOff>533400</xdr:colOff>
          <xdr:row>21</xdr:row>
          <xdr:rowOff>47625</xdr:rowOff>
        </xdr:to>
        <xdr:sp macro="" textlink="">
          <xdr:nvSpPr>
            <xdr:cNvPr id="18434" name="CommandButton1"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83820</xdr:colOff>
      <xdr:row>6</xdr:row>
      <xdr:rowOff>38100</xdr:rowOff>
    </xdr:from>
    <xdr:to>
      <xdr:col>2</xdr:col>
      <xdr:colOff>723900</xdr:colOff>
      <xdr:row>8</xdr:row>
      <xdr:rowOff>97374</xdr:rowOff>
    </xdr:to>
    <mc:AlternateContent xmlns:mc="http://schemas.openxmlformats.org/markup-compatibility/2006" xmlns:a14="http://schemas.microsoft.com/office/drawing/2010/main">
      <mc:Choice Requires="a14">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𝑇</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𝑇/𝑇_𝑝𝑐 </a:t>
              </a:r>
              <a:endParaRPr lang="es-BO" sz="1100"/>
            </a:p>
          </xdr:txBody>
        </xdr:sp>
      </mc:Fallback>
    </mc:AlternateContent>
    <xdr:clientData/>
  </xdr:twoCellAnchor>
  <xdr:twoCellAnchor>
    <xdr:from>
      <xdr:col>3</xdr:col>
      <xdr:colOff>91440</xdr:colOff>
      <xdr:row>6</xdr:row>
      <xdr:rowOff>45720</xdr:rowOff>
    </xdr:from>
    <xdr:to>
      <xdr:col>3</xdr:col>
      <xdr:colOff>693420</xdr:colOff>
      <xdr:row>8</xdr:row>
      <xdr:rowOff>104994</xdr:rowOff>
    </xdr:to>
    <mc:AlternateContent xmlns:mc="http://schemas.openxmlformats.org/markup-compatibility/2006" xmlns:a14="http://schemas.microsoft.com/office/drawing/2010/main">
      <mc:Choice Requires="a14">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𝑃</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𝑃/𝑃_𝑝𝑐 </a:t>
              </a:r>
              <a:endParaRPr lang="es-BO" sz="1100"/>
            </a:p>
          </xdr:txBody>
        </xdr:sp>
      </mc:Fallback>
    </mc:AlternateContent>
    <xdr:clientData/>
  </xdr:twoCellAnchor>
  <xdr:twoCellAnchor editAs="oneCell">
    <xdr:from>
      <xdr:col>21</xdr:col>
      <xdr:colOff>0</xdr:colOff>
      <xdr:row>6</xdr:row>
      <xdr:rowOff>0</xdr:rowOff>
    </xdr:from>
    <xdr:to>
      <xdr:col>34</xdr:col>
      <xdr:colOff>518340</xdr:colOff>
      <xdr:row>30</xdr:row>
      <xdr:rowOff>122851</xdr:rowOff>
    </xdr:to>
    <xdr:pic>
      <xdr:nvPicPr>
        <xdr:cNvPr id="4" name="Picture 3"/>
        <xdr:cNvPicPr>
          <a:picLocks noChangeAspect="1"/>
        </xdr:cNvPicPr>
      </xdr:nvPicPr>
      <xdr:blipFill>
        <a:blip xmlns:r="http://schemas.openxmlformats.org/officeDocument/2006/relationships" r:embed="rId1"/>
        <a:stretch>
          <a:fillRect/>
        </a:stretch>
      </xdr:blipFill>
      <xdr:spPr>
        <a:xfrm>
          <a:off x="14439900" y="914400"/>
          <a:ext cx="8319315" cy="37804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1</xdr:row>
          <xdr:rowOff>0</xdr:rowOff>
        </xdr:from>
        <xdr:to>
          <xdr:col>6</xdr:col>
          <xdr:colOff>676275</xdr:colOff>
          <xdr:row>5</xdr:row>
          <xdr:rowOff>9525</xdr:rowOff>
        </xdr:to>
        <xdr:sp macro="" textlink="">
          <xdr:nvSpPr>
            <xdr:cNvPr id="19457" name="CommandButton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12700</xdr:rowOff>
    </xdr:from>
    <xdr:to>
      <xdr:col>10</xdr:col>
      <xdr:colOff>0</xdr:colOff>
      <xdr:row>24</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3</xdr:row>
      <xdr:rowOff>12700</xdr:rowOff>
    </xdr:from>
    <xdr:to>
      <xdr:col>27</xdr:col>
      <xdr:colOff>0</xdr:colOff>
      <xdr:row>24</xdr:row>
      <xdr:rowOff>12700</xdr:rowOff>
    </xdr:to>
    <xdr:graphicFrame macro="">
      <xdr:nvGraphicFramePr>
        <xdr:cNvPr id="3" name="GasVisco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24</xdr:row>
      <xdr:rowOff>12700</xdr:rowOff>
    </xdr:from>
    <xdr:to>
      <xdr:col>10</xdr:col>
      <xdr:colOff>0</xdr:colOff>
      <xdr:row>45</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24</xdr:row>
      <xdr:rowOff>12700</xdr:rowOff>
    </xdr:from>
    <xdr:to>
      <xdr:col>27</xdr:col>
      <xdr:colOff>0</xdr:colOff>
      <xdr:row>45</xdr:row>
      <xdr:rowOff>12700</xdr:rowOff>
    </xdr:to>
    <xdr:graphicFrame macro="">
      <xdr:nvGraphicFramePr>
        <xdr:cNvPr id="5" name="GasDen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85725</xdr:colOff>
          <xdr:row>0</xdr:row>
          <xdr:rowOff>57150</xdr:rowOff>
        </xdr:from>
        <xdr:to>
          <xdr:col>12</xdr:col>
          <xdr:colOff>171450</xdr:colOff>
          <xdr:row>2</xdr:row>
          <xdr:rowOff>114300</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0</xdr:row>
          <xdr:rowOff>133350</xdr:rowOff>
        </xdr:from>
        <xdr:to>
          <xdr:col>18</xdr:col>
          <xdr:colOff>38100</xdr:colOff>
          <xdr:row>2</xdr:row>
          <xdr:rowOff>66675</xdr:rowOff>
        </xdr:to>
        <xdr:sp macro="" textlink="">
          <xdr:nvSpPr>
            <xdr:cNvPr id="20482" name="OptionButton1"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0</xdr:row>
          <xdr:rowOff>133350</xdr:rowOff>
        </xdr:from>
        <xdr:to>
          <xdr:col>22</xdr:col>
          <xdr:colOff>228600</xdr:colOff>
          <xdr:row>2</xdr:row>
          <xdr:rowOff>66675</xdr:rowOff>
        </xdr:to>
        <xdr:sp macro="" textlink="">
          <xdr:nvSpPr>
            <xdr:cNvPr id="20483" name="OptionButton2"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27</xdr:col>
      <xdr:colOff>0</xdr:colOff>
      <xdr:row>3</xdr:row>
      <xdr:rowOff>0</xdr:rowOff>
    </xdr:from>
    <xdr:to>
      <xdr:col>36</xdr:col>
      <xdr:colOff>257175</xdr:colOff>
      <xdr:row>24</xdr:row>
      <xdr:rowOff>0</xdr:rowOff>
    </xdr:to>
    <xdr:graphicFrame macro="">
      <xdr:nvGraphicFramePr>
        <xdr:cNvPr id="9"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xdr:row>
      <xdr:rowOff>12700</xdr:rowOff>
    </xdr:from>
    <xdr:to>
      <xdr:col>15</xdr:col>
      <xdr:colOff>0</xdr:colOff>
      <xdr:row>28</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12700</xdr:rowOff>
    </xdr:from>
    <xdr:to>
      <xdr:col>22</xdr:col>
      <xdr:colOff>0</xdr:colOff>
      <xdr:row>28</xdr:row>
      <xdr:rowOff>12700</xdr:rowOff>
    </xdr:to>
    <xdr:graphicFrame macro="">
      <xdr:nvGraphicFramePr>
        <xdr:cNvPr id="3"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0</xdr:colOff>
      <xdr:row>1</xdr:row>
      <xdr:rowOff>12700</xdr:rowOff>
    </xdr:from>
    <xdr:to>
      <xdr:col>30</xdr:col>
      <xdr:colOff>0</xdr:colOff>
      <xdr:row>28</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30</xdr:row>
      <xdr:rowOff>9524</xdr:rowOff>
    </xdr:from>
    <xdr:to>
      <xdr:col>1</xdr:col>
      <xdr:colOff>638175</xdr:colOff>
      <xdr:row>32</xdr:row>
      <xdr:rowOff>151786</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172" r="20128"/>
        <a:stretch/>
      </xdr:blipFill>
      <xdr:spPr>
        <a:xfrm>
          <a:off x="57150" y="6800849"/>
          <a:ext cx="628650" cy="580412"/>
        </a:xfrm>
        <a:prstGeom prst="rect">
          <a:avLst/>
        </a:prstGeom>
      </xdr:spPr>
    </xdr:pic>
    <xdr:clientData/>
  </xdr:twoCellAnchor>
  <xdr:twoCellAnchor>
    <xdr:from>
      <xdr:col>1</xdr:col>
      <xdr:colOff>0</xdr:colOff>
      <xdr:row>4</xdr:row>
      <xdr:rowOff>0</xdr:rowOff>
    </xdr:from>
    <xdr:to>
      <xdr:col>8</xdr:col>
      <xdr:colOff>0</xdr:colOff>
      <xdr:row>11</xdr:row>
      <xdr:rowOff>0</xdr:rowOff>
    </xdr:to>
    <xdr:graphicFrame macro="">
      <xdr:nvGraphicFramePr>
        <xdr:cNvPr id="30"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xdr:row>
      <xdr:rowOff>0</xdr:rowOff>
    </xdr:from>
    <xdr:to>
      <xdr:col>23</xdr:col>
      <xdr:colOff>0</xdr:colOff>
      <xdr:row>10</xdr:row>
      <xdr:rowOff>0</xdr:rowOff>
    </xdr:to>
    <xdr:graphicFrame macro="">
      <xdr:nvGraphicFramePr>
        <xdr:cNvPr id="28" name="LND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xdr:row>
      <xdr:rowOff>0</xdr:rowOff>
    </xdr:from>
    <xdr:to>
      <xdr:col>16</xdr:col>
      <xdr:colOff>0</xdr:colOff>
      <xdr:row>10</xdr:row>
      <xdr:rowOff>0</xdr:rowOff>
    </xdr:to>
    <xdr:graphicFrame macro="">
      <xdr:nvGraphicFramePr>
        <xdr:cNvPr id="32" name="PS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0</xdr:colOff>
      <xdr:row>1</xdr:row>
      <xdr:rowOff>0</xdr:rowOff>
    </xdr:from>
    <xdr:to>
      <xdr:col>30</xdr:col>
      <xdr:colOff>0</xdr:colOff>
      <xdr:row>10</xdr:row>
      <xdr:rowOff>0</xdr:rowOff>
    </xdr:to>
    <xdr:graphicFrame macro="">
      <xdr:nvGraphicFramePr>
        <xdr:cNvPr id="33" name="CDF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10</xdr:row>
      <xdr:rowOff>0</xdr:rowOff>
    </xdr:from>
    <xdr:to>
      <xdr:col>23</xdr:col>
      <xdr:colOff>0</xdr:colOff>
      <xdr:row>21</xdr:row>
      <xdr:rowOff>0</xdr:rowOff>
    </xdr:to>
    <xdr:graphicFrame macro="">
      <xdr:nvGraphicFramePr>
        <xdr:cNvPr id="34" name="LND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10</xdr:row>
      <xdr:rowOff>0</xdr:rowOff>
    </xdr:from>
    <xdr:to>
      <xdr:col>16</xdr:col>
      <xdr:colOff>0</xdr:colOff>
      <xdr:row>21</xdr:row>
      <xdr:rowOff>0</xdr:rowOff>
    </xdr:to>
    <xdr:graphicFrame macro="">
      <xdr:nvGraphicFramePr>
        <xdr:cNvPr id="35" name="PS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0</xdr:colOff>
      <xdr:row>10</xdr:row>
      <xdr:rowOff>0</xdr:rowOff>
    </xdr:from>
    <xdr:to>
      <xdr:col>30</xdr:col>
      <xdr:colOff>0</xdr:colOff>
      <xdr:row>21</xdr:row>
      <xdr:rowOff>0</xdr:rowOff>
    </xdr:to>
    <xdr:graphicFrame macro="">
      <xdr:nvGraphicFramePr>
        <xdr:cNvPr id="36" name="CDF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21</xdr:row>
      <xdr:rowOff>0</xdr:rowOff>
    </xdr:from>
    <xdr:to>
      <xdr:col>23</xdr:col>
      <xdr:colOff>0</xdr:colOff>
      <xdr:row>32</xdr:row>
      <xdr:rowOff>0</xdr:rowOff>
    </xdr:to>
    <xdr:graphicFrame macro="">
      <xdr:nvGraphicFramePr>
        <xdr:cNvPr id="37" name="LND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21</xdr:row>
      <xdr:rowOff>0</xdr:rowOff>
    </xdr:from>
    <xdr:to>
      <xdr:col>16</xdr:col>
      <xdr:colOff>0</xdr:colOff>
      <xdr:row>32</xdr:row>
      <xdr:rowOff>0</xdr:rowOff>
    </xdr:to>
    <xdr:graphicFrame macro="">
      <xdr:nvGraphicFramePr>
        <xdr:cNvPr id="38" name="PS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21</xdr:row>
      <xdr:rowOff>0</xdr:rowOff>
    </xdr:from>
    <xdr:to>
      <xdr:col>30</xdr:col>
      <xdr:colOff>0</xdr:colOff>
      <xdr:row>32</xdr:row>
      <xdr:rowOff>0</xdr:rowOff>
    </xdr:to>
    <xdr:graphicFrame macro="">
      <xdr:nvGraphicFramePr>
        <xdr:cNvPr id="39" name="CDF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0.7391</cdr:x>
      <cdr:y>0.12654</cdr:y>
    </cdr:from>
    <cdr:to>
      <cdr:x>0.94</cdr:x>
      <cdr:y>0.33959</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𝑵𝑻𝑮</m:t>
                    </m:r>
                  </m:oMath>
                </m:oMathPara>
              </a14:m>
              <a:endParaRPr lang="es-BO" sz="2800" b="1"/>
            </a:p>
          </cdr:txBody>
        </cdr:sp>
      </mc:Choice>
      <mc:Fallback xmlns="">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𝑵𝑻𝑮</a:t>
              </a:r>
              <a:endParaRPr lang="es-BO" sz="2800" b="1"/>
            </a:p>
          </cdr:txBody>
        </cdr:sp>
      </mc:Fallback>
    </mc:AlternateContent>
  </cdr:relSizeAnchor>
</c:userShapes>
</file>

<file path=xl/drawings/drawing7.xml><?xml version="1.0" encoding="utf-8"?>
<c:userShapes xmlns:c="http://schemas.openxmlformats.org/drawingml/2006/chart">
  <cdr:relSizeAnchor xmlns:cdr="http://schemas.openxmlformats.org/drawingml/2006/chartDrawing">
    <cdr:from>
      <cdr:x>0.75779</cdr:x>
      <cdr:y>0.09975</cdr:y>
    </cdr:from>
    <cdr:to>
      <cdr:x>0.94598</cdr:x>
      <cdr:y>0.27406</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𝑷𝑯𝑰</m:t>
                    </m:r>
                  </m:oMath>
                </m:oMathPara>
              </a14:m>
              <a:endParaRPr lang="es-BO" sz="2800" b="1"/>
            </a:p>
          </cdr:txBody>
        </cdr:sp>
      </mc:Choice>
      <mc:Fallback xmlns="">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𝑷𝑯𝑰</a:t>
              </a:r>
              <a:endParaRPr lang="es-BO" sz="2800" b="1"/>
            </a:p>
          </cdr:txBody>
        </cdr:sp>
      </mc:Fallback>
    </mc:AlternateContent>
  </cdr:relSizeAnchor>
</c:userShapes>
</file>

<file path=xl/drawings/drawing8.xml><?xml version="1.0" encoding="utf-8"?>
<c:userShapes xmlns:c="http://schemas.openxmlformats.org/drawingml/2006/chart">
  <cdr:relSizeAnchor xmlns:cdr="http://schemas.openxmlformats.org/drawingml/2006/chartDrawing">
    <cdr:from>
      <cdr:x>0.83255</cdr:x>
      <cdr:y>0.09669</cdr:y>
    </cdr:from>
    <cdr:to>
      <cdr:x>0.95676</cdr:x>
      <cdr:y>0.27233</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sSub>
                      <m:sSubPr>
                        <m:ctrlPr>
                          <a:rPr lang="es-BO" sz="2800" b="1" i="1">
                            <a:solidFill>
                              <a:srgbClr val="0000FF"/>
                            </a:solidFill>
                            <a:latin typeface="Cambria Math" panose="02040503050406030204" pitchFamily="18" charset="0"/>
                          </a:rPr>
                        </m:ctrlPr>
                      </m:sSubPr>
                      <m:e>
                        <m:r>
                          <a:rPr lang="es-BO" sz="2800" b="1" i="1">
                            <a:solidFill>
                              <a:srgbClr val="0000FF"/>
                            </a:solidFill>
                            <a:latin typeface="Cambria Math" panose="02040503050406030204" pitchFamily="18" charset="0"/>
                          </a:rPr>
                          <m:t>𝑺</m:t>
                        </m:r>
                      </m:e>
                      <m:sub>
                        <m:r>
                          <a:rPr lang="es-BO" sz="2800" b="1" i="1">
                            <a:solidFill>
                              <a:srgbClr val="0000FF"/>
                            </a:solidFill>
                            <a:latin typeface="Cambria Math" panose="02040503050406030204" pitchFamily="18" charset="0"/>
                          </a:rPr>
                          <m:t>𝒘</m:t>
                        </m:r>
                      </m:sub>
                    </m:sSub>
                  </m:oMath>
                </m:oMathPara>
              </a14:m>
              <a:endParaRPr lang="es-BO" sz="2800" b="1">
                <a:solidFill>
                  <a:srgbClr val="0000FF"/>
                </a:solidFill>
              </a:endParaRPr>
            </a:p>
          </cdr:txBody>
        </cdr:sp>
      </mc:Choice>
      <mc:Fallback xmlns="">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solidFill>
                    <a:srgbClr val="0000FF"/>
                  </a:solidFill>
                  <a:latin typeface="Cambria Math" panose="02040503050406030204" pitchFamily="18" charset="0"/>
                </a:rPr>
                <a:t>𝑺_𝒘</a:t>
              </a:r>
              <a:endParaRPr lang="es-BO" sz="2800" b="1">
                <a:solidFill>
                  <a:srgbClr val="0000FF"/>
                </a:solidFill>
              </a:endParaRPr>
            </a:p>
          </cdr:txBody>
        </cdr:sp>
      </mc:Fallback>
    </mc:AlternateContent>
  </cdr:relSizeAnchor>
</c:userShapes>
</file>

<file path=xl/drawings/drawing9.xml><?xml version="1.0" encoding="utf-8"?>
<xdr:wsDr xmlns:xdr="http://schemas.openxmlformats.org/drawingml/2006/spreadsheetDrawing" xmlns:a="http://schemas.openxmlformats.org/drawingml/2006/main">
  <xdr:twoCellAnchor>
    <xdr:from>
      <xdr:col>27</xdr:col>
      <xdr:colOff>10582</xdr:colOff>
      <xdr:row>45</xdr:row>
      <xdr:rowOff>127000</xdr:rowOff>
    </xdr:from>
    <xdr:to>
      <xdr:col>30</xdr:col>
      <xdr:colOff>931333</xdr:colOff>
      <xdr:row>62</xdr:row>
      <xdr:rowOff>169334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137584</xdr:colOff>
      <xdr:row>94</xdr:row>
      <xdr:rowOff>52919</xdr:rowOff>
    </xdr:from>
    <xdr:to>
      <xdr:col>33</xdr:col>
      <xdr:colOff>216747</xdr:colOff>
      <xdr:row>111</xdr:row>
      <xdr:rowOff>95253</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211667</xdr:colOff>
      <xdr:row>45</xdr:row>
      <xdr:rowOff>52917</xdr:rowOff>
    </xdr:from>
    <xdr:to>
      <xdr:col>34</xdr:col>
      <xdr:colOff>603250</xdr:colOff>
      <xdr:row>62</xdr:row>
      <xdr:rowOff>137585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190501</xdr:colOff>
      <xdr:row>76</xdr:row>
      <xdr:rowOff>127002</xdr:rowOff>
    </xdr:from>
    <xdr:to>
      <xdr:col>34</xdr:col>
      <xdr:colOff>582084</xdr:colOff>
      <xdr:row>93</xdr:row>
      <xdr:rowOff>169336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306917</xdr:colOff>
      <xdr:row>13</xdr:row>
      <xdr:rowOff>137583</xdr:rowOff>
    </xdr:from>
    <xdr:to>
      <xdr:col>48</xdr:col>
      <xdr:colOff>216746</xdr:colOff>
      <xdr:row>29</xdr:row>
      <xdr:rowOff>127001</xdr:rowOff>
    </xdr:to>
    <xdr:graphicFrame macro="">
      <xdr:nvGraphicFramePr>
        <xdr:cNvPr id="13" name="Rock Vol 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402167</xdr:colOff>
      <xdr:row>106</xdr:row>
      <xdr:rowOff>179917</xdr:rowOff>
    </xdr:from>
    <xdr:to>
      <xdr:col>5</xdr:col>
      <xdr:colOff>500593</xdr:colOff>
      <xdr:row>123</xdr:row>
      <xdr:rowOff>8467</xdr:rowOff>
    </xdr:to>
    <xdr:graphicFrame macro="">
      <xdr:nvGraphicFramePr>
        <xdr:cNvPr id="16"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12700</xdr:rowOff>
    </xdr:from>
    <xdr:to>
      <xdr:col>19</xdr:col>
      <xdr:colOff>0</xdr:colOff>
      <xdr:row>18</xdr:row>
      <xdr:rowOff>12700</xdr:rowOff>
    </xdr:to>
    <xdr:graphicFrame macro="">
      <xdr:nvGraphicFramePr>
        <xdr:cNvPr id="24" name="L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518584</xdr:colOff>
      <xdr:row>10</xdr:row>
      <xdr:rowOff>33867</xdr:rowOff>
    </xdr:from>
    <xdr:to>
      <xdr:col>12</xdr:col>
      <xdr:colOff>497417</xdr:colOff>
      <xdr:row>18</xdr:row>
      <xdr:rowOff>33867</xdr:rowOff>
    </xdr:to>
    <xdr:graphicFrame macro="">
      <xdr:nvGraphicFramePr>
        <xdr:cNvPr id="27" name="Prob_Scal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16</xdr:col>
      <xdr:colOff>498444</xdr:colOff>
      <xdr:row>1</xdr:row>
      <xdr:rowOff>156580</xdr:rowOff>
    </xdr:from>
    <xdr:ext cx="2933495" cy="219163"/>
    <mc:AlternateContent xmlns:mc="http://schemas.openxmlformats.org/markup-compatibility/2006" xmlns:a14="http://schemas.microsoft.com/office/drawing/2010/main">
      <mc:Choice Requires="a14">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14:m>
                <m:oMath xmlns:m="http://schemas.openxmlformats.org/officeDocument/2006/math">
                  <m:sSub>
                    <m:sSubPr>
                      <m:ctrlPr>
                        <a:rPr lang="es-BO" sz="1400" i="1">
                          <a:latin typeface="Cambria Math" panose="02040503050406030204" pitchFamily="18" charset="0"/>
                        </a:rPr>
                      </m:ctrlPr>
                    </m:sSubPr>
                    <m:e>
                      <m:r>
                        <a:rPr lang="es-BO" sz="1400" b="0" i="1">
                          <a:latin typeface="Cambria Math" panose="02040503050406030204" pitchFamily="18" charset="0"/>
                        </a:rPr>
                        <m:t>𝑃</m:t>
                      </m:r>
                    </m:e>
                    <m:sub>
                      <m:r>
                        <a:rPr lang="es-BO" sz="1400" b="0" i="1">
                          <a:latin typeface="Cambria Math" panose="02040503050406030204" pitchFamily="18" charset="0"/>
                        </a:rPr>
                        <m:t>50</m:t>
                      </m:r>
                    </m:sub>
                  </m:sSub>
                  <m:r>
                    <a:rPr lang="es-BO" sz="1400" i="1">
                      <a:latin typeface="Cambria Math" panose="02040503050406030204" pitchFamily="18" charset="0"/>
                    </a:rPr>
                    <m:t>=</m:t>
                  </m:r>
                  <m:r>
                    <a:rPr lang="es-BO" sz="1400" b="0" i="1">
                      <a:latin typeface="Cambria Math" panose="02040503050406030204" pitchFamily="18" charset="0"/>
                    </a:rPr>
                    <m:t>𝑀𝑒𝑑𝑖𝑎𝑛</m:t>
                  </m:r>
                  <m:r>
                    <a:rPr lang="es-BO" sz="1400" b="0" i="1">
                      <a:latin typeface="Cambria Math" panose="02040503050406030204" pitchFamily="18" charset="0"/>
                    </a:rPr>
                    <m:t>&lt;</m:t>
                  </m:r>
                  <m:r>
                    <a:rPr lang="es-BO" sz="1400" b="0" i="1">
                      <a:latin typeface="Cambria Math" panose="02040503050406030204" pitchFamily="18" charset="0"/>
                    </a:rPr>
                    <m:t>𝑀𝑒𝑎𝑛</m:t>
                  </m:r>
                  <m:r>
                    <a:rPr lang="es-BO" sz="1400" b="0" i="1">
                      <a:latin typeface="Cambria Math" panose="02040503050406030204" pitchFamily="18" charset="0"/>
                    </a:rPr>
                    <m:t> (</m:t>
                  </m:r>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m:t>
                  </m:r>
                </m:oMath>
              </a14:m>
              <a:endParaRPr lang="es-BO" sz="1400"/>
            </a:p>
          </xdr:txBody>
        </xdr:sp>
      </mc:Choice>
      <mc:Fallback xmlns="">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r>
                <a:rPr lang="es-BO" sz="1400" b="0" i="0">
                  <a:latin typeface="Cambria Math" panose="02040503050406030204" pitchFamily="18" charset="0"/>
                </a:rPr>
                <a:t>𝑃_50</a:t>
              </a:r>
              <a:r>
                <a:rPr lang="es-BO" sz="1400" i="0">
                  <a:latin typeface="Cambria Math" panose="02040503050406030204" pitchFamily="18" charset="0"/>
                </a:rPr>
                <a:t>=</a:t>
              </a:r>
              <a:r>
                <a:rPr lang="es-BO" sz="1400" b="0" i="0">
                  <a:latin typeface="Cambria Math" panose="02040503050406030204" pitchFamily="18" charset="0"/>
                </a:rPr>
                <a:t>𝑀𝑒𝑑𝑖𝑎𝑛&lt;𝑀𝑒𝑎𝑛 (</a:t>
              </a:r>
              <a:r>
                <a:rPr lang="es-BO" sz="1400" b="0" i="0">
                  <a:latin typeface="Cambria Math" panose="02040503050406030204" pitchFamily="18" charset="0"/>
                  <a:ea typeface="Cambria Math" panose="02040503050406030204" pitchFamily="18" charset="0"/>
                </a:rPr>
                <a:t>𝜇)</a:t>
              </a:r>
              <a:endParaRPr lang="es-BO" sz="1400"/>
            </a:p>
          </xdr:txBody>
        </xdr:sp>
      </mc:Fallback>
    </mc:AlternateContent>
    <xdr:clientData/>
  </xdr:oneCellAnchor>
  <xdr:twoCellAnchor>
    <xdr:from>
      <xdr:col>23</xdr:col>
      <xdr:colOff>169332</xdr:colOff>
      <xdr:row>4</xdr:row>
      <xdr:rowOff>74086</xdr:rowOff>
    </xdr:from>
    <xdr:to>
      <xdr:col>27</xdr:col>
      <xdr:colOff>126999</xdr:colOff>
      <xdr:row>7</xdr:row>
      <xdr:rowOff>105834</xdr:rowOff>
    </xdr:to>
    <xdr:sp macro="" textlink="">
      <xdr:nvSpPr>
        <xdr:cNvPr id="3" name="TextBox 2"/>
        <xdr:cNvSpPr txBox="1"/>
      </xdr:nvSpPr>
      <xdr:spPr>
        <a:xfrm>
          <a:off x="16975665" y="836086"/>
          <a:ext cx="3894667" cy="603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0" i="0">
              <a:solidFill>
                <a:schemeClr val="dk1"/>
              </a:solidFill>
              <a:effectLst/>
              <a:latin typeface="+mn-lt"/>
              <a:ea typeface="+mn-ea"/>
              <a:cs typeface="+mn-cs"/>
            </a:rPr>
            <a:t>Definitions of lognormal curves: "A continuous distribution in which the logarithm of a variable has a normal distribution"</a:t>
          </a:r>
          <a:endParaRPr lang="es-BO" sz="1100"/>
        </a:p>
      </xdr:txBody>
    </xdr:sp>
    <xdr:clientData/>
  </xdr:twoCellAnchor>
  <xdr:oneCellAnchor>
    <xdr:from>
      <xdr:col>21</xdr:col>
      <xdr:colOff>433916</xdr:colOff>
      <xdr:row>1</xdr:row>
      <xdr:rowOff>95250</xdr:rowOff>
    </xdr:from>
    <xdr:ext cx="2447465" cy="253274"/>
    <mc:AlternateContent xmlns:mc="http://schemas.openxmlformats.org/markup-compatibility/2006" xmlns:a14="http://schemas.microsoft.com/office/drawing/2010/main">
      <mc:Choice Requires="a14">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14:m>
                <m:oMath xmlns:m="http://schemas.openxmlformats.org/officeDocument/2006/math">
                  <m:r>
                    <a:rPr lang="es-BO" sz="1400" b="0" i="1">
                      <a:latin typeface="Cambria Math" panose="02040503050406030204" pitchFamily="18" charset="0"/>
                    </a:rPr>
                    <m:t>𝑚</m:t>
                  </m:r>
                  <m:r>
                    <a:rPr lang="es-BO" sz="1400" b="0" i="1">
                      <a:latin typeface="Cambria Math" panose="02040503050406030204" pitchFamily="18" charset="0"/>
                    </a:rPr>
                    <m:t>=</m:t>
                  </m:r>
                  <m:sSup>
                    <m:sSupPr>
                      <m:ctrlPr>
                        <a:rPr lang="es-BO" sz="1400" b="0" i="1">
                          <a:latin typeface="Cambria Math" panose="02040503050406030204" pitchFamily="18" charset="0"/>
                        </a:rPr>
                      </m:ctrlPr>
                    </m:sSupPr>
                    <m:e>
                      <m:r>
                        <a:rPr lang="es-BO" sz="1400" b="0" i="1">
                          <a:latin typeface="Cambria Math" panose="02040503050406030204" pitchFamily="18" charset="0"/>
                        </a:rPr>
                        <m:t>𝑒</m:t>
                      </m:r>
                    </m:e>
                    <m:sup>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+0.5 </m:t>
                      </m:r>
                      <m:sSup>
                        <m:sSupPr>
                          <m:ctrlPr>
                            <a:rPr lang="es-BO" sz="1400" b="0" i="1">
                              <a:latin typeface="Cambria Math" panose="02040503050406030204" pitchFamily="18" charset="0"/>
                              <a:ea typeface="Cambria Math" panose="02040503050406030204" pitchFamily="18" charset="0"/>
                            </a:rPr>
                          </m:ctrlPr>
                        </m:sSupPr>
                        <m:e>
                          <m:r>
                            <a:rPr lang="es-BO" sz="1400" b="0" i="1">
                              <a:latin typeface="Cambria Math" panose="02040503050406030204" pitchFamily="18" charset="0"/>
                              <a:ea typeface="Cambria Math" panose="02040503050406030204" pitchFamily="18" charset="0"/>
                            </a:rPr>
                            <m:t>𝜎</m:t>
                          </m:r>
                        </m:e>
                        <m:sup>
                          <m:r>
                            <a:rPr lang="es-BO" sz="1400" b="0" i="1">
                              <a:latin typeface="Cambria Math" panose="02040503050406030204" pitchFamily="18" charset="0"/>
                              <a:ea typeface="Cambria Math" panose="02040503050406030204" pitchFamily="18" charset="0"/>
                            </a:rPr>
                            <m:t>2</m:t>
                          </m:r>
                        </m:sup>
                      </m:sSup>
                    </m:sup>
                  </m:sSup>
                </m:oMath>
              </a14:m>
              <a:endParaRPr lang="es-BO" sz="1400"/>
            </a:p>
          </xdr:txBody>
        </xdr:sp>
      </mc:Choice>
      <mc:Fallback xmlns="">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r>
                <a:rPr lang="es-BO" sz="1400" b="0" i="0">
                  <a:latin typeface="Cambria Math" panose="02040503050406030204" pitchFamily="18" charset="0"/>
                </a:rPr>
                <a:t>𝑚=𝑒^(</a:t>
              </a:r>
              <a:r>
                <a:rPr lang="es-BO" sz="1400" b="0" i="0">
                  <a:latin typeface="Cambria Math" panose="02040503050406030204" pitchFamily="18" charset="0"/>
                  <a:ea typeface="Cambria Math" panose="02040503050406030204" pitchFamily="18" charset="0"/>
                </a:rPr>
                <a:t>𝜇+0.5 𝜎^2 )</a:t>
              </a:r>
              <a:endParaRPr lang="es-BO" sz="1400"/>
            </a:p>
          </xdr:txBody>
        </xdr:sp>
      </mc:Fallback>
    </mc:AlternateContent>
    <xdr:clientData/>
  </xdr:oneCellAnchor>
  <xdr:twoCellAnchor>
    <xdr:from>
      <xdr:col>19</xdr:col>
      <xdr:colOff>0</xdr:colOff>
      <xdr:row>10</xdr:row>
      <xdr:rowOff>12700</xdr:rowOff>
    </xdr:from>
    <xdr:to>
      <xdr:col>25</xdr:col>
      <xdr:colOff>0</xdr:colOff>
      <xdr:row>18</xdr:row>
      <xdr:rowOff>12700</xdr:rowOff>
    </xdr:to>
    <xdr:graphicFrame macro="">
      <xdr:nvGraphicFramePr>
        <xdr:cNvPr id="19" name="CD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20</xdr:row>
      <xdr:rowOff>0</xdr:rowOff>
    </xdr:from>
    <xdr:to>
      <xdr:col>12</xdr:col>
      <xdr:colOff>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295275</xdr:colOff>
          <xdr:row>0</xdr:row>
          <xdr:rowOff>133350</xdr:rowOff>
        </xdr:from>
        <xdr:to>
          <xdr:col>4</xdr:col>
          <xdr:colOff>161925</xdr:colOff>
          <xdr:row>3</xdr:row>
          <xdr:rowOff>123825</xdr:rowOff>
        </xdr:to>
        <xdr:sp macro="" textlink="">
          <xdr:nvSpPr>
            <xdr:cNvPr id="12289" name="CommandButton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0</xdr:colOff>
      <xdr:row>1</xdr:row>
      <xdr:rowOff>0</xdr:rowOff>
    </xdr:from>
    <xdr:to>
      <xdr:col>12</xdr:col>
      <xdr:colOff>0</xdr:colOff>
      <xdr:row>20</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57150</xdr:colOff>
          <xdr:row>2</xdr:row>
          <xdr:rowOff>47625</xdr:rowOff>
        </xdr:from>
        <xdr:to>
          <xdr:col>16</xdr:col>
          <xdr:colOff>0</xdr:colOff>
          <xdr:row>6</xdr:row>
          <xdr:rowOff>0</xdr:rowOff>
        </xdr:to>
        <xdr:sp macro="" textlink="">
          <xdr:nvSpPr>
            <xdr:cNvPr id="12290" name="CommandButton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20</xdr:row>
      <xdr:rowOff>0</xdr:rowOff>
    </xdr:from>
    <xdr:to>
      <xdr:col>8</xdr:col>
      <xdr:colOff>0</xdr:colOff>
      <xdr:row>39</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xdr:row>
      <xdr:rowOff>0</xdr:rowOff>
    </xdr:from>
    <xdr:to>
      <xdr:col>8</xdr:col>
      <xdr:colOff>0</xdr:colOff>
      <xdr:row>20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8</xdr:row>
          <xdr:rowOff>9525</xdr:rowOff>
        </xdr:from>
        <xdr:to>
          <xdr:col>1</xdr:col>
          <xdr:colOff>219075</xdr:colOff>
          <xdr:row>9</xdr:row>
          <xdr:rowOff>9525</xdr:rowOff>
        </xdr:to>
        <xdr:sp macro="" textlink="">
          <xdr:nvSpPr>
            <xdr:cNvPr id="6145" name="CheckBox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9525</xdr:rowOff>
        </xdr:from>
        <xdr:to>
          <xdr:col>1</xdr:col>
          <xdr:colOff>219075</xdr:colOff>
          <xdr:row>10</xdr:row>
          <xdr:rowOff>9525</xdr:rowOff>
        </xdr:to>
        <xdr:sp macro="" textlink="">
          <xdr:nvSpPr>
            <xdr:cNvPr id="6146" name="CheckBox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9525</xdr:rowOff>
        </xdr:from>
        <xdr:to>
          <xdr:col>1</xdr:col>
          <xdr:colOff>219075</xdr:colOff>
          <xdr:row>11</xdr:row>
          <xdr:rowOff>9525</xdr:rowOff>
        </xdr:to>
        <xdr:sp macro="" textlink="">
          <xdr:nvSpPr>
            <xdr:cNvPr id="6147" name="CheckBox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11</xdr:row>
          <xdr:rowOff>9525</xdr:rowOff>
        </xdr:from>
        <xdr:to>
          <xdr:col>1</xdr:col>
          <xdr:colOff>219075</xdr:colOff>
          <xdr:row>12</xdr:row>
          <xdr:rowOff>9525</xdr:rowOff>
        </xdr:to>
        <xdr:sp macro="" textlink="">
          <xdr:nvSpPr>
            <xdr:cNvPr id="6148" name="CheckBox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9525</xdr:rowOff>
        </xdr:from>
        <xdr:to>
          <xdr:col>1</xdr:col>
          <xdr:colOff>219075</xdr:colOff>
          <xdr:row>13</xdr:row>
          <xdr:rowOff>19050</xdr:rowOff>
        </xdr:to>
        <xdr:sp macro="" textlink="">
          <xdr:nvSpPr>
            <xdr:cNvPr id="6149" name="CheckBox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9525</xdr:rowOff>
        </xdr:from>
        <xdr:to>
          <xdr:col>1</xdr:col>
          <xdr:colOff>219075</xdr:colOff>
          <xdr:row>14</xdr:row>
          <xdr:rowOff>9525</xdr:rowOff>
        </xdr:to>
        <xdr:sp macro="" textlink="">
          <xdr:nvSpPr>
            <xdr:cNvPr id="6150" name="CheckBox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xdr:row>
          <xdr:rowOff>9525</xdr:rowOff>
        </xdr:from>
        <xdr:to>
          <xdr:col>1</xdr:col>
          <xdr:colOff>219075</xdr:colOff>
          <xdr:row>15</xdr:row>
          <xdr:rowOff>19050</xdr:rowOff>
        </xdr:to>
        <xdr:sp macro="" textlink="">
          <xdr:nvSpPr>
            <xdr:cNvPr id="6151" name="CheckBox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15</xdr:row>
          <xdr:rowOff>9525</xdr:rowOff>
        </xdr:from>
        <xdr:to>
          <xdr:col>1</xdr:col>
          <xdr:colOff>219075</xdr:colOff>
          <xdr:row>16</xdr:row>
          <xdr:rowOff>9525</xdr:rowOff>
        </xdr:to>
        <xdr:sp macro="" textlink="">
          <xdr:nvSpPr>
            <xdr:cNvPr id="6152" name="CheckBox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16</xdr:row>
          <xdr:rowOff>9525</xdr:rowOff>
        </xdr:from>
        <xdr:to>
          <xdr:col>1</xdr:col>
          <xdr:colOff>219075</xdr:colOff>
          <xdr:row>17</xdr:row>
          <xdr:rowOff>19050</xdr:rowOff>
        </xdr:to>
        <xdr:sp macro="" textlink="">
          <xdr:nvSpPr>
            <xdr:cNvPr id="6153" name="CheckBox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9525</xdr:rowOff>
        </xdr:from>
        <xdr:to>
          <xdr:col>1</xdr:col>
          <xdr:colOff>219075</xdr:colOff>
          <xdr:row>18</xdr:row>
          <xdr:rowOff>9525</xdr:rowOff>
        </xdr:to>
        <xdr:sp macro="" textlink="">
          <xdr:nvSpPr>
            <xdr:cNvPr id="6154" name="CheckBox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18</xdr:row>
          <xdr:rowOff>9525</xdr:rowOff>
        </xdr:from>
        <xdr:to>
          <xdr:col>1</xdr:col>
          <xdr:colOff>219075</xdr:colOff>
          <xdr:row>19</xdr:row>
          <xdr:rowOff>19050</xdr:rowOff>
        </xdr:to>
        <xdr:sp macro="" textlink="">
          <xdr:nvSpPr>
            <xdr:cNvPr id="6155" name="CheckBox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1</xdr:col>
          <xdr:colOff>219075</xdr:colOff>
          <xdr:row>20</xdr:row>
          <xdr:rowOff>66675</xdr:rowOff>
        </xdr:to>
        <xdr:sp macro="" textlink="">
          <xdr:nvSpPr>
            <xdr:cNvPr id="6156" name="CheckBox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33</xdr:row>
          <xdr:rowOff>47625</xdr:rowOff>
        </xdr:from>
        <xdr:to>
          <xdr:col>4</xdr:col>
          <xdr:colOff>219075</xdr:colOff>
          <xdr:row>34</xdr:row>
          <xdr:rowOff>9525</xdr:rowOff>
        </xdr:to>
        <xdr:sp macro="" textlink="">
          <xdr:nvSpPr>
            <xdr:cNvPr id="6157" name="CheckBox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34</xdr:row>
          <xdr:rowOff>47625</xdr:rowOff>
        </xdr:from>
        <xdr:to>
          <xdr:col>4</xdr:col>
          <xdr:colOff>219075</xdr:colOff>
          <xdr:row>35</xdr:row>
          <xdr:rowOff>9525</xdr:rowOff>
        </xdr:to>
        <xdr:sp macro="" textlink="">
          <xdr:nvSpPr>
            <xdr:cNvPr id="6158" name="CheckBox14"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35</xdr:row>
          <xdr:rowOff>47625</xdr:rowOff>
        </xdr:from>
        <xdr:to>
          <xdr:col>4</xdr:col>
          <xdr:colOff>219075</xdr:colOff>
          <xdr:row>36</xdr:row>
          <xdr:rowOff>9525</xdr:rowOff>
        </xdr:to>
        <xdr:sp macro="" textlink="">
          <xdr:nvSpPr>
            <xdr:cNvPr id="6159" name="CheckBox15"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36</xdr:row>
          <xdr:rowOff>47625</xdr:rowOff>
        </xdr:from>
        <xdr:to>
          <xdr:col>4</xdr:col>
          <xdr:colOff>219075</xdr:colOff>
          <xdr:row>37</xdr:row>
          <xdr:rowOff>9525</xdr:rowOff>
        </xdr:to>
        <xdr:sp macro="" textlink="">
          <xdr:nvSpPr>
            <xdr:cNvPr id="6160" name="CheckBox16"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xdr:row>
          <xdr:rowOff>28575</xdr:rowOff>
        </xdr:from>
        <xdr:to>
          <xdr:col>2</xdr:col>
          <xdr:colOff>485775</xdr:colOff>
          <xdr:row>2</xdr:row>
          <xdr:rowOff>19050</xdr:rowOff>
        </xdr:to>
        <xdr:sp macro="" textlink="">
          <xdr:nvSpPr>
            <xdr:cNvPr id="6163" name="Option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xdr:row>
          <xdr:rowOff>28575</xdr:rowOff>
        </xdr:from>
        <xdr:to>
          <xdr:col>2</xdr:col>
          <xdr:colOff>485775</xdr:colOff>
          <xdr:row>3</xdr:row>
          <xdr:rowOff>19050</xdr:rowOff>
        </xdr:to>
        <xdr:sp macro="" textlink="">
          <xdr:nvSpPr>
            <xdr:cNvPr id="6164" name="OptionButton2" hidden="1">
              <a:extLst>
                <a:ext uri="{63B3BB69-23CF-44E3-9099-C40C66FF867C}">
                  <a14:compatExt spid="_x0000_s61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3</xdr:row>
          <xdr:rowOff>28575</xdr:rowOff>
        </xdr:from>
        <xdr:to>
          <xdr:col>2</xdr:col>
          <xdr:colOff>485775</xdr:colOff>
          <xdr:row>4</xdr:row>
          <xdr:rowOff>19050</xdr:rowOff>
        </xdr:to>
        <xdr:sp macro="" textlink="">
          <xdr:nvSpPr>
            <xdr:cNvPr id="6165" name="OptionButton3" hidden="1">
              <a:extLst>
                <a:ext uri="{63B3BB69-23CF-44E3-9099-C40C66FF867C}">
                  <a14:compatExt spid="_x0000_s6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123825</xdr:rowOff>
        </xdr:from>
        <xdr:to>
          <xdr:col>2</xdr:col>
          <xdr:colOff>419100</xdr:colOff>
          <xdr:row>6</xdr:row>
          <xdr:rowOff>180975</xdr:rowOff>
        </xdr:to>
        <xdr:sp macro="" textlink="">
          <xdr:nvSpPr>
            <xdr:cNvPr id="6166" name="CommandButton1" hidden="1">
              <a:extLst>
                <a:ext uri="{63B3BB69-23CF-44E3-9099-C40C66FF867C}">
                  <a14:compatExt spid="_x0000_s6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4</xdr:row>
          <xdr:rowOff>133350</xdr:rowOff>
        </xdr:from>
        <xdr:to>
          <xdr:col>3</xdr:col>
          <xdr:colOff>466725</xdr:colOff>
          <xdr:row>6</xdr:row>
          <xdr:rowOff>190500</xdr:rowOff>
        </xdr:to>
        <xdr:sp macro="" textlink="">
          <xdr:nvSpPr>
            <xdr:cNvPr id="6167" name="CommandButton2" hidden="1">
              <a:extLst>
                <a:ext uri="{63B3BB69-23CF-44E3-9099-C40C66FF867C}">
                  <a14:compatExt spid="_x0000_s6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4</xdr:row>
          <xdr:rowOff>142875</xdr:rowOff>
        </xdr:from>
        <xdr:to>
          <xdr:col>5</xdr:col>
          <xdr:colOff>76200</xdr:colOff>
          <xdr:row>6</xdr:row>
          <xdr:rowOff>200025</xdr:rowOff>
        </xdr:to>
        <xdr:sp macro="" textlink="">
          <xdr:nvSpPr>
            <xdr:cNvPr id="6168" name="CommandButton3" hidden="1">
              <a:extLst>
                <a:ext uri="{63B3BB69-23CF-44E3-9099-C40C66FF867C}">
                  <a14:compatExt spid="_x0000_s6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352425</xdr:colOff>
          <xdr:row>21</xdr:row>
          <xdr:rowOff>85725</xdr:rowOff>
        </xdr:from>
        <xdr:to>
          <xdr:col>36</xdr:col>
          <xdr:colOff>381000</xdr:colOff>
          <xdr:row>25</xdr:row>
          <xdr:rowOff>85725</xdr:rowOff>
        </xdr:to>
        <xdr:sp macro="" textlink="">
          <xdr:nvSpPr>
            <xdr:cNvPr id="7170" name="CommandButton1"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xdr:col>
      <xdr:colOff>0</xdr:colOff>
      <xdr:row>0</xdr:row>
      <xdr:rowOff>0</xdr:rowOff>
    </xdr:from>
    <xdr:to>
      <xdr:col>29</xdr:col>
      <xdr:colOff>0</xdr:colOff>
      <xdr:row>22</xdr:row>
      <xdr:rowOff>0</xdr:rowOff>
    </xdr:to>
    <xdr:pic>
      <xdr:nvPicPr>
        <xdr:cNvPr id="7219" name="Sensitivity_OGIP"/>
        <xdr:cNvPicPr>
          <a:picLocks/>
        </xdr:cNvPicPr>
      </xdr:nvPicPr>
      <xdr:blipFill>
        <a:blip xmlns:r="http://schemas.openxmlformats.org/officeDocument/2006/relationships" r:embed="rId1"/>
        <a:stretch>
          <a:fillRect/>
        </a:stretch>
      </xdr:blipFill>
      <xdr:spPr>
        <a:xfrm>
          <a:off x="12192000" y="0"/>
          <a:ext cx="5486400" cy="4191000"/>
        </a:xfrm>
        <a:prstGeom prst="rect">
          <a:avLst/>
        </a:prstGeom>
      </xdr:spPr>
    </xdr:pic>
    <xdr:clientData/>
  </xdr:twoCellAnchor>
  <xdr:twoCellAnchor editAs="oneCell">
    <xdr:from>
      <xdr:col>20</xdr:col>
      <xdr:colOff>0</xdr:colOff>
      <xdr:row>22</xdr:row>
      <xdr:rowOff>0</xdr:rowOff>
    </xdr:from>
    <xdr:to>
      <xdr:col>29</xdr:col>
      <xdr:colOff>0</xdr:colOff>
      <xdr:row>42</xdr:row>
      <xdr:rowOff>0</xdr:rowOff>
    </xdr:to>
    <xdr:pic>
      <xdr:nvPicPr>
        <xdr:cNvPr id="7220" name="GAS RESERVES"/>
        <xdr:cNvPicPr>
          <a:picLocks/>
        </xdr:cNvPicPr>
      </xdr:nvPicPr>
      <xdr:blipFill>
        <a:blip xmlns:r="http://schemas.openxmlformats.org/officeDocument/2006/relationships" r:embed="rId2"/>
        <a:stretch>
          <a:fillRect/>
        </a:stretch>
      </xdr:blipFill>
      <xdr:spPr>
        <a:xfrm>
          <a:off x="12192000" y="4191000"/>
          <a:ext cx="5486400" cy="3810000"/>
        </a:xfrm>
        <a:prstGeom prst="rect">
          <a:avLst/>
        </a:prstGeom>
      </xdr:spPr>
    </xdr:pic>
    <xdr:clientData/>
  </xdr:twoCellAnchor>
  <xdr:twoCellAnchor editAs="oneCell">
    <xdr:from>
      <xdr:col>20</xdr:col>
      <xdr:colOff>0</xdr:colOff>
      <xdr:row>42</xdr:row>
      <xdr:rowOff>0</xdr:rowOff>
    </xdr:from>
    <xdr:to>
      <xdr:col>29</xdr:col>
      <xdr:colOff>0</xdr:colOff>
      <xdr:row>62</xdr:row>
      <xdr:rowOff>0</xdr:rowOff>
    </xdr:to>
    <xdr:pic>
      <xdr:nvPicPr>
        <xdr:cNvPr id="7221" name="Sensitivity_OOIP"/>
        <xdr:cNvPicPr>
          <a:picLocks/>
        </xdr:cNvPicPr>
      </xdr:nvPicPr>
      <xdr:blipFill>
        <a:blip xmlns:r="http://schemas.openxmlformats.org/officeDocument/2006/relationships" r:embed="rId3"/>
        <a:stretch>
          <a:fillRect/>
        </a:stretch>
      </xdr:blipFill>
      <xdr:spPr>
        <a:xfrm>
          <a:off x="12192000" y="8001000"/>
          <a:ext cx="5486400" cy="3810000"/>
        </a:xfrm>
        <a:prstGeom prst="rect">
          <a:avLst/>
        </a:prstGeom>
      </xdr:spPr>
    </xdr:pic>
    <xdr:clientData/>
  </xdr:twoCellAnchor>
  <xdr:twoCellAnchor editAs="oneCell">
    <xdr:from>
      <xdr:col>20</xdr:col>
      <xdr:colOff>0</xdr:colOff>
      <xdr:row>62</xdr:row>
      <xdr:rowOff>0</xdr:rowOff>
    </xdr:from>
    <xdr:to>
      <xdr:col>29</xdr:col>
      <xdr:colOff>0</xdr:colOff>
      <xdr:row>82</xdr:row>
      <xdr:rowOff>0</xdr:rowOff>
    </xdr:to>
    <xdr:pic>
      <xdr:nvPicPr>
        <xdr:cNvPr id="7222" name="OIL RESERVES"/>
        <xdr:cNvPicPr>
          <a:picLocks/>
        </xdr:cNvPicPr>
      </xdr:nvPicPr>
      <xdr:blipFill>
        <a:blip xmlns:r="http://schemas.openxmlformats.org/officeDocument/2006/relationships" r:embed="rId4"/>
        <a:stretch>
          <a:fillRect/>
        </a:stretch>
      </xdr:blipFill>
      <xdr:spPr>
        <a:xfrm>
          <a:off x="12192000" y="11811000"/>
          <a:ext cx="5486400" cy="3810000"/>
        </a:xfrm>
        <a:prstGeom prst="rect">
          <a:avLst/>
        </a:prstGeom>
      </xdr:spPr>
    </xdr:pic>
    <xdr:clientData/>
  </xdr:twoCellAnchor>
  <xdr:twoCellAnchor editAs="oneCell">
    <xdr:from>
      <xdr:col>0</xdr:col>
      <xdr:colOff>0</xdr:colOff>
      <xdr:row>0</xdr:row>
      <xdr:rowOff>0</xdr:rowOff>
    </xdr:from>
    <xdr:to>
      <xdr:col>10</xdr:col>
      <xdr:colOff>0</xdr:colOff>
      <xdr:row>22</xdr:row>
      <xdr:rowOff>0</xdr:rowOff>
    </xdr:to>
    <xdr:pic>
      <xdr:nvPicPr>
        <xdr:cNvPr id="7223" name="OGIP Forecast"/>
        <xdr:cNvPicPr>
          <a:picLocks/>
        </xdr:cNvPicPr>
      </xdr:nvPicPr>
      <xdr:blipFill>
        <a:blip xmlns:r="http://schemas.openxmlformats.org/officeDocument/2006/relationships" r:embed="rId5"/>
        <a:stretch>
          <a:fillRect/>
        </a:stretch>
      </xdr:blipFill>
      <xdr:spPr>
        <a:xfrm>
          <a:off x="0" y="0"/>
          <a:ext cx="6096000" cy="4191000"/>
        </a:xfrm>
        <a:prstGeom prst="rect">
          <a:avLst/>
        </a:prstGeom>
      </xdr:spPr>
    </xdr:pic>
    <xdr:clientData/>
  </xdr:twoCellAnchor>
  <xdr:twoCellAnchor editAs="oneCell">
    <xdr:from>
      <xdr:col>10</xdr:col>
      <xdr:colOff>0</xdr:colOff>
      <xdr:row>0</xdr:row>
      <xdr:rowOff>0</xdr:rowOff>
    </xdr:from>
    <xdr:to>
      <xdr:col>20</xdr:col>
      <xdr:colOff>0</xdr:colOff>
      <xdr:row>22</xdr:row>
      <xdr:rowOff>0</xdr:rowOff>
    </xdr:to>
    <xdr:pic>
      <xdr:nvPicPr>
        <xdr:cNvPr id="7224" name="Original Gas in_place Forecast"/>
        <xdr:cNvPicPr>
          <a:picLocks/>
        </xdr:cNvPicPr>
      </xdr:nvPicPr>
      <xdr:blipFill>
        <a:blip xmlns:r="http://schemas.openxmlformats.org/officeDocument/2006/relationships" r:embed="rId6"/>
        <a:stretch>
          <a:fillRect/>
        </a:stretch>
      </xdr:blipFill>
      <xdr:spPr>
        <a:xfrm>
          <a:off x="6096000" y="0"/>
          <a:ext cx="6096000" cy="4191000"/>
        </a:xfrm>
        <a:prstGeom prst="rect">
          <a:avLst/>
        </a:prstGeom>
      </xdr:spPr>
    </xdr:pic>
    <xdr:clientData/>
  </xdr:twoCellAnchor>
  <xdr:twoCellAnchor editAs="oneCell">
    <xdr:from>
      <xdr:col>0</xdr:col>
      <xdr:colOff>0</xdr:colOff>
      <xdr:row>22</xdr:row>
      <xdr:rowOff>0</xdr:rowOff>
    </xdr:from>
    <xdr:to>
      <xdr:col>10</xdr:col>
      <xdr:colOff>0</xdr:colOff>
      <xdr:row>42</xdr:row>
      <xdr:rowOff>0</xdr:rowOff>
    </xdr:to>
    <xdr:pic>
      <xdr:nvPicPr>
        <xdr:cNvPr id="7225" name="Gas Produced Forecast"/>
        <xdr:cNvPicPr>
          <a:picLocks/>
        </xdr:cNvPicPr>
      </xdr:nvPicPr>
      <xdr:blipFill>
        <a:blip xmlns:r="http://schemas.openxmlformats.org/officeDocument/2006/relationships" r:embed="rId7"/>
        <a:stretch>
          <a:fillRect/>
        </a:stretch>
      </xdr:blipFill>
      <xdr:spPr>
        <a:xfrm>
          <a:off x="0" y="4191000"/>
          <a:ext cx="6096000" cy="3810000"/>
        </a:xfrm>
        <a:prstGeom prst="rect">
          <a:avLst/>
        </a:prstGeom>
      </xdr:spPr>
    </xdr:pic>
    <xdr:clientData/>
  </xdr:twoCellAnchor>
  <xdr:twoCellAnchor editAs="oneCell">
    <xdr:from>
      <xdr:col>10</xdr:col>
      <xdr:colOff>0</xdr:colOff>
      <xdr:row>22</xdr:row>
      <xdr:rowOff>0</xdr:rowOff>
    </xdr:from>
    <xdr:to>
      <xdr:col>20</xdr:col>
      <xdr:colOff>0</xdr:colOff>
      <xdr:row>42</xdr:row>
      <xdr:rowOff>0</xdr:rowOff>
    </xdr:to>
    <xdr:pic>
      <xdr:nvPicPr>
        <xdr:cNvPr id="7226" name="Gas Reservas Forecast"/>
        <xdr:cNvPicPr>
          <a:picLocks/>
        </xdr:cNvPicPr>
      </xdr:nvPicPr>
      <xdr:blipFill>
        <a:blip xmlns:r="http://schemas.openxmlformats.org/officeDocument/2006/relationships" r:embed="rId8"/>
        <a:stretch>
          <a:fillRect/>
        </a:stretch>
      </xdr:blipFill>
      <xdr:spPr>
        <a:xfrm>
          <a:off x="6096000" y="4191000"/>
          <a:ext cx="6096000" cy="3810000"/>
        </a:xfrm>
        <a:prstGeom prst="rect">
          <a:avLst/>
        </a:prstGeom>
      </xdr:spPr>
    </xdr:pic>
    <xdr:clientData/>
  </xdr:twoCellAnchor>
  <xdr:twoCellAnchor editAs="oneCell">
    <xdr:from>
      <xdr:col>0</xdr:col>
      <xdr:colOff>0</xdr:colOff>
      <xdr:row>42</xdr:row>
      <xdr:rowOff>0</xdr:rowOff>
    </xdr:from>
    <xdr:to>
      <xdr:col>10</xdr:col>
      <xdr:colOff>0</xdr:colOff>
      <xdr:row>62</xdr:row>
      <xdr:rowOff>0</xdr:rowOff>
    </xdr:to>
    <xdr:pic>
      <xdr:nvPicPr>
        <xdr:cNvPr id="7227" name="OOIP Forecast"/>
        <xdr:cNvPicPr>
          <a:picLocks/>
        </xdr:cNvPicPr>
      </xdr:nvPicPr>
      <xdr:blipFill>
        <a:blip xmlns:r="http://schemas.openxmlformats.org/officeDocument/2006/relationships" r:embed="rId9"/>
        <a:stretch>
          <a:fillRect/>
        </a:stretch>
      </xdr:blipFill>
      <xdr:spPr>
        <a:xfrm>
          <a:off x="0" y="8001000"/>
          <a:ext cx="6096000" cy="3810000"/>
        </a:xfrm>
        <a:prstGeom prst="rect">
          <a:avLst/>
        </a:prstGeom>
      </xdr:spPr>
    </xdr:pic>
    <xdr:clientData/>
  </xdr:twoCellAnchor>
  <xdr:twoCellAnchor editAs="oneCell">
    <xdr:from>
      <xdr:col>10</xdr:col>
      <xdr:colOff>0</xdr:colOff>
      <xdr:row>42</xdr:row>
      <xdr:rowOff>0</xdr:rowOff>
    </xdr:from>
    <xdr:to>
      <xdr:col>20</xdr:col>
      <xdr:colOff>0</xdr:colOff>
      <xdr:row>62</xdr:row>
      <xdr:rowOff>0</xdr:rowOff>
    </xdr:to>
    <xdr:pic>
      <xdr:nvPicPr>
        <xdr:cNvPr id="7228" name="Oil Reservas Forecast"/>
        <xdr:cNvPicPr>
          <a:picLocks/>
        </xdr:cNvPicPr>
      </xdr:nvPicPr>
      <xdr:blipFill>
        <a:blip xmlns:r="http://schemas.openxmlformats.org/officeDocument/2006/relationships" r:embed="rId10"/>
        <a:stretch>
          <a:fillRect/>
        </a:stretch>
      </xdr:blipFill>
      <xdr:spPr>
        <a:xfrm>
          <a:off x="6096000" y="8001000"/>
          <a:ext cx="6096000" cy="3810000"/>
        </a:xfrm>
        <a:prstGeom prst="rect">
          <a:avLst/>
        </a:prstGeom>
      </xdr:spPr>
    </xdr:pic>
    <xdr:clientData/>
  </xdr:twoCellAnchor>
  <xdr:twoCellAnchor editAs="oneCell">
    <xdr:from>
      <xdr:col>0</xdr:col>
      <xdr:colOff>0</xdr:colOff>
      <xdr:row>62</xdr:row>
      <xdr:rowOff>0</xdr:rowOff>
    </xdr:from>
    <xdr:to>
      <xdr:col>10</xdr:col>
      <xdr:colOff>0</xdr:colOff>
      <xdr:row>81</xdr:row>
      <xdr:rowOff>185605</xdr:rowOff>
    </xdr:to>
    <xdr:pic>
      <xdr:nvPicPr>
        <xdr:cNvPr id="7229" name="Rock Volume"/>
        <xdr:cNvPicPr>
          <a:picLocks noChangeAspect="1"/>
        </xdr:cNvPicPr>
      </xdr:nvPicPr>
      <xdr:blipFill>
        <a:blip xmlns:r="http://schemas.openxmlformats.org/officeDocument/2006/relationships" r:embed="rId11"/>
        <a:stretch>
          <a:fillRect/>
        </a:stretch>
      </xdr:blipFill>
      <xdr:spPr>
        <a:xfrm>
          <a:off x="0" y="11811000"/>
          <a:ext cx="6096000" cy="3805105"/>
        </a:xfrm>
        <a:prstGeom prst="rect">
          <a:avLst/>
        </a:prstGeom>
      </xdr:spPr>
    </xdr:pic>
    <xdr:clientData/>
  </xdr:twoCellAnchor>
  <xdr:twoCellAnchor editAs="oneCell">
    <xdr:from>
      <xdr:col>10</xdr:col>
      <xdr:colOff>0</xdr:colOff>
      <xdr:row>62</xdr:row>
      <xdr:rowOff>0</xdr:rowOff>
    </xdr:from>
    <xdr:to>
      <xdr:col>20</xdr:col>
      <xdr:colOff>0</xdr:colOff>
      <xdr:row>81</xdr:row>
      <xdr:rowOff>185605</xdr:rowOff>
    </xdr:to>
    <xdr:pic>
      <xdr:nvPicPr>
        <xdr:cNvPr id="7230" name="Net/Gross"/>
        <xdr:cNvPicPr>
          <a:picLocks noChangeAspect="1"/>
        </xdr:cNvPicPr>
      </xdr:nvPicPr>
      <xdr:blipFill>
        <a:blip xmlns:r="http://schemas.openxmlformats.org/officeDocument/2006/relationships" r:embed="rId12"/>
        <a:stretch>
          <a:fillRect/>
        </a:stretch>
      </xdr:blipFill>
      <xdr:spPr>
        <a:xfrm>
          <a:off x="6096000" y="11811000"/>
          <a:ext cx="6096000" cy="3805105"/>
        </a:xfrm>
        <a:prstGeom prst="rect">
          <a:avLst/>
        </a:prstGeom>
      </xdr:spPr>
    </xdr:pic>
    <xdr:clientData/>
  </xdr:twoCellAnchor>
  <xdr:twoCellAnchor editAs="oneCell">
    <xdr:from>
      <xdr:col>0</xdr:col>
      <xdr:colOff>0</xdr:colOff>
      <xdr:row>82</xdr:row>
      <xdr:rowOff>0</xdr:rowOff>
    </xdr:from>
    <xdr:to>
      <xdr:col>10</xdr:col>
      <xdr:colOff>0</xdr:colOff>
      <xdr:row>101</xdr:row>
      <xdr:rowOff>185605</xdr:rowOff>
    </xdr:to>
    <xdr:pic>
      <xdr:nvPicPr>
        <xdr:cNvPr id="7231" name="Porosity"/>
        <xdr:cNvPicPr>
          <a:picLocks noChangeAspect="1"/>
        </xdr:cNvPicPr>
      </xdr:nvPicPr>
      <xdr:blipFill>
        <a:blip xmlns:r="http://schemas.openxmlformats.org/officeDocument/2006/relationships" r:embed="rId13"/>
        <a:stretch>
          <a:fillRect/>
        </a:stretch>
      </xdr:blipFill>
      <xdr:spPr>
        <a:xfrm>
          <a:off x="0" y="15621000"/>
          <a:ext cx="6096000" cy="3805105"/>
        </a:xfrm>
        <a:prstGeom prst="rect">
          <a:avLst/>
        </a:prstGeom>
      </xdr:spPr>
    </xdr:pic>
    <xdr:clientData/>
  </xdr:twoCellAnchor>
  <xdr:twoCellAnchor editAs="oneCell">
    <xdr:from>
      <xdr:col>10</xdr:col>
      <xdr:colOff>0</xdr:colOff>
      <xdr:row>82</xdr:row>
      <xdr:rowOff>0</xdr:rowOff>
    </xdr:from>
    <xdr:to>
      <xdr:col>20</xdr:col>
      <xdr:colOff>0</xdr:colOff>
      <xdr:row>101</xdr:row>
      <xdr:rowOff>185605</xdr:rowOff>
    </xdr:to>
    <xdr:pic>
      <xdr:nvPicPr>
        <xdr:cNvPr id="7232" name="Water Saturation"/>
        <xdr:cNvPicPr>
          <a:picLocks noChangeAspect="1"/>
        </xdr:cNvPicPr>
      </xdr:nvPicPr>
      <xdr:blipFill>
        <a:blip xmlns:r="http://schemas.openxmlformats.org/officeDocument/2006/relationships" r:embed="rId14"/>
        <a:stretch>
          <a:fillRect/>
        </a:stretch>
      </xdr:blipFill>
      <xdr:spPr>
        <a:xfrm>
          <a:off x="6096000" y="15621000"/>
          <a:ext cx="6096000" cy="3805105"/>
        </a:xfrm>
        <a:prstGeom prst="rect">
          <a:avLst/>
        </a:prstGeom>
      </xdr:spPr>
    </xdr:pic>
    <xdr:clientData/>
  </xdr:twoCellAnchor>
  <xdr:twoCellAnchor editAs="oneCell">
    <xdr:from>
      <xdr:col>0</xdr:col>
      <xdr:colOff>0</xdr:colOff>
      <xdr:row>102</xdr:row>
      <xdr:rowOff>0</xdr:rowOff>
    </xdr:from>
    <xdr:to>
      <xdr:col>10</xdr:col>
      <xdr:colOff>0</xdr:colOff>
      <xdr:row>121</xdr:row>
      <xdr:rowOff>185605</xdr:rowOff>
    </xdr:to>
    <xdr:pic>
      <xdr:nvPicPr>
        <xdr:cNvPr id="7233" name="Gas Volume Factor, Bgi"/>
        <xdr:cNvPicPr>
          <a:picLocks noChangeAspect="1"/>
        </xdr:cNvPicPr>
      </xdr:nvPicPr>
      <xdr:blipFill>
        <a:blip xmlns:r="http://schemas.openxmlformats.org/officeDocument/2006/relationships" r:embed="rId15"/>
        <a:stretch>
          <a:fillRect/>
        </a:stretch>
      </xdr:blipFill>
      <xdr:spPr>
        <a:xfrm>
          <a:off x="0" y="19431000"/>
          <a:ext cx="6096000" cy="3805105"/>
        </a:xfrm>
        <a:prstGeom prst="rect">
          <a:avLst/>
        </a:prstGeom>
      </xdr:spPr>
    </xdr:pic>
    <xdr:clientData/>
  </xdr:twoCellAnchor>
  <xdr:twoCellAnchor editAs="oneCell">
    <xdr:from>
      <xdr:col>10</xdr:col>
      <xdr:colOff>0</xdr:colOff>
      <xdr:row>102</xdr:row>
      <xdr:rowOff>0</xdr:rowOff>
    </xdr:from>
    <xdr:to>
      <xdr:col>20</xdr:col>
      <xdr:colOff>0</xdr:colOff>
      <xdr:row>121</xdr:row>
      <xdr:rowOff>112205</xdr:rowOff>
    </xdr:to>
    <xdr:pic>
      <xdr:nvPicPr>
        <xdr:cNvPr id="7234" name="CGR"/>
        <xdr:cNvPicPr>
          <a:picLocks noChangeAspect="1"/>
        </xdr:cNvPicPr>
      </xdr:nvPicPr>
      <xdr:blipFill>
        <a:blip xmlns:r="http://schemas.openxmlformats.org/officeDocument/2006/relationships" r:embed="rId16"/>
        <a:stretch>
          <a:fillRect/>
        </a:stretch>
      </xdr:blipFill>
      <xdr:spPr>
        <a:xfrm>
          <a:off x="6096000" y="19431000"/>
          <a:ext cx="6096000" cy="37317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anco%20Ing/VBA%20files%20FF/OGIP/31.%20OGIP%20-%20CrystalBall%20(19-Junio-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Users\Franco\Pictures\19.%20OHIP.CB.OPENSERVER%20v.2.0%20OP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ata"/>
      <sheetName val="Probability_Scale_Data_HIDE"/>
      <sheetName val="CB_DATA_"/>
      <sheetName val="Poro vs Sw Corr"/>
      <sheetName val="Forecast_Variables_CB"/>
      <sheetName val="Charts"/>
      <sheetName val="Fluid Properties"/>
      <sheetName val="Pore Pressure"/>
    </sheetNames>
    <sheetDataSet>
      <sheetData sheetId="0"/>
      <sheetData sheetId="1" refreshError="1"/>
      <sheetData sheetId="2"/>
      <sheetData sheetId="3"/>
      <sheetData sheetId="4"/>
      <sheetData sheetId="5" refreshError="1"/>
      <sheetData sheetId="6">
        <row r="37">
          <cell r="K37" t="str">
            <v>Gas</v>
          </cell>
          <cell r="M37" t="str">
            <v>Gas</v>
          </cell>
        </row>
        <row r="38">
          <cell r="J38" t="str">
            <v>Factor-z</v>
          </cell>
          <cell r="K38" t="str">
            <v>Density</v>
          </cell>
          <cell r="L38" t="str">
            <v>Bg</v>
          </cell>
          <cell r="M38" t="str">
            <v>Viscosity</v>
          </cell>
        </row>
        <row r="39">
          <cell r="K39" t="str">
            <v>[cf/lb]</v>
          </cell>
          <cell r="L39" t="str">
            <v>[cf/scf]</v>
          </cell>
          <cell r="M39" t="str">
            <v>[cp]</v>
          </cell>
        </row>
        <row r="40">
          <cell r="I40">
            <v>100</v>
          </cell>
          <cell r="J40">
            <v>0.99369627009143446</v>
          </cell>
          <cell r="K40">
            <v>0.23803505820188972</v>
          </cell>
          <cell r="L40">
            <v>0.19679836575544718</v>
          </cell>
          <cell r="M40">
            <v>1.4348258409377325E-2</v>
          </cell>
        </row>
        <row r="41">
          <cell r="I41">
            <v>183.3</v>
          </cell>
          <cell r="J41">
            <v>0.98866551102949451</v>
          </cell>
          <cell r="K41">
            <v>0.43849892184715938</v>
          </cell>
          <cell r="L41">
            <v>0.10683016106243161</v>
          </cell>
          <cell r="M41">
            <v>1.4404103728345321E-2</v>
          </cell>
        </row>
        <row r="42">
          <cell r="I42">
            <v>266.60000000000002</v>
          </cell>
          <cell r="J42">
            <v>0.98383732269731827</v>
          </cell>
          <cell r="K42">
            <v>0.64088132994683722</v>
          </cell>
          <cell r="L42">
            <v>7.3094515720282485E-2</v>
          </cell>
          <cell r="M42">
            <v>1.4470196356100086E-2</v>
          </cell>
          <cell r="P42">
            <v>8323.4270341207375</v>
          </cell>
          <cell r="Q42">
            <v>1E-3</v>
          </cell>
        </row>
        <row r="43">
          <cell r="I43">
            <v>349.9</v>
          </cell>
          <cell r="J43">
            <v>0.9792145825387264</v>
          </cell>
          <cell r="K43">
            <v>0.84508257714447887</v>
          </cell>
          <cell r="L43">
            <v>5.5432346747607657E-2</v>
          </cell>
          <cell r="M43">
            <v>1.454463481434568E-2</v>
          </cell>
          <cell r="P43">
            <v>8323.4270341207375</v>
          </cell>
          <cell r="Q43">
            <v>2.7983028996160938E-3</v>
          </cell>
        </row>
        <row r="44">
          <cell r="I44">
            <v>433.1</v>
          </cell>
          <cell r="J44">
            <v>0.97479988977568</v>
          </cell>
          <cell r="K44">
            <v>1.0509966249511276</v>
          </cell>
          <cell r="L44">
            <v>4.4571894271128593E-2</v>
          </cell>
          <cell r="M44">
            <v>1.4626382243759554E-2</v>
          </cell>
          <cell r="P44">
            <v>0</v>
          </cell>
          <cell r="Q44">
            <v>2.7983028996160938E-3</v>
          </cell>
        </row>
        <row r="45">
          <cell r="I45">
            <v>516.4</v>
          </cell>
          <cell r="J45">
            <v>0.97059554558949745</v>
          </cell>
          <cell r="K45">
            <v>1.2585114478170931</v>
          </cell>
          <cell r="L45">
            <v>3.7222474636911612E-2</v>
          </cell>
          <cell r="M45">
            <v>1.4714777178865867E-2</v>
          </cell>
        </row>
        <row r="46">
          <cell r="I46">
            <v>599.70000000000005</v>
          </cell>
          <cell r="J46">
            <v>0.96660353505020369</v>
          </cell>
          <cell r="K46">
            <v>1.4675094442093823</v>
          </cell>
          <cell r="L46">
            <v>3.1921368977541574E-2</v>
          </cell>
          <cell r="M46">
            <v>1.4809356608591898E-2</v>
          </cell>
        </row>
        <row r="47">
          <cell r="I47">
            <v>683</v>
          </cell>
          <cell r="J47">
            <v>0.96282551110468417</v>
          </cell>
          <cell r="K47">
            <v>1.6778679096345539</v>
          </cell>
          <cell r="L47">
            <v>2.7919307698564697E-2</v>
          </cell>
          <cell r="M47">
            <v>1.4909774670692636E-2</v>
          </cell>
        </row>
        <row r="48">
          <cell r="I48">
            <v>766.3</v>
          </cell>
          <cell r="J48">
            <v>0.95926278090848438</v>
          </cell>
          <cell r="K48">
            <v>1.8894595671805194</v>
          </cell>
          <cell r="L48">
            <v>2.4792756225282635E-2</v>
          </cell>
          <cell r="M48">
            <v>1.5015759600342935E-2</v>
          </cell>
          <cell r="P48">
            <v>8323.4270341207375</v>
          </cell>
          <cell r="Q48">
            <v>0.7</v>
          </cell>
        </row>
        <row r="49">
          <cell r="I49">
            <v>849.6</v>
          </cell>
          <cell r="J49">
            <v>0.95591629475149631</v>
          </cell>
          <cell r="K49">
            <v>2.1021531498401833</v>
          </cell>
          <cell r="L49">
            <v>2.2284251958614928E-2</v>
          </cell>
          <cell r="M49">
            <v>1.5127088658794467E-2</v>
          </cell>
          <cell r="P49">
            <v>8323.4270341207375</v>
          </cell>
          <cell r="Q49">
            <v>1.1888000000000001</v>
          </cell>
        </row>
        <row r="50">
          <cell r="I50">
            <v>932.8</v>
          </cell>
          <cell r="J50">
            <v>0.9527866377851324</v>
          </cell>
          <cell r="K50">
            <v>2.3158140276739454</v>
          </cell>
          <cell r="L50">
            <v>2.0228269579007044E-2</v>
          </cell>
          <cell r="M50">
            <v>1.5243572504470868E-2</v>
          </cell>
          <cell r="P50">
            <v>0</v>
          </cell>
          <cell r="Q50">
            <v>1.1888000000000001</v>
          </cell>
        </row>
        <row r="51">
          <cell r="I51">
            <v>1016.1</v>
          </cell>
          <cell r="J51">
            <v>0.94987402470912674</v>
          </cell>
          <cell r="K51">
            <v>2.5303048718137027</v>
          </cell>
          <cell r="L51">
            <v>1.8513543948186995E-2</v>
          </cell>
          <cell r="M51">
            <v>1.5365044948207996E-2</v>
          </cell>
        </row>
        <row r="52">
          <cell r="I52">
            <v>1099.4000000000001</v>
          </cell>
          <cell r="J52">
            <v>0.94717829752127836</v>
          </cell>
          <cell r="K52">
            <v>2.7454863464500594</v>
          </cell>
          <cell r="L52">
            <v>1.7062518087990343E-2</v>
          </cell>
          <cell r="M52">
            <v>1.5491355982283199E-2</v>
          </cell>
        </row>
        <row r="53">
          <cell r="I53">
            <v>1182.7</v>
          </cell>
          <cell r="J53">
            <v>0.94469892637510977</v>
          </cell>
          <cell r="K53">
            <v>2.961217819311238</v>
          </cell>
          <cell r="L53">
            <v>1.581947472460182E-2</v>
          </cell>
          <cell r="M53">
            <v>1.5622366906306464E-2</v>
          </cell>
        </row>
        <row r="54">
          <cell r="I54">
            <v>1266</v>
          </cell>
          <cell r="J54">
            <v>0.94243501353048198</v>
          </cell>
          <cell r="K54">
            <v>3.1773580807617217</v>
          </cell>
          <cell r="L54">
            <v>1.4743352576554522E-2</v>
          </cell>
          <cell r="M54">
            <v>1.5757946855341935E-2</v>
          </cell>
        </row>
        <row r="55">
          <cell r="I55">
            <v>1349.3</v>
          </cell>
          <cell r="J55">
            <v>0.94038530032280643</v>
          </cell>
          <cell r="K55">
            <v>3.3937660615345839</v>
          </cell>
          <cell r="L55">
            <v>1.3803223203149259E-2</v>
          </cell>
          <cell r="M55">
            <v>1.5897970300326428E-2</v>
          </cell>
        </row>
        <row r="56">
          <cell r="I56">
            <v>1432.5</v>
          </cell>
          <cell r="J56">
            <v>0.93854817701961046</v>
          </cell>
          <cell r="K56">
            <v>3.6103015392660409</v>
          </cell>
          <cell r="L56">
            <v>1.2975345670477714E-2</v>
          </cell>
          <cell r="M56">
            <v>1.6042315243499351E-2</v>
          </cell>
        </row>
        <row r="57">
          <cell r="I57">
            <v>1515.8</v>
          </cell>
          <cell r="J57">
            <v>0.93692169538079506</v>
          </cell>
          <cell r="K57">
            <v>3.8268258244139477</v>
          </cell>
          <cell r="L57">
            <v>1.2241192203674079E-2</v>
          </cell>
          <cell r="M57">
            <v>1.619086192331886E-2</v>
          </cell>
        </row>
        <row r="58">
          <cell r="I58">
            <v>1599.1</v>
          </cell>
          <cell r="J58">
            <v>0.93550358369259246</v>
          </cell>
          <cell r="K58">
            <v>4.0432024167932257</v>
          </cell>
          <cell r="L58">
            <v>1.1586090830393952E-2</v>
          </cell>
          <cell r="M58">
            <v>1.6343491900501893E-2</v>
          </cell>
        </row>
        <row r="59">
          <cell r="I59">
            <v>1682.4</v>
          </cell>
          <cell r="J59">
            <v>0.93429126400639606</v>
          </cell>
          <cell r="K59">
            <v>4.2592976248197685</v>
          </cell>
          <cell r="L59">
            <v>1.0998271211117088E-2</v>
          </cell>
          <cell r="M59">
            <v>1.6500087433574694E-2</v>
          </cell>
        </row>
        <row r="60">
          <cell r="I60">
            <v>1765.7</v>
          </cell>
          <cell r="J60">
            <v>0.93328187128320661</v>
          </cell>
          <cell r="K60">
            <v>4.4749811405826039</v>
          </cell>
          <cell r="L60">
            <v>1.0468180529702937E-2</v>
          </cell>
          <cell r="M60">
            <v>1.6660531076638958E-2</v>
          </cell>
        </row>
        <row r="61">
          <cell r="I61">
            <v>1849</v>
          </cell>
          <cell r="J61">
            <v>0.93247227412305855</v>
          </cell>
          <cell r="K61">
            <v>4.6901265650184039</v>
          </cell>
          <cell r="L61">
            <v>9.9879842893857672E-3</v>
          </cell>
          <cell r="M61">
            <v>1.6824705448599958E-2</v>
          </cell>
        </row>
        <row r="62">
          <cell r="I62">
            <v>1932.2</v>
          </cell>
          <cell r="J62">
            <v>0.93185909674657608</v>
          </cell>
          <cell r="K62">
            <v>4.9046118786972732</v>
          </cell>
          <cell r="L62">
            <v>9.551196222090717E-3</v>
          </cell>
          <cell r="M62">
            <v>1.6992493134666435E-2</v>
          </cell>
        </row>
        <row r="63">
          <cell r="I63">
            <v>2015.5</v>
          </cell>
          <cell r="J63">
            <v>0.93143874189255693</v>
          </cell>
          <cell r="K63">
            <v>5.1183198549980267</v>
          </cell>
          <cell r="L63">
            <v>9.1523999620482313E-3</v>
          </cell>
          <cell r="M63">
            <v>1.7163776689243366E-2</v>
          </cell>
        </row>
        <row r="64">
          <cell r="I64">
            <v>2098.8000000000002</v>
          </cell>
          <cell r="J64">
            <v>0.93120741430062637</v>
          </cell>
          <cell r="K64">
            <v>5.3311384137111961</v>
          </cell>
          <cell r="L64">
            <v>8.7870369912275894E-3</v>
          </cell>
          <cell r="M64">
            <v>1.7338438715485849E-2</v>
          </cell>
        </row>
        <row r="65">
          <cell r="I65">
            <v>2182.1</v>
          </cell>
          <cell r="J65">
            <v>0.93116114446069664</v>
          </cell>
          <cell r="K65">
            <v>5.542960914319262</v>
          </cell>
          <cell r="L65">
            <v>8.4512431479751345E-3</v>
          </cell>
          <cell r="M65">
            <v>1.7516362001462477E-2</v>
          </cell>
        </row>
        <row r="66">
          <cell r="I66">
            <v>2265.4</v>
          </cell>
          <cell r="J66">
            <v>0.93129581233011272</v>
          </cell>
          <cell r="K66">
            <v>5.7536863893324988</v>
          </cell>
          <cell r="L66">
            <v>8.1417211986886326E-3</v>
          </cell>
          <cell r="M66">
            <v>1.7697429696542314E-2</v>
          </cell>
        </row>
        <row r="67">
          <cell r="I67">
            <v>2348.6999999999998</v>
          </cell>
          <cell r="J67">
            <v>0.93160717074380672</v>
          </cell>
          <cell r="K67">
            <v>5.9632197190778689</v>
          </cell>
          <cell r="L67">
            <v>7.8556405186221423E-3</v>
          </cell>
          <cell r="M67">
            <v>1.7881525514567748E-2</v>
          </cell>
        </row>
        <row r="68">
          <cell r="I68">
            <v>2431.9</v>
          </cell>
          <cell r="J68">
            <v>0.93209086827118703</v>
          </cell>
          <cell r="K68">
            <v>6.1714717502284087</v>
          </cell>
          <cell r="L68">
            <v>7.5905573812115245E-3</v>
          </cell>
          <cell r="M68">
            <v>1.8068533952801655E-2</v>
          </cell>
        </row>
        <row r="69">
          <cell r="I69">
            <v>2515.1999999999998</v>
          </cell>
          <cell r="J69">
            <v>0.93274247130462107</v>
          </cell>
          <cell r="K69">
            <v>6.378359361108374</v>
          </cell>
          <cell r="L69">
            <v>7.3443510775307533E-3</v>
          </cell>
          <cell r="M69">
            <v>1.8258340517672184E-2</v>
          </cell>
        </row>
        <row r="70">
          <cell r="I70">
            <v>2598.5</v>
          </cell>
          <cell r="J70">
            <v>0.93355748519700432</v>
          </cell>
          <cell r="K70">
            <v>6.5838054774097161</v>
          </cell>
          <cell r="L70">
            <v>7.1151723129379233E-3</v>
          </cell>
          <cell r="M70">
            <v>1.845083195006814E-2</v>
          </cell>
        </row>
        <row r="71">
          <cell r="I71">
            <v>2681.8</v>
          </cell>
          <cell r="J71">
            <v>0.93453137429891608</v>
          </cell>
          <cell r="K71">
            <v>6.787739042408651</v>
          </cell>
          <cell r="L71">
            <v>6.9014012109121373E-3</v>
          </cell>
          <cell r="M71">
            <v>1.8645896444421751E-2</v>
          </cell>
        </row>
        <row r="72">
          <cell r="I72">
            <v>2765.1</v>
          </cell>
          <cell r="J72">
            <v>0.93565958077829281</v>
          </cell>
          <cell r="K72">
            <v>6.9900949460827553</v>
          </cell>
          <cell r="L72">
            <v>6.701612897674087E-3</v>
          </cell>
          <cell r="M72">
            <v>1.8843423857093446E-2</v>
          </cell>
        </row>
        <row r="73">
          <cell r="I73">
            <v>2848.4</v>
          </cell>
          <cell r="J73">
            <v>0.9369375421365751</v>
          </cell>
          <cell r="K73">
            <v>7.1908139177092094</v>
          </cell>
          <cell r="L73">
            <v>6.5145491154022413E-3</v>
          </cell>
          <cell r="M73">
            <v>1.9043305900673716E-2</v>
          </cell>
        </row>
        <row r="74">
          <cell r="I74">
            <v>2931.6</v>
          </cell>
          <cell r="J74">
            <v>0.93836070736426103</v>
          </cell>
          <cell r="K74">
            <v>7.3898423865864187</v>
          </cell>
          <cell r="L74">
            <v>6.3390946648151257E-3</v>
          </cell>
          <cell r="M74">
            <v>1.9245436321761615E-2</v>
          </cell>
        </row>
        <row r="75">
          <cell r="I75">
            <v>3014.9</v>
          </cell>
          <cell r="J75">
            <v>0.93992455170524591</v>
          </cell>
          <cell r="K75">
            <v>7.5871323154793577</v>
          </cell>
          <cell r="L75">
            <v>6.1742577430818112E-3</v>
          </cell>
          <cell r="M75">
            <v>1.9449711060584057E-2</v>
          </cell>
        </row>
        <row r="76">
          <cell r="I76">
            <v>3098.2</v>
          </cell>
          <cell r="J76">
            <v>0.94162459002293741</v>
          </cell>
          <cell r="K76">
            <v>7.7826410112595887</v>
          </cell>
          <cell r="L76">
            <v>6.0191534440380149E-3</v>
          </cell>
          <cell r="M76">
            <v>1.9656028391499207E-2</v>
          </cell>
        </row>
        <row r="77">
          <cell r="I77">
            <v>3181.5</v>
          </cell>
          <cell r="J77">
            <v>0.94345638878171023</v>
          </cell>
          <cell r="K77">
            <v>7.976330917010567</v>
          </cell>
          <cell r="L77">
            <v>5.8729898413231278E-3</v>
          </cell>
          <cell r="M77">
            <v>1.986428904399299E-2</v>
          </cell>
        </row>
        <row r="78">
          <cell r="I78">
            <v>3264.8</v>
          </cell>
          <cell r="J78">
            <v>0.94541557667476828</v>
          </cell>
          <cell r="K78">
            <v>8.1681693896132348</v>
          </cell>
          <cell r="L78">
            <v>5.7350561933991392E-3</v>
          </cell>
          <cell r="M78">
            <v>2.0074396304241352E-2</v>
          </cell>
        </row>
        <row r="79">
          <cell r="I79">
            <v>3348.1</v>
          </cell>
          <cell r="J79">
            <v>0.94749785394396979</v>
          </cell>
          <cell r="K79">
            <v>8.3581284665309461</v>
          </cell>
          <cell r="L79">
            <v>5.6047129012456662E-3</v>
          </cell>
          <cell r="M79">
            <v>2.0286256097683402E-2</v>
          </cell>
        </row>
        <row r="80">
          <cell r="I80">
            <v>3431.3</v>
          </cell>
          <cell r="J80">
            <v>0.94969900044875</v>
          </cell>
          <cell r="K80">
            <v>8.5461846251903637</v>
          </cell>
          <cell r="L80">
            <v>5.4813829212812257E-3</v>
          </cell>
          <cell r="M80">
            <v>2.049977705334249E-2</v>
          </cell>
        </row>
        <row r="81">
          <cell r="I81">
            <v>3514.6</v>
          </cell>
          <cell r="J81">
            <v>0.95201488255018529</v>
          </cell>
          <cell r="K81">
            <v>8.7323185380174113</v>
          </cell>
          <cell r="L81">
            <v>5.3645443924988032E-3</v>
          </cell>
          <cell r="M81">
            <v>2.0714870550852464E-2</v>
          </cell>
        </row>
        <row r="82">
          <cell r="I82">
            <v>3597.9</v>
          </cell>
          <cell r="J82">
            <v>0.95444145888267995</v>
          </cell>
          <cell r="K82">
            <v>8.9165148258456224</v>
          </cell>
          <cell r="L82">
            <v>5.2537242814702529E-3</v>
          </cell>
          <cell r="M82">
            <v>2.0931450751306101E-2</v>
          </cell>
        </row>
        <row r="83">
          <cell r="I83">
            <v>3681.2</v>
          </cell>
          <cell r="J83">
            <v>0.95697478509000122</v>
          </cell>
          <cell r="K83">
            <v>9.098761812076301</v>
          </cell>
          <cell r="L83">
            <v>5.148492884434001E-3</v>
          </cell>
          <cell r="M83">
            <v>2.1149434613148881E-2</v>
          </cell>
        </row>
        <row r="84">
          <cell r="I84">
            <v>3764.5</v>
          </cell>
          <cell r="J84">
            <v>0.95961101760473866</v>
          </cell>
          <cell r="K84">
            <v>9.2790512796427347</v>
          </cell>
          <cell r="L84">
            <v>5.0484590541500151E-3</v>
          </cell>
          <cell r="M84">
            <v>2.1368741894403499E-2</v>
          </cell>
        </row>
        <row r="85">
          <cell r="I85">
            <v>3847.8</v>
          </cell>
          <cell r="J85">
            <v>0.96234641655094677</v>
          </cell>
          <cell r="K85">
            <v>9.4573782325196429</v>
          </cell>
          <cell r="L85">
            <v>4.9532660421210814E-3</v>
          </cell>
          <cell r="M85">
            <v>2.1589295142536047E-2</v>
          </cell>
        </row>
        <row r="86">
          <cell r="I86">
            <v>3931</v>
          </cell>
          <cell r="J86">
            <v>0.96517734784906528</v>
          </cell>
          <cell r="K86">
            <v>9.6337406632277904</v>
          </cell>
          <cell r="L86">
            <v>4.8625878653182708E-3</v>
          </cell>
          <cell r="M86">
            <v>2.1811019673270021E-2</v>
          </cell>
        </row>
        <row r="87">
          <cell r="I87">
            <v>4014.3</v>
          </cell>
          <cell r="J87">
            <v>0.96810028460041142</v>
          </cell>
          <cell r="K87">
            <v>9.8081393275148177</v>
          </cell>
          <cell r="L87">
            <v>4.7761261216202758E-3</v>
          </cell>
          <cell r="M87">
            <v>2.2033843539626174E-2</v>
          </cell>
        </row>
        <row r="88">
          <cell r="I88">
            <v>4097.6000000000004</v>
          </cell>
          <cell r="J88">
            <v>0.97111180782586093</v>
          </cell>
          <cell r="K88">
            <v>9.9805775271484301</v>
          </cell>
          <cell r="L88">
            <v>4.6936071904867815E-3</v>
          </cell>
          <cell r="M88">
            <v>2.2257697492419338E-2</v>
          </cell>
        </row>
        <row r="89">
          <cell r="I89">
            <v>4180.8999999999996</v>
          </cell>
          <cell r="J89">
            <v>0.97420860662996389</v>
          </cell>
          <cell r="K89">
            <v>10.151060901537715</v>
          </cell>
          <cell r="L89">
            <v>4.6147797654862302E-3</v>
          </cell>
          <cell r="M89">
            <v>2.2482514933383015E-2</v>
          </cell>
        </row>
        <row r="90">
          <cell r="I90">
            <v>4264.2</v>
          </cell>
          <cell r="J90">
            <v>0.9773874778578866</v>
          </cell>
          <cell r="K90">
            <v>10.319597228702374</v>
          </cell>
          <cell r="L90">
            <v>4.5394126736208974E-3</v>
          </cell>
          <cell r="M90">
            <v>2.2708231862022463E-2</v>
          </cell>
        </row>
        <row r="91">
          <cell r="I91">
            <v>4347.5</v>
          </cell>
          <cell r="J91">
            <v>0.980645325308379</v>
          </cell>
          <cell r="K91">
            <v>10.486196235937408</v>
          </cell>
          <cell r="L91">
            <v>4.4672929432782995E-3</v>
          </cell>
          <cell r="M91">
            <v>2.2934786817220304E-2</v>
          </cell>
        </row>
        <row r="92">
          <cell r="I92">
            <v>4430.7</v>
          </cell>
          <cell r="J92">
            <v>0.98397915856155616</v>
          </cell>
          <cell r="K92">
            <v>10.650869420371368</v>
          </cell>
          <cell r="L92">
            <v>4.3982240883581594E-3</v>
          </cell>
          <cell r="M92">
            <v>2.316212081453908E-2</v>
          </cell>
        </row>
        <row r="93">
          <cell r="I93">
            <v>4514</v>
          </cell>
          <cell r="J93">
            <v>0.98738609147581646</v>
          </cell>
          <cell r="K93">
            <v>10.813629879487953</v>
          </cell>
          <cell r="L93">
            <v>4.3320245808942783E-3</v>
          </cell>
          <cell r="M93">
            <v>2.3390177280083656E-2</v>
          </cell>
        </row>
        <row r="94">
          <cell r="I94">
            <v>4597.3</v>
          </cell>
          <cell r="J94">
            <v>0.99086334040372759</v>
          </cell>
          <cell r="K94">
            <v>10.974492151572283</v>
          </cell>
          <cell r="L94">
            <v>4.2685264884829606E-3</v>
          </cell>
          <cell r="M94">
            <v>2.361890198170593E-2</v>
          </cell>
        </row>
        <row r="95">
          <cell r="I95">
            <v>4680.6000000000004</v>
          </cell>
          <cell r="J95">
            <v>0.99440822217232083</v>
          </cell>
          <cell r="K95">
            <v>11.133472065952571</v>
          </cell>
          <cell r="L95">
            <v>4.2075742561830049E-3</v>
          </cell>
          <cell r="M95">
            <v>2.3848242958255491E-2</v>
          </cell>
        </row>
        <row r="96">
          <cell r="I96">
            <v>4763.8999999999996</v>
          </cell>
          <cell r="J96">
            <v>0.9980181518689718</v>
          </cell>
          <cell r="K96">
            <v>11.29058660283382</v>
          </cell>
          <cell r="L96">
            <v>4.14902361537859E-3</v>
          </cell>
          <cell r="M96">
            <v>2.4078150447504498E-2</v>
          </cell>
        </row>
        <row r="97">
          <cell r="I97">
            <v>4847.2</v>
          </cell>
          <cell r="J97">
            <v>1.0016906404699728</v>
          </cell>
          <cell r="K97">
            <v>11.445853762460265</v>
          </cell>
          <cell r="L97">
            <v>4.0927406044864081E-3</v>
          </cell>
          <cell r="M97">
            <v>2.4308576813302851E-2</v>
          </cell>
        </row>
        <row r="98">
          <cell r="I98">
            <v>4930.3999999999996</v>
          </cell>
          <cell r="J98">
            <v>1.0054232923450297</v>
          </cell>
          <cell r="K98">
            <v>11.599292443296669</v>
          </cell>
          <cell r="L98">
            <v>4.0386006884158467E-3</v>
          </cell>
          <cell r="M98">
            <v>2.453947647245272E-2</v>
          </cell>
        </row>
        <row r="99">
          <cell r="I99">
            <v>5013.7</v>
          </cell>
          <cell r="J99">
            <v>1.0092138026672921</v>
          </cell>
          <cell r="K99">
            <v>11.750922328882844</v>
          </cell>
          <cell r="L99">
            <v>3.9864879654164295E-3</v>
          </cell>
          <cell r="M99">
            <v>2.4770805821728456E-2</v>
          </cell>
        </row>
        <row r="100">
          <cell r="I100">
            <v>5097</v>
          </cell>
          <cell r="J100">
            <v>1.0130599547551384</v>
          </cell>
          <cell r="K100">
            <v>11.900763782990095</v>
          </cell>
          <cell r="L100">
            <v>3.9362944514192135E-3</v>
          </cell>
          <cell r="M100">
            <v>2.5002523165409924E-2</v>
          </cell>
        </row>
        <row r="101">
          <cell r="I101">
            <v>5180.3</v>
          </cell>
          <cell r="J101">
            <v>1.0169596173688007</v>
          </cell>
          <cell r="K101">
            <v>12.048837752690828</v>
          </cell>
          <cell r="L101">
            <v>3.8879194332393533E-3</v>
          </cell>
          <cell r="M101">
            <v>2.5234588643644314E-2</v>
          </cell>
        </row>
        <row r="102">
          <cell r="I102">
            <v>5263.6</v>
          </cell>
          <cell r="J102">
            <v>1.0209107419820356</v>
          </cell>
          <cell r="K102">
            <v>12.195165678942374</v>
          </cell>
          <cell r="L102">
            <v>3.8412688830888669E-3</v>
          </cell>
          <cell r="M102">
            <v>2.5466964161903149E-2</v>
          </cell>
        </row>
        <row r="103">
          <cell r="I103">
            <v>5346.9</v>
          </cell>
          <cell r="J103">
            <v>1.0249113600464113</v>
          </cell>
          <cell r="K103">
            <v>12.339769414281736</v>
          </cell>
          <cell r="L103">
            <v>3.7962549277798935E-3</v>
          </cell>
          <cell r="M103">
            <v>2.5699613321757436E-2</v>
          </cell>
        </row>
        <row r="104">
          <cell r="I104">
            <v>5430.1</v>
          </cell>
          <cell r="J104">
            <v>1.0289595802633722</v>
          </cell>
          <cell r="K104">
            <v>12.482671147228837</v>
          </cell>
          <cell r="L104">
            <v>3.7527953668021019E-3</v>
          </cell>
          <cell r="M104">
            <v>2.5932501353154794E-2</v>
          </cell>
        </row>
        <row r="105">
          <cell r="I105">
            <v>5513.4</v>
          </cell>
          <cell r="J105">
            <v>1.0330535858770888</v>
          </cell>
          <cell r="K105">
            <v>12.623893333000439</v>
          </cell>
          <cell r="L105">
            <v>3.7108132341530627E-3</v>
          </cell>
          <cell r="M105">
            <v>2.6165595048347114E-2</v>
          </cell>
        </row>
        <row r="106">
          <cell r="I106">
            <v>5596.7</v>
          </cell>
          <cell r="J106">
            <v>1.0371916319991268</v>
          </cell>
          <cell r="K106">
            <v>12.763458630145228</v>
          </cell>
          <cell r="L106">
            <v>3.6702363994031008E-3</v>
          </cell>
          <cell r="M106">
            <v>2.6398862697586459E-2</v>
          </cell>
        </row>
        <row r="107">
          <cell r="I107">
            <v>5680</v>
          </cell>
          <cell r="J107">
            <v>1.0413720429742264</v>
          </cell>
          <cell r="K107">
            <v>12.901389842721054</v>
          </cell>
          <cell r="L107">
            <v>3.630997204000039E-3</v>
          </cell>
          <cell r="M107">
            <v>2.6632274026679125E-2</v>
          </cell>
        </row>
        <row r="108">
          <cell r="I108">
            <v>5763.3</v>
          </cell>
          <cell r="J108">
            <v>1.0455932097949143</v>
          </cell>
          <cell r="K108">
            <v>13.03770986764814</v>
          </cell>
          <cell r="L108">
            <v>3.5930321292757042E-3</v>
          </cell>
          <cell r="M108">
            <v>2.6865800136463912E-2</v>
          </cell>
        </row>
        <row r="109">
          <cell r="I109">
            <v>5846.6</v>
          </cell>
          <cell r="J109">
            <v>1.0498535875712787</v>
          </cell>
          <cell r="K109">
            <v>13.172441646886138</v>
          </cell>
          <cell r="L109">
            <v>3.556281493014503E-3</v>
          </cell>
          <cell r="M109">
            <v>2.7099413444259295E-2</v>
          </cell>
        </row>
        <row r="110">
          <cell r="I110">
            <v>5929.8</v>
          </cell>
          <cell r="J110">
            <v>1.0541516930610044</v>
          </cell>
          <cell r="K110">
            <v>13.305608124098248</v>
          </cell>
          <cell r="L110">
            <v>3.5206891717930737E-3</v>
          </cell>
          <cell r="M110">
            <v>2.7333087627306171E-2</v>
          </cell>
        </row>
        <row r="111">
          <cell r="I111">
            <v>6013.1</v>
          </cell>
          <cell r="J111">
            <v>1.058486102263686</v>
          </cell>
          <cell r="K111">
            <v>13.437232205481427</v>
          </cell>
          <cell r="L111">
            <v>3.4862023466056711E-3</v>
          </cell>
          <cell r="M111">
            <v>2.7566797568216918E-2</v>
          </cell>
        </row>
        <row r="112">
          <cell r="I112">
            <v>6096.4</v>
          </cell>
          <cell r="J112">
            <v>1.0628554480824743</v>
          </cell>
          <cell r="K112">
            <v>13.567336724458171</v>
          </cell>
          <cell r="L112">
            <v>3.4527712695584666E-3</v>
          </cell>
          <cell r="M112">
            <v>2.7800519302428224E-2</v>
          </cell>
        </row>
        <row r="113">
          <cell r="I113">
            <v>6179.7</v>
          </cell>
          <cell r="J113">
            <v>1.0672584180552962</v>
          </cell>
          <cell r="K113">
            <v>13.695944409941543</v>
          </cell>
          <cell r="L113">
            <v>3.4203490496523266E-3</v>
          </cell>
          <cell r="M113">
            <v>2.8034229967643334E-2</v>
          </cell>
        </row>
        <row r="114">
          <cell r="I114">
            <v>6263</v>
          </cell>
          <cell r="J114">
            <v>1.0716937521571448</v>
          </cell>
          <cell r="K114">
            <v>13.823077857901847</v>
          </cell>
          <cell r="L114">
            <v>3.3888914558819587E-3</v>
          </cell>
          <cell r="M114">
            <v>2.8267907755240448E-2</v>
          </cell>
        </row>
        <row r="115">
          <cell r="I115">
            <v>6346.3</v>
          </cell>
          <cell r="J115">
            <v>1.0761602406743391</v>
          </cell>
          <cell r="K115">
            <v>13.948759505979028</v>
          </cell>
          <cell r="L115">
            <v>3.3583567360635151E-3</v>
          </cell>
          <cell r="M115">
            <v>2.8501531863614957E-2</v>
          </cell>
        </row>
        <row r="116">
          <cell r="I116">
            <v>6429.5</v>
          </cell>
          <cell r="J116">
            <v>1.0806567221510874</v>
          </cell>
          <cell r="K116">
            <v>14.073011610901078</v>
          </cell>
          <cell r="L116">
            <v>3.328705449965534E-3</v>
          </cell>
          <cell r="M116">
            <v>2.8735082453417864E-2</v>
          </cell>
        </row>
        <row r="117">
          <cell r="I117">
            <v>6512.8</v>
          </cell>
          <cell r="J117">
            <v>1.0851820814082573</v>
          </cell>
          <cell r="K117">
            <v>14.195856228483633</v>
          </cell>
          <cell r="L117">
            <v>3.2999003154625854E-3</v>
          </cell>
          <cell r="M117">
            <v>2.8968540604646244E-2</v>
          </cell>
        </row>
        <row r="118">
          <cell r="I118">
            <v>6596.1</v>
          </cell>
          <cell r="J118">
            <v>1.0897352476338478</v>
          </cell>
          <cell r="K118">
            <v>14.317315196000935</v>
          </cell>
          <cell r="L118">
            <v>3.2719060665591278E-3</v>
          </cell>
          <cell r="M118">
            <v>2.9201888275538199E-2</v>
          </cell>
        </row>
        <row r="119">
          <cell r="I119">
            <v>6679.4</v>
          </cell>
          <cell r="J119">
            <v>1.0943151925443413</v>
          </cell>
          <cell r="K119">
            <v>14.437410116732384</v>
          </cell>
          <cell r="L119">
            <v>3.244689322245079E-3</v>
          </cell>
          <cell r="M119">
            <v>2.9435108263221203E-2</v>
          </cell>
        </row>
        <row r="120">
          <cell r="I120">
            <v>6762.7</v>
          </cell>
          <cell r="J120">
            <v>1.0989209286158423</v>
          </cell>
          <cell r="K120">
            <v>14.55616234650234</v>
          </cell>
          <cell r="L120">
            <v>3.2182184652461568E-3</v>
          </cell>
          <cell r="M120">
            <v>2.9668184166060207E-2</v>
          </cell>
        </row>
        <row r="121">
          <cell r="I121">
            <v>6846</v>
          </cell>
          <cell r="J121">
            <v>1.1035515073836832</v>
          </cell>
          <cell r="K121">
            <v>14.673592982043735</v>
          </cell>
          <cell r="L121">
            <v>3.1924635298225448E-3</v>
          </cell>
          <cell r="M121">
            <v>2.9901100347650245E-2</v>
          </cell>
        </row>
        <row r="122">
          <cell r="I122">
            <v>6929.2</v>
          </cell>
          <cell r="J122">
            <v>1.1082060178089919</v>
          </cell>
          <cell r="K122">
            <v>14.789722851028268</v>
          </cell>
          <cell r="L122">
            <v>3.1673960978503206E-3</v>
          </cell>
          <cell r="M122">
            <v>3.013384190239745E-2</v>
          </cell>
        </row>
        <row r="123">
          <cell r="I123">
            <v>7012.5</v>
          </cell>
          <cell r="J123">
            <v>1.1128835847105836</v>
          </cell>
          <cell r="K123">
            <v>14.904572503617262</v>
          </cell>
          <cell r="L123">
            <v>3.1429892024924331E-3</v>
          </cell>
          <cell r="M123">
            <v>3.0366394622631229E-2</v>
          </cell>
        </row>
        <row r="124">
          <cell r="I124">
            <v>7095.8</v>
          </cell>
          <cell r="J124">
            <v>1.1175833672604112</v>
          </cell>
          <cell r="K124">
            <v>15.018162205398289</v>
          </cell>
          <cell r="L124">
            <v>3.1192172388307417E-3</v>
          </cell>
          <cell r="M124">
            <v>3.059874496719096E-2</v>
          </cell>
        </row>
        <row r="125">
          <cell r="I125">
            <v>7179.1</v>
          </cell>
          <cell r="J125">
            <v>1.1223045575407353</v>
          </cell>
          <cell r="K125">
            <v>15.130511931582712</v>
          </cell>
          <cell r="L125">
            <v>3.0960558808887893E-3</v>
          </cell>
          <cell r="M125">
            <v>3.0830880031430193E-2</v>
          </cell>
        </row>
        <row r="126">
          <cell r="I126">
            <v>7262.4</v>
          </cell>
          <cell r="J126">
            <v>1.1270463791611109</v>
          </cell>
          <cell r="K126">
            <v>15.241641362348803</v>
          </cell>
          <cell r="L126">
            <v>3.0734820045270803E-3</v>
          </cell>
          <cell r="M126">
            <v>3.1062787518582307E-2</v>
          </cell>
        </row>
        <row r="127">
          <cell r="I127">
            <v>7345.7</v>
          </cell>
          <cell r="J127">
            <v>1.1318080859332458</v>
          </cell>
          <cell r="K127">
            <v>15.35156987922413</v>
          </cell>
          <cell r="L127">
            <v>3.0514736157395655E-3</v>
          </cell>
          <cell r="M127">
            <v>3.1294455712432272E-2</v>
          </cell>
        </row>
        <row r="128">
          <cell r="I128">
            <v>7428.9</v>
          </cell>
          <cell r="J128">
            <v>1.136588960601763</v>
          </cell>
          <cell r="K128">
            <v>15.460316562409135</v>
          </cell>
          <cell r="L128">
            <v>3.0300097839222355E-3</v>
          </cell>
          <cell r="M128">
            <v>3.1525873451240354E-2</v>
          </cell>
        </row>
        <row r="129">
          <cell r="I129">
            <v>7512.2</v>
          </cell>
          <cell r="J129">
            <v>1.1413883136289005</v>
          </cell>
          <cell r="K129">
            <v>15.567900188951597</v>
          </cell>
          <cell r="L129">
            <v>3.0090705797227607E-3</v>
          </cell>
          <cell r="M129">
            <v>3.1757030102864486E-2</v>
          </cell>
        </row>
        <row r="130">
          <cell r="I130">
            <v>7595.5</v>
          </cell>
          <cell r="J130">
            <v>1.1462054820311751</v>
          </cell>
          <cell r="K130">
            <v>15.674339231688954</v>
          </cell>
          <cell r="L130">
            <v>2.9886370171144359E-3</v>
          </cell>
          <cell r="M130">
            <v>3.19879155410299E-2</v>
          </cell>
        </row>
        <row r="131">
          <cell r="I131">
            <v>7678.8</v>
          </cell>
          <cell r="J131">
            <v>1.151039828266063</v>
          </cell>
          <cell r="K131">
            <v>15.779651858882074</v>
          </cell>
          <cell r="L131">
            <v>2.9686909993686915E-3</v>
          </cell>
          <cell r="M131">
            <v>3.2218520122695521E-2</v>
          </cell>
        </row>
        <row r="132">
          <cell r="I132">
            <v>7762.1</v>
          </cell>
          <cell r="J132">
            <v>1.155890739166771</v>
          </cell>
          <cell r="K132">
            <v>15.883855934470468</v>
          </cell>
          <cell r="L132">
            <v>2.9492152686284327E-3</v>
          </cell>
          <cell r="M132">
            <v>3.2448834666468793E-2</v>
          </cell>
        </row>
        <row r="133">
          <cell r="I133">
            <v>7845.4</v>
          </cell>
          <cell r="J133">
            <v>1.1607576249232072</v>
          </cell>
          <cell r="K133">
            <v>15.986969018884494</v>
          </cell>
          <cell r="L133">
            <v>2.9301933588098805E-3</v>
          </cell>
          <cell r="M133">
            <v>3.2678850432021567E-2</v>
          </cell>
        </row>
        <row r="134">
          <cell r="I134">
            <v>7928.6</v>
          </cell>
          <cell r="J134">
            <v>1.1656399181072941</v>
          </cell>
          <cell r="K134">
            <v>16.089008370355668</v>
          </cell>
          <cell r="L134">
            <v>2.9116095515835127E-3</v>
          </cell>
          <cell r="M134">
            <v>3.2908559100461747E-2</v>
          </cell>
        </row>
        <row r="135">
          <cell r="I135">
            <v>8011.9</v>
          </cell>
          <cell r="J135">
            <v>1.1705370727408171</v>
          </cell>
          <cell r="K135">
            <v>16.189990946671031</v>
          </cell>
          <cell r="L135">
            <v>2.8934488352056094E-3</v>
          </cell>
          <cell r="M135">
            <v>3.3137952755617046E-2</v>
          </cell>
        </row>
        <row r="136">
          <cell r="I136">
            <v>8095.2</v>
          </cell>
          <cell r="J136">
            <v>1.1754485634040455</v>
          </cell>
          <cell r="K136">
            <v>16.289933407322096</v>
          </cell>
          <cell r="L136">
            <v>2.8756968659907796E-3</v>
          </cell>
          <cell r="M136">
            <v>3.3367023866188457E-2</v>
          </cell>
        </row>
        <row r="137">
          <cell r="I137">
            <v>8178.5</v>
          </cell>
          <cell r="J137">
            <v>1.1803738843834095</v>
          </cell>
          <cell r="K137">
            <v>16.388852116003246</v>
          </cell>
          <cell r="L137">
            <v>2.8583399322330777E-3</v>
          </cell>
          <cell r="M137">
            <v>3.3595765268733355E-2</v>
          </cell>
        </row>
        <row r="138">
          <cell r="I138">
            <v>8261.7999999999993</v>
          </cell>
          <cell r="J138">
            <v>1.1853125488565768</v>
          </cell>
          <cell r="K138">
            <v>16.486763143418209</v>
          </cell>
          <cell r="L138">
            <v>2.8413649203989397E-3</v>
          </cell>
          <cell r="M138">
            <v>3.382417015143907E-2</v>
          </cell>
        </row>
        <row r="139">
          <cell r="I139">
            <v>8345.1</v>
          </cell>
          <cell r="J139">
            <v>1.1902640881133206</v>
          </cell>
          <cell r="K139">
            <v>16.583682270356892</v>
          </cell>
          <cell r="L139">
            <v>2.8247592834294284E-3</v>
          </cell>
          <cell r="M139">
            <v>3.4052232038649939E-2</v>
          </cell>
        </row>
        <row r="140">
          <cell r="I140">
            <v>8428.2999999999993</v>
          </cell>
          <cell r="J140">
            <v>1.1952280508106259</v>
          </cell>
          <cell r="K140">
            <v>16.679624991008325</v>
          </cell>
          <cell r="L140">
            <v>2.8085110110022183E-3</v>
          </cell>
          <cell r="M140">
            <v>3.4279944776112264E-2</v>
          </cell>
        </row>
        <row r="141">
          <cell r="I141">
            <v>8511.6</v>
          </cell>
          <cell r="J141">
            <v>1.2002040022605398</v>
          </cell>
          <cell r="K141">
            <v>16.774606516478116</v>
          </cell>
          <cell r="L141">
            <v>2.7926086016156456E-3</v>
          </cell>
          <cell r="M141">
            <v>3.4507302516902712E-2</v>
          </cell>
        </row>
        <row r="142">
          <cell r="I142">
            <v>8594.9</v>
          </cell>
          <cell r="J142">
            <v>1.2051915237493196</v>
          </cell>
          <cell r="K142">
            <v>16.86864177848225</v>
          </cell>
          <cell r="L142">
            <v>2.7770410363678671E-3</v>
          </cell>
          <cell r="M142">
            <v>3.473429970800837E-2</v>
          </cell>
        </row>
        <row r="143">
          <cell r="I143">
            <v>8678.2000000000007</v>
          </cell>
          <cell r="J143">
            <v>1.2101902118864958</v>
          </cell>
          <cell r="K143">
            <v>16.961745433190941</v>
          </cell>
          <cell r="L143">
            <v>2.7617977543141279E-3</v>
          </cell>
          <cell r="M143">
            <v>3.4960931077526382E-2</v>
          </cell>
        </row>
        <row r="144">
          <cell r="I144">
            <v>8761.5</v>
          </cell>
          <cell r="J144">
            <v>1.2151996779825147</v>
          </cell>
          <cell r="K144">
            <v>17.053931865199218</v>
          </cell>
          <cell r="L144">
            <v>2.7468686292940947E-3</v>
          </cell>
          <cell r="M144">
            <v>3.5187191622454268E-2</v>
          </cell>
        </row>
        <row r="145">
          <cell r="I145">
            <v>8844.7999999999993</v>
          </cell>
          <cell r="J145">
            <v>1.2202195474536797</v>
          </cell>
          <cell r="K145">
            <v>17.145215191602801</v>
          </cell>
          <cell r="L145">
            <v>2.732243948129496E-3</v>
          </cell>
          <cell r="M145">
            <v>3.5413076597042271E-2</v>
          </cell>
        </row>
        <row r="146">
          <cell r="I146">
            <v>8928</v>
          </cell>
          <cell r="J146">
            <v>1.2252494592531658</v>
          </cell>
          <cell r="K146">
            <v>17.235609266159852</v>
          </cell>
          <cell r="L146">
            <v>2.717914390099877E-3</v>
          </cell>
          <cell r="M146">
            <v>3.5638581501680686E-2</v>
          </cell>
        </row>
        <row r="147">
          <cell r="I147">
            <v>9011.2999999999993</v>
          </cell>
          <cell r="J147">
            <v>1.2302890653269305</v>
          </cell>
          <cell r="K147">
            <v>17.325127683521099</v>
          </cell>
          <cell r="L147">
            <v>2.7038710076111865E-3</v>
          </cell>
          <cell r="M147">
            <v>3.5863702072296569E-2</v>
          </cell>
        </row>
        <row r="148">
          <cell r="I148">
            <v>9094.6</v>
          </cell>
          <cell r="J148">
            <v>1.2353380300933905</v>
          </cell>
          <cell r="K148">
            <v>17.413783783512525</v>
          </cell>
          <cell r="L148">
            <v>2.6901052079782743E-3</v>
          </cell>
          <cell r="M148">
            <v>3.6088434270235344E-2</v>
          </cell>
        </row>
        <row r="149">
          <cell r="I149">
            <v>9177.9</v>
          </cell>
          <cell r="J149">
            <v>1.2403960299457917</v>
          </cell>
          <cell r="K149">
            <v>17.50159065545623</v>
          </cell>
          <cell r="L149">
            <v>2.6766087362482364E-3</v>
          </cell>
          <cell r="M149">
            <v>3.6312774272603772E-2</v>
          </cell>
        </row>
        <row r="150">
          <cell r="I150">
            <v>9261.2000000000007</v>
          </cell>
          <cell r="J150">
            <v>1.2454627527762356</v>
          </cell>
          <cell r="K150">
            <v>17.588561142516689</v>
          </cell>
          <cell r="L150">
            <v>2.6633736589968598E-3</v>
          </cell>
          <cell r="M150">
            <v>3.6536718463052356E-2</v>
          </cell>
        </row>
        <row r="151">
          <cell r="I151">
            <v>9344.5</v>
          </cell>
          <cell r="J151">
            <v>1.2505378975203782</v>
          </cell>
          <cell r="K151">
            <v>17.674707846060677</v>
          </cell>
          <cell r="L151">
            <v>2.6503923490353702E-3</v>
          </cell>
          <cell r="M151">
            <v>3.6760263422975656E-2</v>
          </cell>
        </row>
        <row r="152">
          <cell r="I152">
            <v>9427.7999999999993</v>
          </cell>
          <cell r="J152">
            <v>1.255621173721857</v>
          </cell>
          <cell r="K152">
            <v>17.760043130020662</v>
          </cell>
          <cell r="L152">
            <v>2.6376574709692248E-3</v>
          </cell>
          <cell r="M152">
            <v>3.6983405923110932E-2</v>
          </cell>
        </row>
        <row r="153">
          <cell r="I153">
            <v>9511</v>
          </cell>
          <cell r="J153">
            <v>1.2607123011155486</v>
          </cell>
          <cell r="K153">
            <v>17.844579125252078</v>
          </cell>
          <cell r="L153">
            <v>2.6251619675548327E-3</v>
          </cell>
          <cell r="M153">
            <v>3.7206142915515369E-2</v>
          </cell>
        </row>
        <row r="154">
          <cell r="I154">
            <v>9594.2999999999993</v>
          </cell>
          <cell r="J154">
            <v>1.2658110092287931</v>
          </cell>
          <cell r="K154">
            <v>17.928327733876458</v>
          </cell>
          <cell r="L154">
            <v>2.6128990468039515E-3</v>
          </cell>
          <cell r="M154">
            <v>3.7428471525904297E-2</v>
          </cell>
        </row>
        <row r="155">
          <cell r="I155">
            <v>9677.6</v>
          </cell>
          <cell r="J155">
            <v>1.2709170369997689</v>
          </cell>
          <cell r="K155">
            <v>18.011300633602705</v>
          </cell>
          <cell r="L155">
            <v>2.6008621697890407E-3</v>
          </cell>
          <cell r="M155">
            <v>3.7650389046332555E-2</v>
          </cell>
        </row>
        <row r="156">
          <cell r="I156">
            <v>9760.9</v>
          </cell>
          <cell r="J156">
            <v>1.2760301324122312</v>
          </cell>
          <cell r="K156">
            <v>18.093509282020143</v>
          </cell>
          <cell r="L156">
            <v>2.5890450391061123E-3</v>
          </cell>
          <cell r="M156">
            <v>3.7871892928202998E-2</v>
          </cell>
        </row>
        <row r="157">
          <cell r="I157">
            <v>9844.2000000000007</v>
          </cell>
          <cell r="J157">
            <v>1.2811500521458679</v>
          </cell>
          <cell r="K157">
            <v>18.174964920857409</v>
          </cell>
          <cell r="L157">
            <v>2.5774415879546435E-3</v>
          </cell>
          <cell r="M157">
            <v>3.809298077558633E-2</v>
          </cell>
        </row>
        <row r="158">
          <cell r="I158">
            <v>9927.5</v>
          </cell>
          <cell r="J158">
            <v>1.2862765612415643</v>
          </cell>
          <cell r="K158">
            <v>18.25567858020197</v>
          </cell>
          <cell r="L158">
            <v>2.5660459697968885E-3</v>
          </cell>
          <cell r="M158">
            <v>3.8313650338837192E-2</v>
          </cell>
        </row>
        <row r="159">
          <cell r="I159">
            <v>10010.700000000001</v>
          </cell>
          <cell r="J159">
            <v>1.291409432780888</v>
          </cell>
          <cell r="K159">
            <v>18.335661082675955</v>
          </cell>
          <cell r="L159">
            <v>2.5548525485615038E-3</v>
          </cell>
          <cell r="M159">
            <v>3.8533899508493043E-2</v>
          </cell>
        </row>
        <row r="160">
          <cell r="I160">
            <v>10094</v>
          </cell>
          <cell r="J160">
            <v>1.2965484475791591</v>
          </cell>
          <cell r="K160">
            <v>18.414923047564056</v>
          </cell>
          <cell r="L160">
            <v>2.5438558893587852E-3</v>
          </cell>
          <cell r="M160">
            <v>3.8753726309441433E-2</v>
          </cell>
        </row>
        <row r="161">
          <cell r="I161">
            <v>10177.299999999999</v>
          </cell>
          <cell r="J161">
            <v>1.3016933938914741</v>
          </cell>
          <cell r="K161">
            <v>18.493474894890308</v>
          </cell>
          <cell r="L161">
            <v>2.5330507496769982E-3</v>
          </cell>
          <cell r="M161">
            <v>3.8973128895343837E-2</v>
          </cell>
        </row>
        <row r="162">
          <cell r="I162">
            <v>10260.6</v>
          </cell>
          <cell r="J162">
            <v>1.3068440671311043</v>
          </cell>
          <cell r="K162">
            <v>18.571326849440752</v>
          </cell>
          <cell r="L162">
            <v>2.5224320710313338E-3</v>
          </cell>
          <cell r="M162">
            <v>3.919210554330356E-2</v>
          </cell>
        </row>
        <row r="163">
          <cell r="I163">
            <v>10343.9</v>
          </cell>
          <cell r="J163">
            <v>1.3120002695997079</v>
          </cell>
          <cell r="K163">
            <v>18.648488944729227</v>
          </cell>
          <cell r="L163">
            <v>2.5119949710389168E-3</v>
          </cell>
          <cell r="M163">
            <v>3.9410654648765871E-2</v>
          </cell>
        </row>
        <row r="164">
          <cell r="I164">
            <v>10427.200000000001</v>
          </cell>
          <cell r="J164">
            <v>1.317161810228813</v>
          </cell>
          <cell r="K164">
            <v>18.724971026904502</v>
          </cell>
          <cell r="L164">
            <v>2.5017347358950105E-3</v>
          </cell>
          <cell r="M164">
            <v>3.9628774720640067E-2</v>
          </cell>
        </row>
        <row r="165">
          <cell r="I165">
            <v>10510.4</v>
          </cell>
          <cell r="J165">
            <v>1.3223285043320709</v>
          </cell>
          <cell r="K165">
            <v>18.800782758596654</v>
          </cell>
          <cell r="L165">
            <v>2.4916468132272222E-3</v>
          </cell>
          <cell r="M165">
            <v>3.984646437663257E-2</v>
          </cell>
        </row>
        <row r="166">
          <cell r="I166">
            <v>10593.7</v>
          </cell>
          <cell r="J166">
            <v>1.3275001733677889</v>
          </cell>
          <cell r="K166">
            <v>18.875933622701396</v>
          </cell>
          <cell r="L166">
            <v>2.4817268053059895E-3</v>
          </cell>
          <cell r="M166">
            <v>4.0063722338781353E-2</v>
          </cell>
        </row>
        <row r="167">
          <cell r="I167">
            <v>10677</v>
          </cell>
          <cell r="J167">
            <v>1.3326766447112848</v>
          </cell>
          <cell r="K167">
            <v>18.950432926101104</v>
          </cell>
          <cell r="L167">
            <v>2.4719704625910414E-3</v>
          </cell>
          <cell r="M167">
            <v>4.0280547429182349E-2</v>
          </cell>
        </row>
        <row r="168">
          <cell r="I168">
            <v>10760.3</v>
          </cell>
          <cell r="J168">
            <v>1.3378577514366123</v>
          </cell>
          <cell r="K168">
            <v>19.02428980332164</v>
          </cell>
          <cell r="L168">
            <v>2.4623736775948152E-3</v>
          </cell>
          <cell r="M168">
            <v>4.0496938565898748E-2</v>
          </cell>
        </row>
        <row r="169">
          <cell r="I169">
            <v>10843.6</v>
          </cell>
          <cell r="J169">
            <v>1.3430433321072559</v>
          </cell>
          <cell r="K169">
            <v>19.097513220124256</v>
          </cell>
          <cell r="L169">
            <v>2.4529324790450312E-3</v>
          </cell>
          <cell r="M169">
            <v>4.0712894759044813E-2</v>
          </cell>
        </row>
        <row r="170">
          <cell r="I170">
            <v>10926.9</v>
          </cell>
          <cell r="J170">
            <v>1.3482332305753713</v>
          </cell>
          <cell r="K170">
            <v>19.170111977032196</v>
          </cell>
          <cell r="L170">
            <v>2.4436430263297237E-3</v>
          </cell>
          <cell r="M170">
            <v>4.0928415107036216E-2</v>
          </cell>
        </row>
        <row r="171">
          <cell r="I171">
            <v>11010.1</v>
          </cell>
          <cell r="J171">
            <v>1.3534272957892111</v>
          </cell>
          <cell r="K171">
            <v>19.242094712791609</v>
          </cell>
          <cell r="L171">
            <v>2.434501604209102E-3</v>
          </cell>
          <cell r="M171">
            <v>4.1143498792999125E-2</v>
          </cell>
        </row>
        <row r="172">
          <cell r="I172">
            <v>11093.4</v>
          </cell>
          <cell r="J172">
            <v>1.3586253816083615</v>
          </cell>
          <cell r="K172">
            <v>19.313469907766681</v>
          </cell>
          <cell r="L172">
            <v>2.4255046177795595E-3</v>
          </cell>
          <cell r="M172">
            <v>4.1358145081330476E-2</v>
          </cell>
        </row>
        <row r="173">
          <cell r="I173">
            <v>11176.7</v>
          </cell>
          <cell r="J173">
            <v>1.3638273466264452</v>
          </cell>
          <cell r="K173">
            <v>19.384245887269106</v>
          </cell>
          <cell r="L173">
            <v>2.4166485876760757E-3</v>
          </cell>
          <cell r="M173">
            <v>4.157235331440326E-2</v>
          </cell>
        </row>
        <row r="174">
          <cell r="I174">
            <v>11260</v>
          </cell>
          <cell r="J174">
            <v>1.369033054000963</v>
          </cell>
          <cell r="K174">
            <v>19.454430824821969</v>
          </cell>
          <cell r="L174">
            <v>2.407930145500072E-3</v>
          </cell>
          <cell r="M174">
            <v>4.1786122909409265E-2</v>
          </cell>
        </row>
        <row r="175">
          <cell r="I175">
            <v>11343.3</v>
          </cell>
          <cell r="J175">
            <v>1.3742423712899585</v>
          </cell>
          <cell r="K175">
            <v>19.52403274535844</v>
          </cell>
          <cell r="L175">
            <v>2.3993460294606072E-3</v>
          </cell>
          <cell r="M175">
            <v>4.1999453355333838E-2</v>
          </cell>
        </row>
        <row r="176">
          <cell r="I176">
            <v>11426.6</v>
          </cell>
          <cell r="J176">
            <v>1.3794551702952065</v>
          </cell>
          <cell r="K176">
            <v>19.593059528355585</v>
          </cell>
          <cell r="L176">
            <v>2.3908930802174866E-3</v>
          </cell>
          <cell r="M176">
            <v>4.2212344210056145E-2</v>
          </cell>
        </row>
        <row r="177">
          <cell r="I177">
            <v>11509.8</v>
          </cell>
          <cell r="J177">
            <v>1.384671326911638</v>
          </cell>
          <cell r="K177">
            <v>19.661518910903894</v>
          </cell>
          <cell r="L177">
            <v>2.3825682369155816E-3</v>
          </cell>
          <cell r="M177">
            <v>4.2424795097569447E-2</v>
          </cell>
        </row>
        <row r="178">
          <cell r="I178">
            <v>11593.1</v>
          </cell>
          <cell r="J178">
            <v>1.3898907209827334</v>
          </cell>
          <cell r="K178">
            <v>19.729418490713062</v>
          </cell>
          <cell r="L178">
            <v>2.3743685334002757E-3</v>
          </cell>
          <cell r="M178">
            <v>4.2636805705316159E-2</v>
          </cell>
        </row>
        <row r="179">
          <cell r="I179">
            <v>11676.4</v>
          </cell>
          <cell r="J179">
            <v>1.3951132361616216</v>
          </cell>
          <cell r="K179">
            <v>19.796765729054663</v>
          </cell>
          <cell r="L179">
            <v>2.3662910946045529E-3</v>
          </cell>
          <cell r="M179">
            <v>4.2848375781632107E-2</v>
          </cell>
        </row>
      </sheetData>
      <sheetData sheetId="7">
        <row r="5">
          <cell r="T5">
            <v>0</v>
          </cell>
          <cell r="V5">
            <v>0</v>
          </cell>
          <cell r="W5">
            <v>0</v>
          </cell>
          <cell r="X5">
            <v>0</v>
          </cell>
          <cell r="Y5">
            <v>0</v>
          </cell>
          <cell r="Z5">
            <v>0</v>
          </cell>
          <cell r="AA5">
            <v>0</v>
          </cell>
          <cell r="AB5">
            <v>0</v>
          </cell>
          <cell r="AC5">
            <v>0</v>
          </cell>
        </row>
        <row r="6">
          <cell r="T6">
            <v>1492.7821522309712</v>
          </cell>
          <cell r="V6">
            <v>1000</v>
          </cell>
          <cell r="W6">
            <v>3280.8398950131232</v>
          </cell>
          <cell r="X6">
            <v>1535.4330708661416</v>
          </cell>
          <cell r="Y6">
            <v>1706.0367454068241</v>
          </cell>
          <cell r="Z6">
            <v>1876.6404199475062</v>
          </cell>
          <cell r="AA6">
            <v>2047.2440944881889</v>
          </cell>
          <cell r="AB6">
            <v>2217.847769028871</v>
          </cell>
          <cell r="AC6">
            <v>2388.4514435695537</v>
          </cell>
        </row>
        <row r="7">
          <cell r="T7">
            <v>2985.5643044619424</v>
          </cell>
          <cell r="V7">
            <v>2000</v>
          </cell>
          <cell r="W7">
            <v>6561.6797900262463</v>
          </cell>
          <cell r="X7">
            <v>3070.8661417322833</v>
          </cell>
          <cell r="Y7">
            <v>3412.0734908136483</v>
          </cell>
          <cell r="Z7">
            <v>3753.2808398950124</v>
          </cell>
          <cell r="AA7">
            <v>4094.4881889763778</v>
          </cell>
          <cell r="AB7">
            <v>4435.6955380577419</v>
          </cell>
          <cell r="AC7">
            <v>4776.9028871391074</v>
          </cell>
        </row>
        <row r="8">
          <cell r="T8">
            <v>4478.3464566929133</v>
          </cell>
          <cell r="V8">
            <v>3000</v>
          </cell>
          <cell r="W8">
            <v>9842.5196850393695</v>
          </cell>
          <cell r="X8">
            <v>4606.2992125984247</v>
          </cell>
          <cell r="Y8">
            <v>5118.110236220472</v>
          </cell>
          <cell r="Z8">
            <v>5629.9212598425192</v>
          </cell>
          <cell r="AA8">
            <v>6141.7322834645665</v>
          </cell>
          <cell r="AB8">
            <v>6653.5433070866129</v>
          </cell>
          <cell r="AC8">
            <v>7165.3543307086611</v>
          </cell>
        </row>
        <row r="9">
          <cell r="T9">
            <v>5971.1286089238847</v>
          </cell>
          <cell r="V9">
            <v>4000</v>
          </cell>
          <cell r="W9">
            <v>13123.359580052493</v>
          </cell>
          <cell r="X9">
            <v>6141.7322834645665</v>
          </cell>
          <cell r="Y9">
            <v>6824.1469816272966</v>
          </cell>
          <cell r="Z9">
            <v>7506.5616797900248</v>
          </cell>
          <cell r="AA9">
            <v>8188.9763779527557</v>
          </cell>
          <cell r="AB9">
            <v>8871.3910761154839</v>
          </cell>
          <cell r="AC9">
            <v>9553.8057742782148</v>
          </cell>
        </row>
        <row r="10">
          <cell r="T10">
            <v>7463.9107611548552</v>
          </cell>
          <cell r="V10">
            <v>5000</v>
          </cell>
          <cell r="W10">
            <v>16404.199475065616</v>
          </cell>
          <cell r="X10">
            <v>7677.1653543307075</v>
          </cell>
          <cell r="Y10">
            <v>8530.1837270341202</v>
          </cell>
          <cell r="Z10">
            <v>9383.2020997375312</v>
          </cell>
          <cell r="AA10">
            <v>10236.220472440944</v>
          </cell>
          <cell r="AB10">
            <v>11089.238845144355</v>
          </cell>
          <cell r="AC10">
            <v>11942.257217847768</v>
          </cell>
        </row>
        <row r="11">
          <cell r="T11">
            <v>8956.6929133858266</v>
          </cell>
          <cell r="V11">
            <v>6000</v>
          </cell>
          <cell r="W11">
            <v>19685.039370078739</v>
          </cell>
          <cell r="X11">
            <v>9212.5984251968493</v>
          </cell>
          <cell r="Y11">
            <v>10236.220472440944</v>
          </cell>
          <cell r="Z11">
            <v>11259.842519685038</v>
          </cell>
          <cell r="AA11">
            <v>12283.464566929133</v>
          </cell>
          <cell r="AB11">
            <v>13307.086614173226</v>
          </cell>
          <cell r="AC11">
            <v>14330.708661417322</v>
          </cell>
        </row>
        <row r="12">
          <cell r="T12">
            <v>10449.475065616798</v>
          </cell>
          <cell r="V12">
            <v>7000</v>
          </cell>
          <cell r="W12">
            <v>22965.879265091862</v>
          </cell>
          <cell r="X12">
            <v>10748.031496062991</v>
          </cell>
          <cell r="Y12">
            <v>11942.257217847769</v>
          </cell>
          <cell r="Z12">
            <v>13136.482939632544</v>
          </cell>
          <cell r="AA12">
            <v>14330.708661417322</v>
          </cell>
          <cell r="AB12">
            <v>15524.934383202097</v>
          </cell>
          <cell r="AC12">
            <v>16719.160104986877</v>
          </cell>
        </row>
        <row r="13">
          <cell r="T13">
            <v>11942.257217847769</v>
          </cell>
          <cell r="V13">
            <v>8000</v>
          </cell>
          <cell r="W13">
            <v>26246.719160104985</v>
          </cell>
          <cell r="X13">
            <v>12283.464566929133</v>
          </cell>
          <cell r="Y13">
            <v>13648.293963254593</v>
          </cell>
          <cell r="Z13">
            <v>15013.12335958005</v>
          </cell>
          <cell r="AA13">
            <v>16377.952755905511</v>
          </cell>
          <cell r="AB13">
            <v>17742.782152230968</v>
          </cell>
          <cell r="AC13">
            <v>19107.61154855643</v>
          </cell>
        </row>
        <row r="14">
          <cell r="T14">
            <v>13435.039370078739</v>
          </cell>
          <cell r="V14">
            <v>9000</v>
          </cell>
          <cell r="W14">
            <v>29527.559055118109</v>
          </cell>
          <cell r="X14">
            <v>13818.897637795273</v>
          </cell>
          <cell r="Y14">
            <v>15354.330708661417</v>
          </cell>
          <cell r="Z14">
            <v>16889.763779527555</v>
          </cell>
          <cell r="AA14">
            <v>18425.196850393699</v>
          </cell>
          <cell r="AB14">
            <v>19960.629921259839</v>
          </cell>
          <cell r="AC14">
            <v>21496.062992125982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License Notice"/>
      <sheetName val="Input Data (Volumetric)_CB"/>
      <sheetName val="Probability_Scale_Data_HIDE"/>
      <sheetName val="Probability_Scale_Assump_Charts"/>
      <sheetName val="Forecast_Variables_CB"/>
      <sheetName val="OGIP_Volumetric_Estimation_CB"/>
      <sheetName val="Forecast_Data_CB"/>
      <sheetName val="Sensitivity-Scatter_Charts_CB"/>
      <sheetName val="Assumptions_Forecast_Charts_CB"/>
      <sheetName val="Fluid_Data"/>
      <sheetName val="Calc"/>
      <sheetName val="Solution_Tables"/>
      <sheetName val="Properties"/>
      <sheetName val="GAP_model_Summary_OP"/>
      <sheetName val="Trans_Aquifer_MBAL_setup_OP"/>
      <sheetName val="Crystal_Ball_to_GAP_setup_OP"/>
      <sheetName val="Plant_Cap._Schedule_OP"/>
      <sheetName val="Prediction_Results_OP"/>
      <sheetName val="Prediction_Results_STATUS_OP"/>
      <sheetName val="Costume_Forecast_Table"/>
    </sheetNames>
    <sheetDataSet>
      <sheetData sheetId="0"/>
      <sheetData sheetId="1"/>
      <sheetData sheetId="2">
        <row r="8">
          <cell r="D8">
            <v>7457.5</v>
          </cell>
        </row>
      </sheetData>
      <sheetData sheetId="3">
        <row r="3">
          <cell r="K3" t="str">
            <v xml:space="preserve">Net to </v>
          </cell>
        </row>
      </sheetData>
      <sheetData sheetId="4"/>
      <sheetData sheetId="5"/>
      <sheetData sheetId="6"/>
      <sheetData sheetId="7">
        <row r="10">
          <cell r="B10">
            <v>964.75909532950277</v>
          </cell>
        </row>
      </sheetData>
      <sheetData sheetId="8"/>
      <sheetData sheetId="9"/>
      <sheetData sheetId="10"/>
      <sheetData sheetId="11"/>
      <sheetData sheetId="12">
        <row r="10">
          <cell r="C10">
            <v>14.7</v>
          </cell>
          <cell r="D10">
            <v>0.99816000000000005</v>
          </cell>
          <cell r="G10">
            <v>1.2204946531457622E-2</v>
          </cell>
          <cell r="J10">
            <v>1.7737753949591782E-2</v>
          </cell>
          <cell r="K10">
            <v>14.727097860062514</v>
          </cell>
        </row>
        <row r="11">
          <cell r="C11">
            <v>55.21632653061225</v>
          </cell>
          <cell r="D11">
            <v>0.99314000000000002</v>
          </cell>
          <cell r="G11">
            <v>1.2230183491159223E-2</v>
          </cell>
          <cell r="J11">
            <v>0.25081172026038095</v>
          </cell>
          <cell r="K11">
            <v>55.597726937402832</v>
          </cell>
        </row>
        <row r="12">
          <cell r="C12">
            <v>95.732653061224497</v>
          </cell>
          <cell r="D12">
            <v>0.98817999999999995</v>
          </cell>
          <cell r="G12">
            <v>1.2261595469641048E-2</v>
          </cell>
          <cell r="J12">
            <v>0.75511246652307551</v>
          </cell>
          <cell r="K12">
            <v>96.877748043093874</v>
          </cell>
        </row>
        <row r="13">
          <cell r="C13">
            <v>136.24897959183676</v>
          </cell>
          <cell r="D13">
            <v>0.98326999999999998</v>
          </cell>
          <cell r="G13">
            <v>1.2296999063870804E-2</v>
          </cell>
          <cell r="J13">
            <v>1.531781470061975</v>
          </cell>
          <cell r="K13">
            <v>138.56720899837964</v>
          </cell>
        </row>
        <row r="14">
          <cell r="C14">
            <v>176.765306122449</v>
          </cell>
          <cell r="D14">
            <v>0.97843000000000002</v>
          </cell>
          <cell r="G14">
            <v>1.2335504536884697E-2</v>
          </cell>
          <cell r="J14">
            <v>2.5817249326935028</v>
          </cell>
          <cell r="K14">
            <v>180.6621895510655</v>
          </cell>
        </row>
        <row r="15">
          <cell r="C15">
            <v>217.28163265306125</v>
          </cell>
          <cell r="D15">
            <v>0.97365000000000002</v>
          </cell>
          <cell r="G15">
            <v>1.2376608788647422E-2</v>
          </cell>
          <cell r="J15">
            <v>3.9056628419379984</v>
          </cell>
          <cell r="K15">
            <v>223.16195003652365</v>
          </cell>
        </row>
        <row r="16">
          <cell r="C16">
            <v>257.79795918367347</v>
          </cell>
          <cell r="D16">
            <v>0.96894000000000002</v>
          </cell>
          <cell r="G16">
            <v>1.2419984489786739E-2</v>
          </cell>
          <cell r="J16">
            <v>5.5041542775486185</v>
          </cell>
          <cell r="K16">
            <v>266.06183993196015</v>
          </cell>
        </row>
        <row r="17">
          <cell r="C17">
            <v>298.31428571428569</v>
          </cell>
          <cell r="D17">
            <v>0.96428999999999998</v>
          </cell>
          <cell r="G17">
            <v>1.246540070122742E-2</v>
          </cell>
          <cell r="J17">
            <v>7.377616894491327</v>
          </cell>
          <cell r="K17">
            <v>309.36158802257171</v>
          </cell>
        </row>
        <row r="18">
          <cell r="C18">
            <v>338.83061224489791</v>
          </cell>
          <cell r="D18">
            <v>0.9597</v>
          </cell>
          <cell r="G18">
            <v>1.2512685608004536E-2</v>
          </cell>
          <cell r="J18">
            <v>9.5263474632145275</v>
          </cell>
          <cell r="K18">
            <v>353.05888532343221</v>
          </cell>
        </row>
        <row r="19">
          <cell r="C19">
            <v>379.34693877551013</v>
          </cell>
          <cell r="D19">
            <v>0.95518999999999998</v>
          </cell>
          <cell r="G19">
            <v>1.2561706507990949E-2</v>
          </cell>
          <cell r="J19">
            <v>11.950497578589557</v>
          </cell>
          <cell r="K19">
            <v>397.14291269329675</v>
          </cell>
        </row>
        <row r="20">
          <cell r="C20">
            <v>419.86326530612234</v>
          </cell>
          <cell r="D20">
            <v>0.95074999999999998</v>
          </cell>
          <cell r="G20">
            <v>1.2612358031190769E-2</v>
          </cell>
          <cell r="J20">
            <v>14.650086131820629</v>
          </cell>
          <cell r="K20">
            <v>441.61269030357334</v>
          </cell>
        </row>
        <row r="21">
          <cell r="C21">
            <v>460.37959183673456</v>
          </cell>
          <cell r="D21">
            <v>0.94638</v>
          </cell>
          <cell r="G21">
            <v>1.2664554720893357E-2</v>
          </cell>
          <cell r="J21">
            <v>17.625026741866929</v>
          </cell>
          <cell r="K21">
            <v>486.4637797044893</v>
          </cell>
        </row>
        <row r="22">
          <cell r="C22">
            <v>500.89591836734678</v>
          </cell>
          <cell r="D22">
            <v>0.94208000000000003</v>
          </cell>
          <cell r="G22">
            <v>1.2718226113736729E-2</v>
          </cell>
          <cell r="J22">
            <v>20.87512146803882</v>
          </cell>
          <cell r="K22">
            <v>531.69148943544792</v>
          </cell>
        </row>
        <row r="23">
          <cell r="C23">
            <v>541.412244897959</v>
          </cell>
          <cell r="D23">
            <v>0.93786000000000003</v>
          </cell>
          <cell r="G23">
            <v>1.2773313340332909E-2</v>
          </cell>
          <cell r="J23">
            <v>24.40004471113792</v>
          </cell>
          <cell r="K23">
            <v>577.28471722640802</v>
          </cell>
        </row>
        <row r="24">
          <cell r="C24">
            <v>581.92857142857122</v>
          </cell>
          <cell r="D24">
            <v>0.93371000000000004</v>
          </cell>
          <cell r="G24">
            <v>1.2829766696775772E-2</v>
          </cell>
          <cell r="J24">
            <v>28.199362512160594</v>
          </cell>
          <cell r="K24">
            <v>623.24337474009189</v>
          </cell>
        </row>
        <row r="25">
          <cell r="C25">
            <v>622.44489795918344</v>
          </cell>
          <cell r="D25">
            <v>0.92964999999999998</v>
          </cell>
          <cell r="G25">
            <v>1.2887543860980545E-2</v>
          </cell>
          <cell r="J25">
            <v>32.272509230106174</v>
          </cell>
          <cell r="K25">
            <v>669.54756947150372</v>
          </cell>
        </row>
        <row r="26">
          <cell r="C26">
            <v>662.96122448979565</v>
          </cell>
          <cell r="D26">
            <v>0.92566999999999999</v>
          </cell>
          <cell r="G26">
            <v>1.2946608551625865E-2</v>
          </cell>
          <cell r="J26">
            <v>36.618788027460326</v>
          </cell>
          <cell r="K26">
            <v>716.19607904522741</v>
          </cell>
        </row>
        <row r="27">
          <cell r="C27">
            <v>703.47755102040787</v>
          </cell>
          <cell r="D27">
            <v>0.92176000000000002</v>
          </cell>
          <cell r="G27">
            <v>1.3006929499486376E-2</v>
          </cell>
          <cell r="J27">
            <v>41.237439053746357</v>
          </cell>
          <cell r="K27">
            <v>763.18949728823975</v>
          </cell>
        </row>
        <row r="28">
          <cell r="C28">
            <v>743.99387755102009</v>
          </cell>
          <cell r="D28">
            <v>0.91793999999999998</v>
          </cell>
          <cell r="G28">
            <v>1.3068479644601293E-2</v>
          </cell>
          <cell r="J28">
            <v>46.1275715314422</v>
          </cell>
          <cell r="K28">
            <v>810.50382111142358</v>
          </cell>
        </row>
        <row r="29">
          <cell r="C29">
            <v>784.51020408163231</v>
          </cell>
          <cell r="D29">
            <v>0.91420999999999997</v>
          </cell>
          <cell r="G29">
            <v>1.3131235500142564E-2</v>
          </cell>
          <cell r="J29">
            <v>51.288134675907095</v>
          </cell>
          <cell r="K29">
            <v>858.12909953034023</v>
          </cell>
        </row>
        <row r="30">
          <cell r="C30">
            <v>825.02653061224453</v>
          </cell>
          <cell r="D30">
            <v>0.91056000000000004</v>
          </cell>
          <cell r="G30">
            <v>1.3195176641600708E-2</v>
          </cell>
          <cell r="J30">
            <v>56.717994817194871</v>
          </cell>
          <cell r="K30">
            <v>906.06498266148799</v>
          </cell>
        </row>
        <row r="31">
          <cell r="C31">
            <v>865.54285714285675</v>
          </cell>
          <cell r="D31">
            <v>0.90700000000000003</v>
          </cell>
          <cell r="G31">
            <v>1.3260285291714264E-2</v>
          </cell>
          <cell r="J31">
            <v>62.415909249962063</v>
          </cell>
          <cell r="K31">
            <v>954.29201449047048</v>
          </cell>
        </row>
        <row r="32">
          <cell r="C32">
            <v>906.05918367346897</v>
          </cell>
          <cell r="D32">
            <v>0.90353000000000006</v>
          </cell>
          <cell r="G32">
            <v>1.332654597960942E-2</v>
          </cell>
          <cell r="J32">
            <v>68.380496853948969</v>
          </cell>
          <cell r="K32">
            <v>1002.7992248995262</v>
          </cell>
        </row>
        <row r="33">
          <cell r="C33">
            <v>946.57551020408118</v>
          </cell>
          <cell r="D33">
            <v>0.90015000000000001</v>
          </cell>
          <cell r="G33">
            <v>1.3393945258207246E-2</v>
          </cell>
          <cell r="J33">
            <v>74.610266602808053</v>
          </cell>
          <cell r="K33">
            <v>1051.5753043426998</v>
          </cell>
        </row>
        <row r="34">
          <cell r="C34">
            <v>987.0918367346934</v>
          </cell>
          <cell r="D34">
            <v>0.89685999999999999</v>
          </cell>
          <cell r="G34">
            <v>1.346247146791724E-2</v>
          </cell>
          <cell r="J34">
            <v>81.103618687233578</v>
          </cell>
          <cell r="K34">
            <v>1100.6086086286527</v>
          </cell>
        </row>
        <row r="35">
          <cell r="C35">
            <v>1027.6081632653056</v>
          </cell>
          <cell r="D35">
            <v>0.89366000000000001</v>
          </cell>
          <cell r="G35">
            <v>1.3532114537490139E-2</v>
          </cell>
          <cell r="J35">
            <v>87.858845639936646</v>
          </cell>
          <cell r="K35">
            <v>1149.8871643189866</v>
          </cell>
        </row>
        <row r="36">
          <cell r="C36">
            <v>1068.124489795918</v>
          </cell>
          <cell r="D36">
            <v>0.89056000000000002</v>
          </cell>
          <cell r="G36">
            <v>1.3602865814991297E-2</v>
          </cell>
          <cell r="J36">
            <v>94.874093359515768</v>
          </cell>
          <cell r="K36">
            <v>1199.3852068315643</v>
          </cell>
        </row>
        <row r="37">
          <cell r="C37">
            <v>1108.6408163265303</v>
          </cell>
          <cell r="D37">
            <v>0.88754999999999995</v>
          </cell>
          <cell r="G37">
            <v>1.3674717923405216E-2</v>
          </cell>
          <cell r="J37">
            <v>102.14739921671568</v>
          </cell>
          <cell r="K37">
            <v>1249.1023788254524</v>
          </cell>
        </row>
        <row r="38">
          <cell r="C38">
            <v>1149.1571428571426</v>
          </cell>
          <cell r="D38">
            <v>0.88463000000000003</v>
          </cell>
          <cell r="G38">
            <v>1.3747664636545948E-2</v>
          </cell>
          <cell r="J38">
            <v>109.67673337774308</v>
          </cell>
          <cell r="K38">
            <v>1299.0257428044974</v>
          </cell>
        </row>
        <row r="39">
          <cell r="C39">
            <v>1189.6734693877549</v>
          </cell>
          <cell r="D39">
            <v>0.88182000000000005</v>
          </cell>
          <cell r="G39">
            <v>1.3821700771832887E-2</v>
          </cell>
          <cell r="J39">
            <v>117.45987341497107</v>
          </cell>
          <cell r="K39">
            <v>1349.1114619624809</v>
          </cell>
        </row>
        <row r="40">
          <cell r="C40">
            <v>1230.1897959183673</v>
          </cell>
          <cell r="D40">
            <v>0.87909999999999999</v>
          </cell>
          <cell r="G40">
            <v>1.3896822097171481E-2</v>
          </cell>
          <cell r="J40">
            <v>125.49448903508105</v>
          </cell>
          <cell r="K40">
            <v>1399.3741279926826</v>
          </cell>
        </row>
        <row r="41">
          <cell r="C41">
            <v>1270.7061224489796</v>
          </cell>
          <cell r="D41">
            <v>0.87648000000000004</v>
          </cell>
          <cell r="G41">
            <v>1.397302524970591E-2</v>
          </cell>
          <cell r="J41">
            <v>133.77818520246601</v>
          </cell>
          <cell r="K41">
            <v>1449.7833635096974</v>
          </cell>
        </row>
        <row r="42">
          <cell r="C42">
            <v>1311.2224489795919</v>
          </cell>
          <cell r="D42">
            <v>0.87395</v>
          </cell>
          <cell r="G42">
            <v>1.4050307664624015E-2</v>
          </cell>
          <cell r="J42">
            <v>142.30846502805105</v>
          </cell>
          <cell r="K42">
            <v>1500.3403501110956</v>
          </cell>
        </row>
        <row r="43">
          <cell r="C43">
            <v>1351.7387755102043</v>
          </cell>
          <cell r="D43">
            <v>0.87153000000000003</v>
          </cell>
          <cell r="G43">
            <v>1.4128667512521143E-2</v>
          </cell>
          <cell r="J43">
            <v>151.0826771656881</v>
          </cell>
          <cell r="K43">
            <v>1550.9951183667852</v>
          </cell>
        </row>
        <row r="44">
          <cell r="C44">
            <v>1392.2551020408166</v>
          </cell>
          <cell r="D44">
            <v>0.86919999999999997</v>
          </cell>
          <cell r="G44">
            <v>1.4208103644089367E-2</v>
          </cell>
          <cell r="J44">
            <v>160.09806850501764</v>
          </cell>
          <cell r="K44">
            <v>1601.7661091127666</v>
          </cell>
        </row>
        <row r="45">
          <cell r="C45">
            <v>1432.7714285714289</v>
          </cell>
          <cell r="D45">
            <v>0.86697999999999997</v>
          </cell>
          <cell r="G45">
            <v>1.4288615541106987E-2</v>
          </cell>
          <cell r="J45">
            <v>169.35177982631711</v>
          </cell>
          <cell r="K45">
            <v>1652.6003236192635</v>
          </cell>
        </row>
        <row r="46">
          <cell r="C46">
            <v>1473.2877551020413</v>
          </cell>
          <cell r="D46">
            <v>0.86485000000000001</v>
          </cell>
          <cell r="G46">
            <v>1.4370203272871545E-2</v>
          </cell>
          <cell r="J46">
            <v>178.84085372273205</v>
          </cell>
          <cell r="K46">
            <v>1703.5182460565893</v>
          </cell>
        </row>
        <row r="47">
          <cell r="C47">
            <v>1513.8040816326536</v>
          </cell>
          <cell r="D47">
            <v>0.86282000000000003</v>
          </cell>
          <cell r="G47">
            <v>1.4452867457356435E-2</v>
          </cell>
          <cell r="J47">
            <v>188.56228755684418</v>
          </cell>
          <cell r="K47">
            <v>1754.4842280344146</v>
          </cell>
        </row>
        <row r="48">
          <cell r="C48">
            <v>1554.3204081632659</v>
          </cell>
          <cell r="D48">
            <v>0.8609</v>
          </cell>
          <cell r="G48">
            <v>1.4536609226483092E-2</v>
          </cell>
          <cell r="J48">
            <v>198.51287043596011</v>
          </cell>
          <cell r="K48">
            <v>1805.4598770626856</v>
          </cell>
        </row>
        <row r="49">
          <cell r="C49">
            <v>1594.8367346938783</v>
          </cell>
          <cell r="D49">
            <v>0.85907</v>
          </cell>
          <cell r="G49">
            <v>1.4621430194992884E-2</v>
          </cell>
          <cell r="J49">
            <v>208.68935337590005</v>
          </cell>
          <cell r="K49">
            <v>1856.4688962411424</v>
          </cell>
        </row>
        <row r="50">
          <cell r="C50">
            <v>1635.3530612244906</v>
          </cell>
          <cell r="D50">
            <v>0.85733999999999999</v>
          </cell>
          <cell r="G50">
            <v>1.4707332432478997E-2</v>
          </cell>
          <cell r="J50">
            <v>219.08845298497454</v>
          </cell>
          <cell r="K50">
            <v>1907.4731859291421</v>
          </cell>
        </row>
        <row r="51">
          <cell r="C51">
            <v>1675.8693877551029</v>
          </cell>
          <cell r="D51">
            <v>0.85572000000000004</v>
          </cell>
          <cell r="G51">
            <v>1.4794318438201877E-2</v>
          </cell>
          <cell r="J51">
            <v>229.7066756384416</v>
          </cell>
          <cell r="K51">
            <v>1958.4319494169856</v>
          </cell>
        </row>
        <row r="52">
          <cell r="C52">
            <v>1716.3857142857153</v>
          </cell>
          <cell r="D52">
            <v>0.85419</v>
          </cell>
          <cell r="G52">
            <v>1.4882391118364775E-2</v>
          </cell>
          <cell r="J52">
            <v>240.54050089542474</v>
          </cell>
          <cell r="K52">
            <v>2009.3722875305439</v>
          </cell>
        </row>
        <row r="53">
          <cell r="C53">
            <v>1756.9020408163276</v>
          </cell>
          <cell r="D53">
            <v>0.85275999999999996</v>
          </cell>
          <cell r="G53">
            <v>1.4971553765570357E-2</v>
          </cell>
          <cell r="J53">
            <v>251.58638540117863</v>
          </cell>
          <cell r="K53">
            <v>2060.2538121116463</v>
          </cell>
        </row>
        <row r="54">
          <cell r="C54">
            <v>1797.4183673469399</v>
          </cell>
          <cell r="D54">
            <v>0.85141999999999995</v>
          </cell>
          <cell r="G54">
            <v>1.5061810040216729E-2</v>
          </cell>
          <cell r="J54">
            <v>262.84070819820022</v>
          </cell>
          <cell r="K54">
            <v>2111.0830933580842</v>
          </cell>
        </row>
        <row r="55">
          <cell r="C55">
            <v>1837.9346938775523</v>
          </cell>
          <cell r="D55">
            <v>0.85019</v>
          </cell>
          <cell r="G55">
            <v>1.5153163953623006E-2</v>
          </cell>
          <cell r="J55">
            <v>274.29970260473249</v>
          </cell>
          <cell r="K55">
            <v>2161.7928861519804</v>
          </cell>
        </row>
        <row r="56">
          <cell r="C56">
            <v>1878.4510204081646</v>
          </cell>
          <cell r="D56">
            <v>0.84904999999999997</v>
          </cell>
          <cell r="G56">
            <v>1.5245619852701406E-2</v>
          </cell>
          <cell r="J56">
            <v>285.95952692845486</v>
          </cell>
          <cell r="K56">
            <v>2212.4150761535416</v>
          </cell>
        </row>
        <row r="57">
          <cell r="C57">
            <v>1918.9673469387769</v>
          </cell>
          <cell r="D57">
            <v>0.84801000000000004</v>
          </cell>
          <cell r="G57">
            <v>1.5339182406015971E-2</v>
          </cell>
          <cell r="J57">
            <v>297.8163326552874</v>
          </cell>
          <cell r="K57">
            <v>2262.9065069265421</v>
          </cell>
        </row>
        <row r="58">
          <cell r="C58">
            <v>1959.4836734693893</v>
          </cell>
          <cell r="D58">
            <v>0.84706000000000004</v>
          </cell>
          <cell r="G58">
            <v>1.5433856591087531E-2</v>
          </cell>
          <cell r="J58">
            <v>309.86620436687912</v>
          </cell>
          <cell r="K58">
            <v>2313.2761238511903</v>
          </cell>
        </row>
        <row r="59">
          <cell r="C59">
            <v>2000.0000000000016</v>
          </cell>
          <cell r="D59">
            <v>0.84619999999999995</v>
          </cell>
          <cell r="G59">
            <v>1.552964768282159E-2</v>
          </cell>
          <cell r="J59">
            <v>322.10523298557189</v>
          </cell>
          <cell r="K59">
            <v>2363.507445048454</v>
          </cell>
        </row>
      </sheetData>
      <sheetData sheetId="13"/>
      <sheetData sheetId="14">
        <row r="7">
          <cell r="I7" t="str">
            <v>GM_1_Tank</v>
          </cell>
          <cell r="L7" t="str">
            <v>Trans02</v>
          </cell>
        </row>
        <row r="8">
          <cell r="I8" t="str">
            <v>Aquifer</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7.xml"/><Relationship Id="rId5" Type="http://schemas.openxmlformats.org/officeDocument/2006/relationships/image" Target="../media/image8.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13" Type="http://schemas.openxmlformats.org/officeDocument/2006/relationships/image" Target="../media/image14.emf"/><Relationship Id="rId18" Type="http://schemas.openxmlformats.org/officeDocument/2006/relationships/control" Target="../activeX/activeX16.xml"/><Relationship Id="rId26" Type="http://schemas.openxmlformats.org/officeDocument/2006/relationships/control" Target="../activeX/activeX21.xml"/><Relationship Id="rId21" Type="http://schemas.openxmlformats.org/officeDocument/2006/relationships/control" Target="../activeX/activeX18.xml"/><Relationship Id="rId34" Type="http://schemas.openxmlformats.org/officeDocument/2006/relationships/control" Target="../activeX/activeX28.xml"/><Relationship Id="rId7" Type="http://schemas.openxmlformats.org/officeDocument/2006/relationships/image" Target="../media/image11.emf"/><Relationship Id="rId12" Type="http://schemas.openxmlformats.org/officeDocument/2006/relationships/control" Target="../activeX/activeX12.xml"/><Relationship Id="rId17" Type="http://schemas.openxmlformats.org/officeDocument/2006/relationships/control" Target="../activeX/activeX15.xml"/><Relationship Id="rId25" Type="http://schemas.openxmlformats.org/officeDocument/2006/relationships/image" Target="../media/image18.emf"/><Relationship Id="rId33" Type="http://schemas.openxmlformats.org/officeDocument/2006/relationships/control" Target="../activeX/activeX27.xml"/><Relationship Id="rId2" Type="http://schemas.openxmlformats.org/officeDocument/2006/relationships/drawing" Target="../drawings/drawing11.xml"/><Relationship Id="rId16" Type="http://schemas.openxmlformats.org/officeDocument/2006/relationships/control" Target="../activeX/activeX14.xml"/><Relationship Id="rId20" Type="http://schemas.openxmlformats.org/officeDocument/2006/relationships/image" Target="../media/image16.emf"/><Relationship Id="rId29" Type="http://schemas.openxmlformats.org/officeDocument/2006/relationships/image" Target="../media/image19.emf"/><Relationship Id="rId1" Type="http://schemas.openxmlformats.org/officeDocument/2006/relationships/printerSettings" Target="../printerSettings/printerSettings7.bin"/><Relationship Id="rId6" Type="http://schemas.openxmlformats.org/officeDocument/2006/relationships/control" Target="../activeX/activeX9.xml"/><Relationship Id="rId11" Type="http://schemas.openxmlformats.org/officeDocument/2006/relationships/image" Target="../media/image13.emf"/><Relationship Id="rId24" Type="http://schemas.openxmlformats.org/officeDocument/2006/relationships/control" Target="../activeX/activeX20.xml"/><Relationship Id="rId32" Type="http://schemas.openxmlformats.org/officeDocument/2006/relationships/control" Target="../activeX/activeX26.xml"/><Relationship Id="rId37" Type="http://schemas.openxmlformats.org/officeDocument/2006/relationships/comments" Target="../comments3.xml"/><Relationship Id="rId5" Type="http://schemas.openxmlformats.org/officeDocument/2006/relationships/image" Target="../media/image10.emf"/><Relationship Id="rId15" Type="http://schemas.openxmlformats.org/officeDocument/2006/relationships/image" Target="../media/image15.emf"/><Relationship Id="rId23" Type="http://schemas.openxmlformats.org/officeDocument/2006/relationships/control" Target="../activeX/activeX19.xml"/><Relationship Id="rId28" Type="http://schemas.openxmlformats.org/officeDocument/2006/relationships/control" Target="../activeX/activeX23.xml"/><Relationship Id="rId36" Type="http://schemas.openxmlformats.org/officeDocument/2006/relationships/image" Target="../media/image20.emf"/><Relationship Id="rId10" Type="http://schemas.openxmlformats.org/officeDocument/2006/relationships/control" Target="../activeX/activeX11.xml"/><Relationship Id="rId19" Type="http://schemas.openxmlformats.org/officeDocument/2006/relationships/control" Target="../activeX/activeX17.xml"/><Relationship Id="rId31" Type="http://schemas.openxmlformats.org/officeDocument/2006/relationships/control" Target="../activeX/activeX25.xml"/><Relationship Id="rId4" Type="http://schemas.openxmlformats.org/officeDocument/2006/relationships/control" Target="../activeX/activeX8.xml"/><Relationship Id="rId9" Type="http://schemas.openxmlformats.org/officeDocument/2006/relationships/image" Target="../media/image12.emf"/><Relationship Id="rId14" Type="http://schemas.openxmlformats.org/officeDocument/2006/relationships/control" Target="../activeX/activeX13.xml"/><Relationship Id="rId22" Type="http://schemas.openxmlformats.org/officeDocument/2006/relationships/image" Target="../media/image17.emf"/><Relationship Id="rId27" Type="http://schemas.openxmlformats.org/officeDocument/2006/relationships/control" Target="../activeX/activeX22.xml"/><Relationship Id="rId30" Type="http://schemas.openxmlformats.org/officeDocument/2006/relationships/control" Target="../activeX/activeX24.xml"/><Relationship Id="rId35" Type="http://schemas.openxmlformats.org/officeDocument/2006/relationships/control" Target="../activeX/activeX29.xml"/><Relationship Id="rId8" Type="http://schemas.openxmlformats.org/officeDocument/2006/relationships/control" Target="../activeX/activeX10.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30.xml"/><Relationship Id="rId2" Type="http://schemas.openxmlformats.org/officeDocument/2006/relationships/vmlDrawing" Target="../drawings/vmlDrawing7.vml"/><Relationship Id="rId1" Type="http://schemas.openxmlformats.org/officeDocument/2006/relationships/drawing" Target="../drawings/drawing12.xml"/><Relationship Id="rId4"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mposition"/>
  <dimension ref="A1:U22"/>
  <sheetViews>
    <sheetView showGridLines="0" workbookViewId="0">
      <selection activeCell="K21" sqref="K21"/>
    </sheetView>
  </sheetViews>
  <sheetFormatPr defaultColWidth="9" defaultRowHeight="12"/>
  <cols>
    <col min="1" max="1" width="1.42578125" style="258" customWidth="1"/>
    <col min="2" max="2" width="16.7109375" style="258" customWidth="1"/>
    <col min="3" max="3" width="7.42578125" style="258" customWidth="1"/>
    <col min="4" max="4" width="11.85546875" style="259" customWidth="1"/>
    <col min="5" max="7" width="7.85546875" style="259" customWidth="1"/>
    <col min="8" max="8" width="8.42578125" style="259" customWidth="1"/>
    <col min="9" max="9" width="1.28515625" style="258" customWidth="1"/>
    <col min="10" max="13" width="12.42578125" style="258" customWidth="1"/>
    <col min="14" max="14" width="1.28515625" style="258" customWidth="1"/>
    <col min="15" max="15" width="21.85546875" style="258" customWidth="1"/>
    <col min="16" max="16" width="10.42578125" style="258" customWidth="1"/>
    <col min="17" max="17" width="4.140625" style="258" customWidth="1"/>
    <col min="18" max="18" width="1.7109375" style="258" customWidth="1"/>
    <col min="19" max="19" width="41.7109375" style="258" customWidth="1"/>
    <col min="20" max="20" width="9" style="258"/>
    <col min="21" max="21" width="7.42578125" style="258" customWidth="1"/>
    <col min="22" max="16384" width="9" style="258"/>
  </cols>
  <sheetData>
    <row r="1" spans="1:21" ht="13.9" customHeight="1">
      <c r="A1" s="256">
        <v>1000</v>
      </c>
      <c r="B1" s="257" t="s">
        <v>238</v>
      </c>
    </row>
    <row r="2" spans="1:21" ht="11.45" customHeight="1">
      <c r="B2" s="661" t="s">
        <v>133</v>
      </c>
      <c r="C2" s="664" t="s">
        <v>134</v>
      </c>
      <c r="D2" s="260" t="s">
        <v>158</v>
      </c>
      <c r="E2" s="260" t="s">
        <v>138</v>
      </c>
      <c r="F2" s="260" t="s">
        <v>155</v>
      </c>
      <c r="G2" s="260" t="s">
        <v>156</v>
      </c>
      <c r="H2" s="667" t="s">
        <v>157</v>
      </c>
      <c r="J2" s="261"/>
      <c r="K2" s="262"/>
      <c r="L2" s="263"/>
      <c r="M2" s="263"/>
      <c r="O2" s="670" t="s">
        <v>239</v>
      </c>
      <c r="P2" s="671"/>
      <c r="Q2" s="672"/>
      <c r="S2" s="670" t="s">
        <v>240</v>
      </c>
      <c r="T2" s="671"/>
      <c r="U2" s="672"/>
    </row>
    <row r="3" spans="1:21" ht="11.45" customHeight="1">
      <c r="B3" s="662"/>
      <c r="C3" s="665"/>
      <c r="D3" s="264" t="s">
        <v>32</v>
      </c>
      <c r="E3" s="265"/>
      <c r="F3" s="265"/>
      <c r="G3" s="265"/>
      <c r="H3" s="668"/>
      <c r="J3" s="266"/>
      <c r="K3" s="267"/>
      <c r="L3" s="268"/>
      <c r="M3" s="268"/>
      <c r="O3" s="673"/>
      <c r="P3" s="674"/>
      <c r="Q3" s="675"/>
      <c r="S3" s="673" t="s">
        <v>241</v>
      </c>
      <c r="T3" s="674"/>
      <c r="U3" s="675"/>
    </row>
    <row r="4" spans="1:21" ht="12" customHeight="1">
      <c r="B4" s="663"/>
      <c r="C4" s="666"/>
      <c r="D4" s="269" t="s">
        <v>137</v>
      </c>
      <c r="E4" s="269"/>
      <c r="F4" s="270" t="s">
        <v>183</v>
      </c>
      <c r="G4" s="269" t="s">
        <v>161</v>
      </c>
      <c r="H4" s="669"/>
      <c r="J4" s="271"/>
      <c r="K4" s="272"/>
      <c r="L4" s="273"/>
      <c r="M4" s="273"/>
      <c r="O4" s="676"/>
      <c r="P4" s="677"/>
      <c r="Q4" s="678"/>
      <c r="S4" s="676"/>
      <c r="T4" s="677"/>
      <c r="U4" s="678"/>
    </row>
    <row r="5" spans="1:21" ht="15.6" customHeight="1">
      <c r="B5" s="274" t="s">
        <v>140</v>
      </c>
      <c r="C5" s="275" t="s">
        <v>242</v>
      </c>
      <c r="D5" s="276">
        <v>0.1</v>
      </c>
      <c r="E5" s="277">
        <v>44</v>
      </c>
      <c r="F5" s="278">
        <v>87.9</v>
      </c>
      <c r="G5" s="278">
        <v>1071</v>
      </c>
      <c r="H5" s="279">
        <v>0.2276</v>
      </c>
      <c r="J5" s="280">
        <v>4.3999999999999997E-2</v>
      </c>
      <c r="K5" s="281">
        <v>8.7900000000000006E-2</v>
      </c>
      <c r="L5" s="282">
        <v>1.071</v>
      </c>
      <c r="M5" s="283">
        <v>2.276E-4</v>
      </c>
      <c r="O5" s="284"/>
      <c r="P5" s="645">
        <f>+SUM(J5:J19)</f>
        <v>18.837690400000003</v>
      </c>
      <c r="Q5" s="285"/>
      <c r="S5" s="286" t="s">
        <v>243</v>
      </c>
      <c r="T5" s="287">
        <f>+D5/100</f>
        <v>1E-3</v>
      </c>
      <c r="U5" s="288" t="s">
        <v>136</v>
      </c>
    </row>
    <row r="6" spans="1:21" ht="15.6" customHeight="1">
      <c r="B6" s="289" t="s">
        <v>141</v>
      </c>
      <c r="C6" s="290" t="s">
        <v>244</v>
      </c>
      <c r="D6" s="291">
        <v>0</v>
      </c>
      <c r="E6" s="292">
        <v>34.1</v>
      </c>
      <c r="F6" s="293">
        <v>212.5</v>
      </c>
      <c r="G6" s="293">
        <v>1300</v>
      </c>
      <c r="H6" s="294">
        <v>8.2699999999999996E-2</v>
      </c>
      <c r="J6" s="295">
        <v>0</v>
      </c>
      <c r="K6" s="296">
        <v>0</v>
      </c>
      <c r="L6" s="297">
        <v>0</v>
      </c>
      <c r="M6" s="298">
        <v>0</v>
      </c>
      <c r="O6" s="299"/>
      <c r="P6" s="646"/>
      <c r="Q6" s="300"/>
      <c r="S6" s="301" t="s">
        <v>245</v>
      </c>
      <c r="T6" s="302">
        <f>+D6/100</f>
        <v>0</v>
      </c>
      <c r="U6" s="303" t="s">
        <v>136</v>
      </c>
    </row>
    <row r="7" spans="1:21" ht="15.6" customHeight="1">
      <c r="B7" s="304" t="s">
        <v>142</v>
      </c>
      <c r="C7" s="305" t="s">
        <v>246</v>
      </c>
      <c r="D7" s="306">
        <v>2.1</v>
      </c>
      <c r="E7" s="307">
        <v>28.0124</v>
      </c>
      <c r="F7" s="308">
        <v>-232.5</v>
      </c>
      <c r="G7" s="308">
        <v>493.1</v>
      </c>
      <c r="H7" s="309">
        <v>4.0300000000000002E-2</v>
      </c>
      <c r="J7" s="310">
        <v>0.58826040000000002</v>
      </c>
      <c r="K7" s="311">
        <v>-4.8825000000000003</v>
      </c>
      <c r="L7" s="312">
        <v>10.355100000000002</v>
      </c>
      <c r="M7" s="313">
        <v>8.4630000000000013E-4</v>
      </c>
      <c r="O7" s="314"/>
      <c r="P7" s="647"/>
      <c r="Q7" s="315"/>
      <c r="S7" s="648"/>
      <c r="T7" s="654">
        <f>+T6+T5</f>
        <v>1E-3</v>
      </c>
      <c r="U7" s="656"/>
    </row>
    <row r="8" spans="1:21" ht="15.6" customHeight="1">
      <c r="B8" s="316" t="s">
        <v>143</v>
      </c>
      <c r="C8" s="317" t="s">
        <v>247</v>
      </c>
      <c r="D8" s="318">
        <v>86.6</v>
      </c>
      <c r="E8" s="319">
        <v>16</v>
      </c>
      <c r="F8" s="320">
        <v>-116.7</v>
      </c>
      <c r="G8" s="320">
        <v>666.4</v>
      </c>
      <c r="H8" s="321">
        <v>1.0800000000000001E-2</v>
      </c>
      <c r="J8" s="322">
        <v>13.856</v>
      </c>
      <c r="K8" s="323">
        <v>-101.0622</v>
      </c>
      <c r="L8" s="324">
        <v>577.10239999999999</v>
      </c>
      <c r="M8" s="325">
        <v>9.3527999999999997E-3</v>
      </c>
      <c r="O8" s="284"/>
      <c r="P8" s="658">
        <f>+P5/28.967</f>
        <v>0.6503155452756586</v>
      </c>
      <c r="Q8" s="285"/>
      <c r="S8" s="649"/>
      <c r="T8" s="655"/>
      <c r="U8" s="657"/>
    </row>
    <row r="9" spans="1:21" ht="15.6" customHeight="1">
      <c r="B9" s="316" t="s">
        <v>144</v>
      </c>
      <c r="C9" s="317" t="s">
        <v>248</v>
      </c>
      <c r="D9" s="318">
        <v>5.9</v>
      </c>
      <c r="E9" s="319">
        <v>30.07</v>
      </c>
      <c r="F9" s="320">
        <v>89.9</v>
      </c>
      <c r="G9" s="320">
        <v>706.5</v>
      </c>
      <c r="H9" s="321">
        <v>9.9000000000000005E-2</v>
      </c>
      <c r="J9" s="322">
        <v>1.7741300000000002</v>
      </c>
      <c r="K9" s="323">
        <v>5.3041000000000009</v>
      </c>
      <c r="L9" s="324">
        <v>41.683500000000002</v>
      </c>
      <c r="M9" s="325">
        <v>5.8410000000000007E-3</v>
      </c>
      <c r="O9" s="299"/>
      <c r="P9" s="659"/>
      <c r="Q9" s="300"/>
      <c r="S9" s="648"/>
      <c r="T9" s="654">
        <f>+T6</f>
        <v>0</v>
      </c>
      <c r="U9" s="656"/>
    </row>
    <row r="10" spans="1:21" ht="15.6" customHeight="1">
      <c r="B10" s="316" t="s">
        <v>145</v>
      </c>
      <c r="C10" s="317" t="s">
        <v>249</v>
      </c>
      <c r="D10" s="318">
        <v>3.6</v>
      </c>
      <c r="E10" s="319">
        <v>44.1</v>
      </c>
      <c r="F10" s="320">
        <v>206.1</v>
      </c>
      <c r="G10" s="320">
        <v>616</v>
      </c>
      <c r="H10" s="321">
        <v>0.1517</v>
      </c>
      <c r="J10" s="322">
        <v>1.5876000000000003</v>
      </c>
      <c r="K10" s="323">
        <v>7.4196000000000009</v>
      </c>
      <c r="L10" s="324">
        <v>22.176000000000002</v>
      </c>
      <c r="M10" s="325">
        <v>5.4612000000000011E-3</v>
      </c>
      <c r="O10" s="314"/>
      <c r="P10" s="660"/>
      <c r="Q10" s="315"/>
      <c r="S10" s="649"/>
      <c r="T10" s="655"/>
      <c r="U10" s="657"/>
    </row>
    <row r="11" spans="1:21" ht="15.6" customHeight="1">
      <c r="B11" s="316" t="s">
        <v>146</v>
      </c>
      <c r="C11" s="317" t="s">
        <v>250</v>
      </c>
      <c r="D11" s="318">
        <v>1.7</v>
      </c>
      <c r="E11" s="319">
        <v>58.1</v>
      </c>
      <c r="F11" s="320">
        <v>305.60000000000002</v>
      </c>
      <c r="G11" s="320">
        <v>550.6</v>
      </c>
      <c r="H11" s="321">
        <v>0.19309999999999999</v>
      </c>
      <c r="J11" s="322">
        <v>0.98770000000000013</v>
      </c>
      <c r="K11" s="323">
        <v>5.1952000000000007</v>
      </c>
      <c r="L11" s="324">
        <v>9.3602000000000007</v>
      </c>
      <c r="M11" s="325">
        <v>3.2826999999999999E-3</v>
      </c>
      <c r="O11" s="284"/>
      <c r="P11" s="645">
        <f>+SUM(K5:K19)</f>
        <v>-87.937899999999999</v>
      </c>
      <c r="Q11" s="285"/>
      <c r="S11" s="648"/>
      <c r="T11" s="650">
        <f>120*(T7^0.9-T7^1.6)+15*(T9^0.5-T9^4)</f>
        <v>0.23752960596531225</v>
      </c>
      <c r="U11" s="652" t="s">
        <v>159</v>
      </c>
    </row>
    <row r="12" spans="1:21" ht="15.6" customHeight="1">
      <c r="B12" s="316" t="s">
        <v>147</v>
      </c>
      <c r="C12" s="317" t="s">
        <v>250</v>
      </c>
      <c r="D12" s="318">
        <v>0</v>
      </c>
      <c r="E12" s="319">
        <v>58.1</v>
      </c>
      <c r="F12" s="320">
        <v>274.5</v>
      </c>
      <c r="G12" s="320">
        <v>527.9</v>
      </c>
      <c r="H12" s="321">
        <v>0.17699999999999999</v>
      </c>
      <c r="J12" s="322">
        <v>0</v>
      </c>
      <c r="K12" s="323">
        <v>0</v>
      </c>
      <c r="L12" s="324">
        <v>0</v>
      </c>
      <c r="M12" s="325">
        <v>0</v>
      </c>
      <c r="O12" s="299"/>
      <c r="P12" s="646"/>
      <c r="Q12" s="326" t="s">
        <v>183</v>
      </c>
      <c r="S12" s="649"/>
      <c r="T12" s="651"/>
      <c r="U12" s="653"/>
    </row>
    <row r="13" spans="1:21" ht="15.6" customHeight="1">
      <c r="B13" s="316" t="s">
        <v>148</v>
      </c>
      <c r="C13" s="317" t="s">
        <v>251</v>
      </c>
      <c r="D13" s="318">
        <v>0</v>
      </c>
      <c r="E13" s="319">
        <v>72.2</v>
      </c>
      <c r="F13" s="320">
        <v>385.8</v>
      </c>
      <c r="G13" s="320">
        <v>488.6</v>
      </c>
      <c r="H13" s="321">
        <v>0.24859999999999999</v>
      </c>
      <c r="J13" s="322">
        <v>0</v>
      </c>
      <c r="K13" s="323">
        <v>0</v>
      </c>
      <c r="L13" s="324">
        <v>0</v>
      </c>
      <c r="M13" s="325">
        <v>0</v>
      </c>
      <c r="O13" s="314"/>
      <c r="P13" s="647"/>
      <c r="Q13" s="315"/>
      <c r="S13" s="327" t="s">
        <v>160</v>
      </c>
      <c r="T13" s="328">
        <f>+P11+460</f>
        <v>372.06209999999999</v>
      </c>
      <c r="U13" s="329" t="s">
        <v>159</v>
      </c>
    </row>
    <row r="14" spans="1:21" ht="15.6" customHeight="1">
      <c r="B14" s="316" t="s">
        <v>149</v>
      </c>
      <c r="C14" s="317" t="s">
        <v>251</v>
      </c>
      <c r="D14" s="318">
        <v>0</v>
      </c>
      <c r="E14" s="319">
        <v>72.2</v>
      </c>
      <c r="F14" s="320">
        <v>369.1</v>
      </c>
      <c r="G14" s="320">
        <v>490.4</v>
      </c>
      <c r="H14" s="321">
        <v>0.22750000000000001</v>
      </c>
      <c r="J14" s="322">
        <v>0</v>
      </c>
      <c r="K14" s="323">
        <v>0</v>
      </c>
      <c r="L14" s="324">
        <v>0</v>
      </c>
      <c r="M14" s="325">
        <v>0</v>
      </c>
      <c r="O14" s="284"/>
      <c r="P14" s="645">
        <f>+SUM(L5:L19)</f>
        <v>661.7482</v>
      </c>
      <c r="Q14" s="285"/>
      <c r="S14" s="284"/>
      <c r="T14" s="645">
        <f>+T13-T11</f>
        <v>371.82457039403465</v>
      </c>
      <c r="U14" s="285"/>
    </row>
    <row r="15" spans="1:21" ht="15.6" customHeight="1">
      <c r="B15" s="316" t="s">
        <v>150</v>
      </c>
      <c r="C15" s="317" t="s">
        <v>252</v>
      </c>
      <c r="D15" s="318">
        <v>0</v>
      </c>
      <c r="E15" s="319">
        <v>86.2</v>
      </c>
      <c r="F15" s="320">
        <v>453.6</v>
      </c>
      <c r="G15" s="320">
        <v>436.9</v>
      </c>
      <c r="H15" s="321">
        <v>0.30470000000000003</v>
      </c>
      <c r="J15" s="322">
        <v>0</v>
      </c>
      <c r="K15" s="323">
        <v>0</v>
      </c>
      <c r="L15" s="324">
        <v>0</v>
      </c>
      <c r="M15" s="325">
        <v>0</v>
      </c>
      <c r="O15" s="299"/>
      <c r="P15" s="646"/>
      <c r="Q15" s="300" t="s">
        <v>161</v>
      </c>
      <c r="S15" s="299"/>
      <c r="T15" s="646"/>
      <c r="U15" s="330" t="s">
        <v>159</v>
      </c>
    </row>
    <row r="16" spans="1:21" ht="15.6" customHeight="1">
      <c r="B16" s="316" t="s">
        <v>151</v>
      </c>
      <c r="C16" s="317" t="s">
        <v>253</v>
      </c>
      <c r="D16" s="318">
        <v>0</v>
      </c>
      <c r="E16" s="319">
        <v>100.2</v>
      </c>
      <c r="F16" s="320">
        <v>512.70000000000005</v>
      </c>
      <c r="G16" s="320">
        <v>396.8</v>
      </c>
      <c r="H16" s="321">
        <v>0.34939999999999999</v>
      </c>
      <c r="J16" s="322">
        <v>0</v>
      </c>
      <c r="K16" s="323">
        <v>0</v>
      </c>
      <c r="L16" s="324">
        <v>0</v>
      </c>
      <c r="M16" s="325">
        <v>0</v>
      </c>
      <c r="O16" s="314"/>
      <c r="P16" s="647"/>
      <c r="Q16" s="315"/>
      <c r="S16" s="314"/>
      <c r="T16" s="647"/>
      <c r="U16" s="315"/>
    </row>
    <row r="17" spans="2:21" ht="15.6" customHeight="1">
      <c r="B17" s="316" t="s">
        <v>152</v>
      </c>
      <c r="C17" s="317" t="s">
        <v>254</v>
      </c>
      <c r="D17" s="318">
        <v>0</v>
      </c>
      <c r="E17" s="319">
        <v>114.2</v>
      </c>
      <c r="F17" s="320">
        <v>564.20000000000005</v>
      </c>
      <c r="G17" s="320">
        <v>360.7</v>
      </c>
      <c r="H17" s="321">
        <v>0.3962</v>
      </c>
      <c r="J17" s="322">
        <v>0</v>
      </c>
      <c r="K17" s="323">
        <v>0</v>
      </c>
      <c r="L17" s="324">
        <v>0</v>
      </c>
      <c r="M17" s="325">
        <v>0</v>
      </c>
      <c r="O17" s="284"/>
      <c r="P17" s="642">
        <f>+SUM(M5:M19)</f>
        <v>2.5011600000000002E-2</v>
      </c>
      <c r="Q17" s="285"/>
      <c r="S17" s="284"/>
      <c r="T17" s="645">
        <f>(P14*T14)/(T13+T9*(1-T9)*T11)</f>
        <v>661.32573076920687</v>
      </c>
      <c r="U17" s="285"/>
    </row>
    <row r="18" spans="2:21" ht="15.6" customHeight="1">
      <c r="B18" s="316" t="s">
        <v>153</v>
      </c>
      <c r="C18" s="317" t="s">
        <v>255</v>
      </c>
      <c r="D18" s="318">
        <v>0</v>
      </c>
      <c r="E18" s="319">
        <v>128.30000000000001</v>
      </c>
      <c r="F18" s="320">
        <v>610.70000000000005</v>
      </c>
      <c r="G18" s="320">
        <v>331.8</v>
      </c>
      <c r="H18" s="321">
        <v>0.43680000000000002</v>
      </c>
      <c r="J18" s="322">
        <v>0</v>
      </c>
      <c r="K18" s="323">
        <v>0</v>
      </c>
      <c r="L18" s="324">
        <v>0</v>
      </c>
      <c r="M18" s="325">
        <v>0</v>
      </c>
      <c r="O18" s="299"/>
      <c r="P18" s="643"/>
      <c r="Q18" s="300"/>
      <c r="S18" s="299"/>
      <c r="T18" s="646"/>
      <c r="U18" s="300" t="s">
        <v>161</v>
      </c>
    </row>
    <row r="19" spans="2:21" ht="15.6" customHeight="1">
      <c r="B19" s="331" t="s">
        <v>154</v>
      </c>
      <c r="C19" s="332" t="s">
        <v>256</v>
      </c>
      <c r="D19" s="333">
        <v>0</v>
      </c>
      <c r="E19" s="334">
        <v>142.30000000000001</v>
      </c>
      <c r="F19" s="335">
        <v>652</v>
      </c>
      <c r="G19" s="335">
        <v>305.2</v>
      </c>
      <c r="H19" s="336">
        <v>0.48420000000000002</v>
      </c>
      <c r="J19" s="337">
        <v>0</v>
      </c>
      <c r="K19" s="338">
        <v>0</v>
      </c>
      <c r="L19" s="339">
        <v>0</v>
      </c>
      <c r="M19" s="340">
        <v>0</v>
      </c>
      <c r="O19" s="314"/>
      <c r="P19" s="644"/>
      <c r="Q19" s="315"/>
      <c r="S19" s="314"/>
      <c r="T19" s="647"/>
      <c r="U19" s="315"/>
    </row>
    <row r="21" spans="2:21" ht="41.45" customHeight="1">
      <c r="C21" s="341"/>
      <c r="D21" s="342">
        <f>+SUM(D5:D19)</f>
        <v>100</v>
      </c>
      <c r="J21" s="343"/>
      <c r="K21" s="343"/>
      <c r="L21" s="343"/>
      <c r="M21" s="343"/>
      <c r="T21" s="344"/>
    </row>
    <row r="22" spans="2:21">
      <c r="D22" s="258"/>
      <c r="E22" s="258"/>
      <c r="J22" s="344"/>
      <c r="K22" s="344"/>
      <c r="L22" s="344"/>
      <c r="M22" s="344"/>
    </row>
  </sheetData>
  <mergeCells count="22">
    <mergeCell ref="B2:B4"/>
    <mergeCell ref="C2:C4"/>
    <mergeCell ref="H2:H4"/>
    <mergeCell ref="O2:Q4"/>
    <mergeCell ref="S2:U2"/>
    <mergeCell ref="S3:U4"/>
    <mergeCell ref="U11:U12"/>
    <mergeCell ref="P14:P16"/>
    <mergeCell ref="T14:T16"/>
    <mergeCell ref="P5:P7"/>
    <mergeCell ref="S7:S8"/>
    <mergeCell ref="T7:T8"/>
    <mergeCell ref="U7:U8"/>
    <mergeCell ref="P8:P10"/>
    <mergeCell ref="S9:S10"/>
    <mergeCell ref="T9:T10"/>
    <mergeCell ref="U9:U10"/>
    <mergeCell ref="P17:P19"/>
    <mergeCell ref="T17:T19"/>
    <mergeCell ref="P11:P13"/>
    <mergeCell ref="S11:S12"/>
    <mergeCell ref="T11:T12"/>
  </mergeCells>
  <pageMargins left="0.7" right="0.7" top="0.75" bottom="0.75" header="0.3" footer="0.3"/>
  <pageSetup orientation="portrait" r:id="rId1"/>
  <drawing r:id="rId2"/>
  <legacyDrawing r:id="rId3"/>
  <controls>
    <mc:AlternateContent xmlns:mc="http://schemas.openxmlformats.org/markup-compatibility/2006">
      <mc:Choice Requires="x14">
        <control shapeId="18434" r:id="rId4" name="CommandButton1">
          <controlPr defaultSize="0" autoLine="0" r:id="rId5">
            <anchor moveWithCells="1">
              <from>
                <xdr:col>4</xdr:col>
                <xdr:colOff>152400</xdr:colOff>
                <xdr:row>20</xdr:row>
                <xdr:rowOff>9525</xdr:rowOff>
              </from>
              <to>
                <xdr:col>7</xdr:col>
                <xdr:colOff>533400</xdr:colOff>
                <xdr:row>21</xdr:row>
                <xdr:rowOff>47625</xdr:rowOff>
              </to>
            </anchor>
          </controlPr>
        </control>
      </mc:Choice>
      <mc:Fallback>
        <control shapeId="1843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OS_PR"/>
  <dimension ref="A1:U110"/>
  <sheetViews>
    <sheetView showGridLines="0" tabSelected="1" workbookViewId="0">
      <selection activeCell="K21" sqref="K21"/>
    </sheetView>
  </sheetViews>
  <sheetFormatPr defaultColWidth="9" defaultRowHeight="12"/>
  <cols>
    <col min="1" max="1" width="1.7109375" style="346" customWidth="1"/>
    <col min="2" max="2" width="14.28515625" style="345" customWidth="1"/>
    <col min="3" max="4" width="12.28515625" style="346" customWidth="1"/>
    <col min="5" max="6" width="10.7109375" style="345" customWidth="1"/>
    <col min="7" max="7" width="12.85546875" style="345" customWidth="1"/>
    <col min="8" max="20" width="10.7109375" style="345" customWidth="1"/>
    <col min="21" max="21" width="2.42578125" style="345" customWidth="1"/>
    <col min="22" max="16384" width="9" style="346"/>
  </cols>
  <sheetData>
    <row r="1" spans="1:20">
      <c r="A1" s="343"/>
    </row>
    <row r="2" spans="1:20">
      <c r="B2" s="347" t="s">
        <v>163</v>
      </c>
      <c r="C2" s="348">
        <v>60</v>
      </c>
      <c r="D2" s="349" t="s">
        <v>183</v>
      </c>
      <c r="G2" s="350"/>
      <c r="H2" s="350"/>
      <c r="I2" s="351"/>
    </row>
    <row r="3" spans="1:20">
      <c r="B3" s="352" t="s">
        <v>257</v>
      </c>
      <c r="C3" s="353">
        <v>100</v>
      </c>
      <c r="D3" s="354" t="s">
        <v>161</v>
      </c>
      <c r="G3" s="350"/>
      <c r="I3" s="355"/>
    </row>
    <row r="4" spans="1:20">
      <c r="B4" s="356" t="s">
        <v>258</v>
      </c>
      <c r="C4" s="357">
        <v>10000</v>
      </c>
      <c r="D4" s="358" t="s">
        <v>161</v>
      </c>
    </row>
    <row r="5" spans="1:20">
      <c r="B5" s="359" t="s">
        <v>259</v>
      </c>
      <c r="C5" s="360">
        <v>100</v>
      </c>
      <c r="D5" s="361" t="s">
        <v>161</v>
      </c>
    </row>
    <row r="7" spans="1:20">
      <c r="B7" s="362"/>
      <c r="C7" s="363"/>
      <c r="D7" s="364"/>
      <c r="E7" s="679" t="s">
        <v>260</v>
      </c>
      <c r="F7" s="680"/>
      <c r="G7" s="680"/>
      <c r="H7" s="680"/>
      <c r="I7" s="680"/>
      <c r="J7" s="680"/>
      <c r="K7" s="680"/>
      <c r="L7" s="680"/>
      <c r="M7" s="680"/>
      <c r="N7" s="680"/>
      <c r="O7" s="680"/>
      <c r="P7" s="681"/>
      <c r="Q7" s="365"/>
      <c r="R7" s="366"/>
      <c r="S7" s="367" t="s">
        <v>21</v>
      </c>
      <c r="T7" s="367" t="s">
        <v>21</v>
      </c>
    </row>
    <row r="8" spans="1:20">
      <c r="B8" s="368" t="s">
        <v>162</v>
      </c>
      <c r="C8" s="369"/>
      <c r="D8" s="370"/>
      <c r="E8" s="371"/>
      <c r="F8" s="372"/>
      <c r="G8" s="372"/>
      <c r="H8" s="372"/>
      <c r="I8" s="372"/>
      <c r="J8" s="373"/>
      <c r="K8" s="374" t="s">
        <v>261</v>
      </c>
      <c r="L8" s="372"/>
      <c r="M8" s="373"/>
      <c r="N8" s="371" t="s">
        <v>166</v>
      </c>
      <c r="O8" s="372"/>
      <c r="P8" s="372"/>
      <c r="Q8" s="375" t="s">
        <v>168</v>
      </c>
      <c r="R8" s="376" t="s">
        <v>168</v>
      </c>
      <c r="S8" s="377" t="s">
        <v>171</v>
      </c>
      <c r="T8" s="377" t="s">
        <v>172</v>
      </c>
    </row>
    <row r="9" spans="1:20">
      <c r="B9" s="378" t="s">
        <v>161</v>
      </c>
      <c r="C9" s="379"/>
      <c r="D9" s="380"/>
      <c r="E9" s="381" t="s">
        <v>164</v>
      </c>
      <c r="F9" s="382" t="s">
        <v>165</v>
      </c>
      <c r="G9" s="383" t="s">
        <v>165</v>
      </c>
      <c r="H9" s="383" t="s">
        <v>30</v>
      </c>
      <c r="I9" s="383" t="s">
        <v>135</v>
      </c>
      <c r="J9" s="384" t="s">
        <v>139</v>
      </c>
      <c r="K9" s="381" t="s">
        <v>119</v>
      </c>
      <c r="L9" s="383" t="s">
        <v>32</v>
      </c>
      <c r="M9" s="384" t="s">
        <v>262</v>
      </c>
      <c r="N9" s="381" t="s">
        <v>263</v>
      </c>
      <c r="O9" s="383"/>
      <c r="P9" s="383"/>
      <c r="Q9" s="385" t="s">
        <v>169</v>
      </c>
      <c r="R9" s="386" t="s">
        <v>170</v>
      </c>
      <c r="S9" s="387" t="s">
        <v>264</v>
      </c>
      <c r="T9" s="387" t="s">
        <v>225</v>
      </c>
    </row>
    <row r="10" spans="1:20">
      <c r="B10" s="345">
        <v>100</v>
      </c>
      <c r="C10" s="388">
        <v>1.3891223742618855</v>
      </c>
      <c r="D10" s="388">
        <v>0.15141417930167392</v>
      </c>
      <c r="E10" s="355">
        <v>0.41486284498481801</v>
      </c>
      <c r="F10" s="355">
        <v>0.85729303038297966</v>
      </c>
      <c r="G10" s="355">
        <v>11172.74360265728</v>
      </c>
      <c r="H10" s="355">
        <v>0.47320652437832872</v>
      </c>
      <c r="I10" s="389">
        <v>3.0757730974015206E-2</v>
      </c>
      <c r="J10" s="389">
        <v>8.4797550678082315E-3</v>
      </c>
      <c r="K10" s="355">
        <v>-0.99152024493219182</v>
      </c>
      <c r="L10" s="355">
        <v>1.3582502100368685E-2</v>
      </c>
      <c r="M10" s="355">
        <v>-1.8830203173715774E-4</v>
      </c>
      <c r="N10" s="355">
        <v>0.97782999999999998</v>
      </c>
      <c r="O10" s="355"/>
      <c r="P10" s="355"/>
      <c r="Q10" s="355">
        <v>2.5626968640000004E-2</v>
      </c>
      <c r="R10" s="355">
        <v>0.14389746279999999</v>
      </c>
      <c r="S10" s="355">
        <v>0.35028569792929765</v>
      </c>
      <c r="T10" s="355">
        <v>1.0573911632790811E-2</v>
      </c>
    </row>
    <row r="11" spans="1:20">
      <c r="B11" s="345">
        <v>200</v>
      </c>
      <c r="C11" s="388">
        <v>1.3891223742618855</v>
      </c>
      <c r="D11" s="388">
        <v>0.30282835860334784</v>
      </c>
      <c r="E11" s="355">
        <v>0.41486284498481801</v>
      </c>
      <c r="F11" s="355">
        <v>0.85729303038297966</v>
      </c>
      <c r="G11" s="355">
        <v>11172.74360265728</v>
      </c>
      <c r="H11" s="355">
        <v>0.47320652437832872</v>
      </c>
      <c r="I11" s="355">
        <v>6.1515461948030412E-2</v>
      </c>
      <c r="J11" s="355">
        <v>1.6959510135616463E-2</v>
      </c>
      <c r="K11" s="355">
        <v>-0.98304048986438353</v>
      </c>
      <c r="L11" s="355">
        <v>2.6733566724677253E-2</v>
      </c>
      <c r="M11" s="355">
        <v>-7.5076913753258881E-4</v>
      </c>
      <c r="N11" s="355">
        <v>0.95589999999999997</v>
      </c>
      <c r="O11" s="355"/>
      <c r="P11" s="355"/>
      <c r="Q11" s="355">
        <v>1.2526113600000001E-2</v>
      </c>
      <c r="R11" s="355">
        <v>7.0335122E-2</v>
      </c>
      <c r="S11" s="355">
        <v>0.71664371588284359</v>
      </c>
      <c r="T11" s="355">
        <v>1.0724189586371672E-2</v>
      </c>
    </row>
    <row r="12" spans="1:20">
      <c r="B12" s="345">
        <v>300</v>
      </c>
      <c r="C12" s="388">
        <v>1.3891223742618855</v>
      </c>
      <c r="D12" s="388">
        <v>0.45424253790502173</v>
      </c>
      <c r="E12" s="355">
        <v>0.41486284498481801</v>
      </c>
      <c r="F12" s="355">
        <v>0.85729303038297966</v>
      </c>
      <c r="G12" s="355">
        <v>11172.74360265728</v>
      </c>
      <c r="H12" s="355">
        <v>0.47320652437832872</v>
      </c>
      <c r="I12" s="355">
        <v>9.2273192922045638E-2</v>
      </c>
      <c r="J12" s="355">
        <v>2.5439265203424696E-2</v>
      </c>
      <c r="K12" s="355">
        <v>-0.97456073479657535</v>
      </c>
      <c r="L12" s="355">
        <v>3.9453193872925722E-2</v>
      </c>
      <c r="M12" s="355">
        <v>-1.6837428332622307E-3</v>
      </c>
      <c r="N12" s="355">
        <v>0.93425999999999998</v>
      </c>
      <c r="O12" s="355"/>
      <c r="P12" s="355"/>
      <c r="Q12" s="355">
        <v>8.1616953600000004E-3</v>
      </c>
      <c r="R12" s="355">
        <v>4.5828567199999996E-2</v>
      </c>
      <c r="S12" s="355">
        <v>1.0998646972134258</v>
      </c>
      <c r="T12" s="355">
        <v>1.0903590327381384E-2</v>
      </c>
    </row>
    <row r="13" spans="1:20">
      <c r="B13" s="345">
        <v>400</v>
      </c>
      <c r="C13" s="388">
        <v>1.3891223742618855</v>
      </c>
      <c r="D13" s="388">
        <v>0.60565671720669567</v>
      </c>
      <c r="E13" s="355">
        <v>0.41486284498481801</v>
      </c>
      <c r="F13" s="355">
        <v>0.85729303038297966</v>
      </c>
      <c r="G13" s="355">
        <v>11172.74360265728</v>
      </c>
      <c r="H13" s="355">
        <v>0.47320652437832872</v>
      </c>
      <c r="I13" s="355">
        <v>0.12303092389606082</v>
      </c>
      <c r="J13" s="355">
        <v>3.3919020271232926E-2</v>
      </c>
      <c r="K13" s="355">
        <v>-0.96608097972876705</v>
      </c>
      <c r="L13" s="355">
        <v>5.1741383545114039E-2</v>
      </c>
      <c r="M13" s="355">
        <v>-2.9835646348020184E-3</v>
      </c>
      <c r="N13" s="355">
        <v>0.91298999999999997</v>
      </c>
      <c r="O13" s="355"/>
      <c r="P13" s="355"/>
      <c r="Q13" s="355">
        <v>5.9819104799999998E-3</v>
      </c>
      <c r="R13" s="355">
        <v>3.3588902099999998E-2</v>
      </c>
      <c r="S13" s="355">
        <v>1.5006511090207126</v>
      </c>
      <c r="T13" s="355">
        <v>1.1110026958125584E-2</v>
      </c>
    </row>
    <row r="14" spans="1:20">
      <c r="B14" s="345">
        <v>500</v>
      </c>
      <c r="C14" s="388">
        <v>1.3891223742618855</v>
      </c>
      <c r="D14" s="388">
        <v>0.75707089650836956</v>
      </c>
      <c r="E14" s="355">
        <v>0.41486284498481801</v>
      </c>
      <c r="F14" s="355">
        <v>0.85729303038297966</v>
      </c>
      <c r="G14" s="355">
        <v>11172.74360265728</v>
      </c>
      <c r="H14" s="355">
        <v>0.47320652437832872</v>
      </c>
      <c r="I14" s="355">
        <v>0.15378865487007604</v>
      </c>
      <c r="J14" s="355">
        <v>4.2398775339041156E-2</v>
      </c>
      <c r="K14" s="355">
        <v>-0.95760122466095887</v>
      </c>
      <c r="L14" s="355">
        <v>6.3598135741242276E-2</v>
      </c>
      <c r="M14" s="355">
        <v>-4.646576058027891E-3</v>
      </c>
      <c r="N14" s="355">
        <v>0.89215</v>
      </c>
      <c r="O14" s="355"/>
      <c r="P14" s="355"/>
      <c r="Q14" s="355">
        <v>4.6762934400000006E-3</v>
      </c>
      <c r="R14" s="355">
        <v>2.6257758799999999E-2</v>
      </c>
      <c r="S14" s="355">
        <v>1.9196315866513762</v>
      </c>
      <c r="T14" s="355">
        <v>1.1343587967741138E-2</v>
      </c>
    </row>
    <row r="15" spans="1:20">
      <c r="B15" s="345">
        <v>600</v>
      </c>
      <c r="C15" s="388">
        <v>1.3891223742618855</v>
      </c>
      <c r="D15" s="388">
        <v>0.90848507581004345</v>
      </c>
      <c r="E15" s="355">
        <v>0.41486284498481801</v>
      </c>
      <c r="F15" s="355">
        <v>0.85729303038297966</v>
      </c>
      <c r="G15" s="355">
        <v>11172.74360265728</v>
      </c>
      <c r="H15" s="355">
        <v>0.47320652437832872</v>
      </c>
      <c r="I15" s="355">
        <v>0.18454638584409128</v>
      </c>
      <c r="J15" s="355">
        <v>5.0878530406849393E-2</v>
      </c>
      <c r="K15" s="355">
        <v>-0.94912146959315058</v>
      </c>
      <c r="L15" s="355">
        <v>7.5023450461310398E-2</v>
      </c>
      <c r="M15" s="355">
        <v>-6.6691186188157859E-3</v>
      </c>
      <c r="N15" s="355">
        <v>0.87183999999999995</v>
      </c>
      <c r="O15" s="355"/>
      <c r="P15" s="355"/>
      <c r="Q15" s="355">
        <v>3.8081971200000001E-3</v>
      </c>
      <c r="R15" s="355">
        <v>2.1383329066666665E-2</v>
      </c>
      <c r="S15" s="355">
        <v>2.3572205726248288</v>
      </c>
      <c r="T15" s="355">
        <v>1.1605229450960777E-2</v>
      </c>
    </row>
    <row r="16" spans="1:20">
      <c r="B16" s="345">
        <v>700</v>
      </c>
      <c r="C16" s="388">
        <v>1.3891223742618855</v>
      </c>
      <c r="D16" s="388">
        <v>1.0598992551117175</v>
      </c>
      <c r="E16" s="355">
        <v>0.41486284498481801</v>
      </c>
      <c r="F16" s="355">
        <v>0.85729303038297966</v>
      </c>
      <c r="G16" s="355">
        <v>11172.74360265728</v>
      </c>
      <c r="H16" s="355">
        <v>0.47320652437832872</v>
      </c>
      <c r="I16" s="355">
        <v>0.21530411681810646</v>
      </c>
      <c r="J16" s="355">
        <v>5.9358285474657616E-2</v>
      </c>
      <c r="K16" s="355">
        <v>-0.9406417145253424</v>
      </c>
      <c r="L16" s="355">
        <v>8.6017327705318378E-2</v>
      </c>
      <c r="M16" s="355">
        <v>-9.0475338330416356E-3</v>
      </c>
      <c r="N16" s="355">
        <v>0.85216000000000003</v>
      </c>
      <c r="O16" s="355"/>
      <c r="P16" s="355"/>
      <c r="Q16" s="355">
        <v>3.1904870399999999E-3</v>
      </c>
      <c r="R16" s="355">
        <v>1.7914837942857142E-2</v>
      </c>
      <c r="S16" s="355">
        <v>2.8136019621238213</v>
      </c>
      <c r="T16" s="355">
        <v>1.1896362130761721E-2</v>
      </c>
    </row>
    <row r="17" spans="2:20">
      <c r="B17" s="345">
        <v>800</v>
      </c>
      <c r="C17" s="388">
        <v>1.3891223742618855</v>
      </c>
      <c r="D17" s="388">
        <v>1.2113134344133913</v>
      </c>
      <c r="E17" s="355">
        <v>0.41486284498481801</v>
      </c>
      <c r="F17" s="355">
        <v>0.85729303038297966</v>
      </c>
      <c r="G17" s="355">
        <v>11172.74360265728</v>
      </c>
      <c r="H17" s="355">
        <v>0.47320652437832872</v>
      </c>
      <c r="I17" s="355">
        <v>0.24606184779212165</v>
      </c>
      <c r="J17" s="355">
        <v>6.7838040542465852E-2</v>
      </c>
      <c r="K17" s="355">
        <v>-0.93216195945753411</v>
      </c>
      <c r="L17" s="355">
        <v>9.6579767473266215E-2</v>
      </c>
      <c r="M17" s="355">
        <v>-1.1778163216581379E-2</v>
      </c>
      <c r="N17" s="355">
        <v>0.83321999999999996</v>
      </c>
      <c r="O17" s="355"/>
      <c r="P17" s="355"/>
      <c r="Q17" s="355">
        <v>2.7296287200000002E-3</v>
      </c>
      <c r="R17" s="355">
        <v>1.5327081899999997E-2</v>
      </c>
      <c r="S17" s="355">
        <v>3.288637949220663</v>
      </c>
      <c r="T17" s="355">
        <v>1.2218609999579856E-2</v>
      </c>
    </row>
    <row r="18" spans="2:20">
      <c r="B18" s="345">
        <v>900</v>
      </c>
      <c r="C18" s="388">
        <v>1.3891223742618855</v>
      </c>
      <c r="D18" s="388">
        <v>1.3627276137150652</v>
      </c>
      <c r="E18" s="355">
        <v>0.41486284498481801</v>
      </c>
      <c r="F18" s="355">
        <v>0.85729303038297966</v>
      </c>
      <c r="G18" s="355">
        <v>11172.74360265728</v>
      </c>
      <c r="H18" s="355">
        <v>0.47320652437832872</v>
      </c>
      <c r="I18" s="355">
        <v>0.27681957876613689</v>
      </c>
      <c r="J18" s="355">
        <v>7.6317795610274089E-2</v>
      </c>
      <c r="K18" s="355">
        <v>-0.92368220438972592</v>
      </c>
      <c r="L18" s="355">
        <v>0.10671076976515399</v>
      </c>
      <c r="M18" s="355">
        <v>-1.4857348285310958E-2</v>
      </c>
      <c r="N18" s="355">
        <v>0.81513000000000002</v>
      </c>
      <c r="O18" s="355"/>
      <c r="P18" s="355"/>
      <c r="Q18" s="355">
        <v>2.3736585600000002E-3</v>
      </c>
      <c r="R18" s="355">
        <v>1.33282812E-2</v>
      </c>
      <c r="S18" s="355">
        <v>3.781824710237442</v>
      </c>
      <c r="T18" s="355">
        <v>1.2573661863922619E-2</v>
      </c>
    </row>
    <row r="19" spans="2:20">
      <c r="B19" s="345">
        <v>1000</v>
      </c>
      <c r="C19" s="388">
        <v>1.3891223742618855</v>
      </c>
      <c r="D19" s="388">
        <v>1.5141417930167391</v>
      </c>
      <c r="E19" s="355">
        <v>0.41486284498481801</v>
      </c>
      <c r="F19" s="355">
        <v>0.85729303038297966</v>
      </c>
      <c r="G19" s="355">
        <v>11172.74360265728</v>
      </c>
      <c r="H19" s="355">
        <v>0.47320652437832872</v>
      </c>
      <c r="I19" s="355">
        <v>0.30757730974015207</v>
      </c>
      <c r="J19" s="355">
        <v>8.4797550678082312E-2</v>
      </c>
      <c r="K19" s="355">
        <v>-0.91520244932191774</v>
      </c>
      <c r="L19" s="355">
        <v>0.11641033458098163</v>
      </c>
      <c r="M19" s="355">
        <v>-1.8281430555106299E-2</v>
      </c>
      <c r="N19" s="355">
        <v>0.79803999999999997</v>
      </c>
      <c r="O19" s="355"/>
      <c r="P19" s="355"/>
      <c r="Q19" s="355">
        <v>2.0915032320000001E-3</v>
      </c>
      <c r="R19" s="355">
        <v>1.1743956639999999E-2</v>
      </c>
      <c r="S19" s="355">
        <v>4.2920137337251907</v>
      </c>
      <c r="T19" s="355">
        <v>1.2962957119726729E-2</v>
      </c>
    </row>
    <row r="20" spans="2:20">
      <c r="B20" s="345">
        <v>1100</v>
      </c>
      <c r="C20" s="388">
        <v>1.3891223742618855</v>
      </c>
      <c r="D20" s="388">
        <v>1.665555972318413</v>
      </c>
      <c r="E20" s="355">
        <v>0.41486284498481801</v>
      </c>
      <c r="F20" s="355">
        <v>0.85729303038297966</v>
      </c>
      <c r="G20" s="355">
        <v>11172.74360265728</v>
      </c>
      <c r="H20" s="355">
        <v>0.47320652437832872</v>
      </c>
      <c r="I20" s="355">
        <v>0.33833504071416726</v>
      </c>
      <c r="J20" s="355">
        <v>9.3277305745890549E-2</v>
      </c>
      <c r="K20" s="355">
        <v>-0.90672269425410945</v>
      </c>
      <c r="L20" s="355">
        <v>0.12567846192074913</v>
      </c>
      <c r="M20" s="355">
        <v>-2.2046751541843348E-2</v>
      </c>
      <c r="N20" s="355">
        <v>0.78207000000000004</v>
      </c>
      <c r="O20" s="355"/>
      <c r="P20" s="355"/>
      <c r="Q20" s="355">
        <v>1.8633173236363638E-3</v>
      </c>
      <c r="R20" s="355">
        <v>1.0462674654545454E-2</v>
      </c>
      <c r="S20" s="355">
        <v>4.8176231079932181</v>
      </c>
      <c r="T20" s="355">
        <v>1.3387708482068538E-2</v>
      </c>
    </row>
    <row r="21" spans="2:20">
      <c r="B21" s="345">
        <v>1200</v>
      </c>
      <c r="C21" s="388">
        <v>1.3891223742618855</v>
      </c>
      <c r="D21" s="388">
        <v>1.8169701516200869</v>
      </c>
      <c r="E21" s="355">
        <v>0.41486284498481801</v>
      </c>
      <c r="F21" s="355">
        <v>0.85729303038297966</v>
      </c>
      <c r="G21" s="355">
        <v>11172.74360265728</v>
      </c>
      <c r="H21" s="355">
        <v>0.47320652437832872</v>
      </c>
      <c r="I21" s="355">
        <v>0.36909277168818255</v>
      </c>
      <c r="J21" s="355">
        <v>0.10175706081369879</v>
      </c>
      <c r="K21" s="355">
        <v>-0.89824293918630116</v>
      </c>
      <c r="L21" s="355">
        <v>0.13451515178445661</v>
      </c>
      <c r="M21" s="355">
        <v>-2.6149652761398048E-2</v>
      </c>
      <c r="N21" s="355">
        <v>0.76736000000000004</v>
      </c>
      <c r="O21" s="355"/>
      <c r="P21" s="355"/>
      <c r="Q21" s="355">
        <v>1.67591424E-3</v>
      </c>
      <c r="R21" s="355">
        <v>9.410391466666666E-3</v>
      </c>
      <c r="S21" s="355">
        <v>5.3563364888376528</v>
      </c>
      <c r="T21" s="355">
        <v>1.3848520832295437E-2</v>
      </c>
    </row>
    <row r="22" spans="2:20">
      <c r="B22" s="345">
        <v>1300</v>
      </c>
      <c r="C22" s="388">
        <v>1.3891223742618855</v>
      </c>
      <c r="D22" s="388">
        <v>1.9683843309217608</v>
      </c>
      <c r="E22" s="355">
        <v>0.41486284498481801</v>
      </c>
      <c r="F22" s="355">
        <v>0.85729303038297966</v>
      </c>
      <c r="G22" s="355">
        <v>11172.74360265728</v>
      </c>
      <c r="H22" s="355">
        <v>0.47320652437832872</v>
      </c>
      <c r="I22" s="355">
        <v>0.39985050266219774</v>
      </c>
      <c r="J22" s="355">
        <v>0.11023681588150699</v>
      </c>
      <c r="K22" s="355">
        <v>-0.88976318411849298</v>
      </c>
      <c r="L22" s="355">
        <v>0.14292040417210394</v>
      </c>
      <c r="M22" s="355">
        <v>-3.0586475729646314E-2</v>
      </c>
      <c r="N22" s="355">
        <v>0.75402000000000002</v>
      </c>
      <c r="O22" s="355"/>
      <c r="P22" s="355"/>
      <c r="Q22" s="355">
        <v>1.5201043200000002E-3</v>
      </c>
      <c r="R22" s="355">
        <v>8.5355063999999984E-3</v>
      </c>
      <c r="S22" s="355">
        <v>5.9053582558561653</v>
      </c>
      <c r="T22" s="355">
        <v>1.4345420124304049E-2</v>
      </c>
    </row>
    <row r="23" spans="2:20">
      <c r="B23" s="345">
        <v>1400</v>
      </c>
      <c r="C23" s="388">
        <v>1.3891223742618855</v>
      </c>
      <c r="D23" s="388">
        <v>2.1197985102234349</v>
      </c>
      <c r="E23" s="355">
        <v>0.41486284498481801</v>
      </c>
      <c r="F23" s="355">
        <v>0.85729303038297966</v>
      </c>
      <c r="G23" s="355">
        <v>11172.74360265728</v>
      </c>
      <c r="H23" s="355">
        <v>0.47320652437832872</v>
      </c>
      <c r="I23" s="355">
        <v>0.43060823363621292</v>
      </c>
      <c r="J23" s="355">
        <v>0.11871657094931523</v>
      </c>
      <c r="K23" s="355">
        <v>-0.8812834290506848</v>
      </c>
      <c r="L23" s="355">
        <v>0.15089421908369108</v>
      </c>
      <c r="M23" s="355">
        <v>-3.53535619624641E-2</v>
      </c>
      <c r="N23" s="355">
        <v>0.74214999999999998</v>
      </c>
      <c r="O23" s="355"/>
      <c r="P23" s="355"/>
      <c r="Q23" s="355">
        <v>1.3893048000000001E-3</v>
      </c>
      <c r="R23" s="355">
        <v>7.8010567142857137E-3</v>
      </c>
      <c r="S23" s="355">
        <v>6.4613327441714894</v>
      </c>
      <c r="T23" s="355">
        <v>1.4877602097269241E-2</v>
      </c>
    </row>
    <row r="24" spans="2:20">
      <c r="B24" s="345">
        <v>1500</v>
      </c>
      <c r="C24" s="388">
        <v>1.3891223742618855</v>
      </c>
      <c r="D24" s="388">
        <v>2.2712126895251088</v>
      </c>
      <c r="E24" s="355">
        <v>0.41486284498481801</v>
      </c>
      <c r="F24" s="355">
        <v>0.85729303038297966</v>
      </c>
      <c r="G24" s="355">
        <v>11172.74360265728</v>
      </c>
      <c r="H24" s="355">
        <v>0.47320652437832872</v>
      </c>
      <c r="I24" s="355">
        <v>0.46136596461022811</v>
      </c>
      <c r="J24" s="355">
        <v>0.12719632601712347</v>
      </c>
      <c r="K24" s="355">
        <v>-0.8728036739828765</v>
      </c>
      <c r="L24" s="355">
        <v>0.1584365965192181</v>
      </c>
      <c r="M24" s="355">
        <v>-4.0447252975727328E-2</v>
      </c>
      <c r="N24" s="355">
        <v>0.73182999999999998</v>
      </c>
      <c r="O24" s="355"/>
      <c r="P24" s="355"/>
      <c r="Q24" s="355">
        <v>1.2786533760000001E-3</v>
      </c>
      <c r="R24" s="355">
        <v>7.1797401866666669E-3</v>
      </c>
      <c r="S24" s="355">
        <v>7.0204801116284887</v>
      </c>
      <c r="T24" s="355">
        <v>1.5443355159567591E-2</v>
      </c>
    </row>
    <row r="25" spans="2:20">
      <c r="B25" s="345">
        <v>1600</v>
      </c>
      <c r="C25" s="388">
        <v>1.3891223742618855</v>
      </c>
      <c r="D25" s="388">
        <v>2.4226268688267827</v>
      </c>
      <c r="E25" s="355">
        <v>0.41486284498481801</v>
      </c>
      <c r="F25" s="355">
        <v>0.85729303038297966</v>
      </c>
      <c r="G25" s="355">
        <v>11172.74360265728</v>
      </c>
      <c r="H25" s="355">
        <v>0.47320652437832872</v>
      </c>
      <c r="I25" s="355">
        <v>0.49212369558424329</v>
      </c>
      <c r="J25" s="355">
        <v>0.1356760810849317</v>
      </c>
      <c r="K25" s="355">
        <v>-0.86432391891506832</v>
      </c>
      <c r="L25" s="355">
        <v>0.165547536478685</v>
      </c>
      <c r="M25" s="355">
        <v>-4.5863890285311959E-2</v>
      </c>
      <c r="N25" s="355">
        <v>0.72309999999999997</v>
      </c>
      <c r="O25" s="355"/>
      <c r="P25" s="355"/>
      <c r="Q25" s="355">
        <v>1.1844378E-3</v>
      </c>
      <c r="R25" s="355">
        <v>6.6507122499999995E-3</v>
      </c>
      <c r="S25" s="355">
        <v>7.5789210677628009</v>
      </c>
      <c r="T25" s="355">
        <v>1.604021218751633E-2</v>
      </c>
    </row>
    <row r="26" spans="2:20">
      <c r="B26" s="345">
        <v>1700</v>
      </c>
      <c r="C26" s="388">
        <v>1.3891223742618855</v>
      </c>
      <c r="D26" s="388">
        <v>2.5740410481284566</v>
      </c>
      <c r="E26" s="355">
        <v>0.41486284498481801</v>
      </c>
      <c r="F26" s="355">
        <v>0.85729303038297966</v>
      </c>
      <c r="G26" s="355">
        <v>11172.74360265728</v>
      </c>
      <c r="H26" s="355">
        <v>0.47320652437832872</v>
      </c>
      <c r="I26" s="355">
        <v>0.52288142655825853</v>
      </c>
      <c r="J26" s="355">
        <v>0.14415583615273994</v>
      </c>
      <c r="K26" s="355">
        <v>-0.85584416384726003</v>
      </c>
      <c r="L26" s="355">
        <v>0.17222703896209185</v>
      </c>
      <c r="M26" s="355">
        <v>-5.1599815407093914E-2</v>
      </c>
      <c r="N26" s="355">
        <v>0.71594999999999998</v>
      </c>
      <c r="O26" s="355"/>
      <c r="P26" s="355"/>
      <c r="Q26" s="355">
        <v>1.1037422117647058E-3</v>
      </c>
      <c r="R26" s="355">
        <v>6.1976001176470589E-3</v>
      </c>
      <c r="S26" s="355">
        <v>8.1330228201766701</v>
      </c>
      <c r="T26" s="355">
        <v>1.6665227312655784E-2</v>
      </c>
    </row>
    <row r="27" spans="2:20">
      <c r="B27" s="345">
        <v>1800</v>
      </c>
      <c r="C27" s="388">
        <v>1.3891223742618855</v>
      </c>
      <c r="D27" s="388">
        <v>2.7254552274301305</v>
      </c>
      <c r="E27" s="355">
        <v>0.41486284498481801</v>
      </c>
      <c r="F27" s="355">
        <v>0.85729303038297966</v>
      </c>
      <c r="G27" s="355">
        <v>11172.74360265728</v>
      </c>
      <c r="H27" s="355">
        <v>0.47320652437832872</v>
      </c>
      <c r="I27" s="355">
        <v>0.55363915753227377</v>
      </c>
      <c r="J27" s="355">
        <v>0.15263559122054818</v>
      </c>
      <c r="K27" s="355">
        <v>-0.84736440877945185</v>
      </c>
      <c r="L27" s="355">
        <v>0.17847510396943858</v>
      </c>
      <c r="M27" s="355">
        <v>-5.7651369856949138E-2</v>
      </c>
      <c r="N27" s="355">
        <v>0.71036999999999995</v>
      </c>
      <c r="O27" s="355"/>
      <c r="P27" s="355"/>
      <c r="Q27" s="355">
        <v>1.0342987200000001E-3</v>
      </c>
      <c r="R27" s="355">
        <v>5.8076693999999998E-3</v>
      </c>
      <c r="S27" s="355">
        <v>8.6790792856000287</v>
      </c>
      <c r="T27" s="355">
        <v>1.7314567984208856E-2</v>
      </c>
    </row>
    <row r="28" spans="2:20">
      <c r="B28" s="345">
        <v>1900</v>
      </c>
      <c r="C28" s="388">
        <v>1.3891223742618855</v>
      </c>
      <c r="D28" s="388">
        <v>2.8768694067318044</v>
      </c>
      <c r="E28" s="355">
        <v>0.41486284498481801</v>
      </c>
      <c r="F28" s="355">
        <v>0.85729303038297966</v>
      </c>
      <c r="G28" s="355">
        <v>11172.74360265728</v>
      </c>
      <c r="H28" s="355">
        <v>0.47320652437832872</v>
      </c>
      <c r="I28" s="355">
        <v>0.58439688850628901</v>
      </c>
      <c r="J28" s="355">
        <v>0.16111534628835639</v>
      </c>
      <c r="K28" s="355">
        <v>-0.83888465371164367</v>
      </c>
      <c r="L28" s="355">
        <v>0.18429173150072525</v>
      </c>
      <c r="M28" s="355">
        <v>-6.4014895150753551E-2</v>
      </c>
      <c r="N28" s="355">
        <v>0.70628000000000002</v>
      </c>
      <c r="O28" s="355"/>
      <c r="P28" s="355"/>
      <c r="Q28" s="355">
        <v>9.7422032842105276E-4</v>
      </c>
      <c r="R28" s="355">
        <v>5.4703244631578943E-3</v>
      </c>
      <c r="S28" s="355">
        <v>9.2143022825478518</v>
      </c>
      <c r="T28" s="355">
        <v>1.7984681009526955E-2</v>
      </c>
    </row>
    <row r="29" spans="2:20">
      <c r="B29" s="345">
        <v>2000</v>
      </c>
      <c r="C29" s="388">
        <v>1.3891223742618855</v>
      </c>
      <c r="D29" s="388">
        <v>3.0282835860334782</v>
      </c>
      <c r="E29" s="355">
        <v>0.41486284498481801</v>
      </c>
      <c r="F29" s="355">
        <v>0.85729303038297966</v>
      </c>
      <c r="G29" s="355">
        <v>11172.74360265728</v>
      </c>
      <c r="H29" s="355">
        <v>0.47320652437832872</v>
      </c>
      <c r="I29" s="355">
        <v>0.61515461948030414</v>
      </c>
      <c r="J29" s="355">
        <v>0.16959510135616462</v>
      </c>
      <c r="K29" s="355">
        <v>-0.83040489864383538</v>
      </c>
      <c r="L29" s="355">
        <v>0.18967692155595164</v>
      </c>
      <c r="M29" s="355">
        <v>-7.068673280438309E-2</v>
      </c>
      <c r="N29" s="355">
        <v>0.70360999999999996</v>
      </c>
      <c r="O29" s="355"/>
      <c r="P29" s="355"/>
      <c r="Q29" s="355">
        <v>9.2201054400000001E-4</v>
      </c>
      <c r="R29" s="355">
        <v>5.1771623799999993E-3</v>
      </c>
      <c r="S29" s="355">
        <v>9.7360715170678382</v>
      </c>
      <c r="T29" s="355">
        <v>1.8671504965979552E-2</v>
      </c>
    </row>
    <row r="30" spans="2:20">
      <c r="B30" s="345">
        <v>2100</v>
      </c>
      <c r="C30" s="388">
        <v>1.3891223742618855</v>
      </c>
      <c r="D30" s="388">
        <v>3.1796977653351521</v>
      </c>
      <c r="E30" s="355">
        <v>0.41486284498481801</v>
      </c>
      <c r="F30" s="355">
        <v>0.85729303038297966</v>
      </c>
      <c r="G30" s="355">
        <v>11172.74360265728</v>
      </c>
      <c r="H30" s="355">
        <v>0.47320652437832872</v>
      </c>
      <c r="I30" s="355">
        <v>0.64591235045431938</v>
      </c>
      <c r="J30" s="355">
        <v>0.17807485642397286</v>
      </c>
      <c r="K30" s="355">
        <v>-0.82192514357602708</v>
      </c>
      <c r="L30" s="355">
        <v>0.194630674135118</v>
      </c>
      <c r="M30" s="355">
        <v>-7.7663224333713726E-2</v>
      </c>
      <c r="N30" s="355">
        <v>0.70225000000000004</v>
      </c>
      <c r="O30" s="355"/>
      <c r="P30" s="355"/>
      <c r="Q30" s="355">
        <v>8.7640800000000007E-4</v>
      </c>
      <c r="R30" s="355">
        <v>4.9211004761904762E-3</v>
      </c>
      <c r="S30" s="355">
        <v>10.242673042549386</v>
      </c>
      <c r="T30" s="355">
        <v>1.9371520859336164E-2</v>
      </c>
    </row>
    <row r="31" spans="2:20">
      <c r="B31" s="345">
        <v>2200</v>
      </c>
      <c r="C31" s="388">
        <v>1.3891223742618855</v>
      </c>
      <c r="D31" s="388">
        <v>3.331111944636826</v>
      </c>
      <c r="E31" s="355">
        <v>0.41486284498481801</v>
      </c>
      <c r="F31" s="355">
        <v>0.85729303038297966</v>
      </c>
      <c r="G31" s="355">
        <v>11172.74360265728</v>
      </c>
      <c r="H31" s="355">
        <v>0.47320652437832872</v>
      </c>
      <c r="I31" s="355">
        <v>0.67667008142833451</v>
      </c>
      <c r="J31" s="355">
        <v>0.1865546114917811</v>
      </c>
      <c r="K31" s="355">
        <v>-0.8134453885082189</v>
      </c>
      <c r="L31" s="355">
        <v>0.19915298923822417</v>
      </c>
      <c r="M31" s="355">
        <v>-8.4940711254621354E-2</v>
      </c>
      <c r="N31" s="355">
        <v>0.70209999999999995</v>
      </c>
      <c r="O31" s="355"/>
      <c r="P31" s="355"/>
      <c r="Q31" s="355">
        <v>8.3639258181818189E-4</v>
      </c>
      <c r="R31" s="355">
        <v>4.6964107272727262E-3</v>
      </c>
      <c r="S31" s="355">
        <v>10.732711875995603</v>
      </c>
      <c r="T31" s="355">
        <v>2.008114842739887E-2</v>
      </c>
    </row>
    <row r="32" spans="2:20">
      <c r="B32" s="345">
        <v>2300</v>
      </c>
      <c r="C32" s="388">
        <v>1.3891223742618855</v>
      </c>
      <c r="D32" s="388">
        <v>3.4825261239384999</v>
      </c>
      <c r="E32" s="355">
        <v>0.41486284498481801</v>
      </c>
      <c r="F32" s="355">
        <v>0.85729303038297966</v>
      </c>
      <c r="G32" s="355">
        <v>11172.74360265728</v>
      </c>
      <c r="H32" s="355">
        <v>0.47320652437832872</v>
      </c>
      <c r="I32" s="355">
        <v>0.70742781240234975</v>
      </c>
      <c r="J32" s="355">
        <v>0.19503436655958933</v>
      </c>
      <c r="K32" s="355">
        <v>-0.80496563344041072</v>
      </c>
      <c r="L32" s="355">
        <v>0.20324386686527032</v>
      </c>
      <c r="M32" s="355">
        <v>-9.2515535082981937E-2</v>
      </c>
      <c r="N32" s="355">
        <v>0.70304999999999995</v>
      </c>
      <c r="O32" s="355"/>
      <c r="P32" s="355"/>
      <c r="Q32" s="355">
        <v>8.0111019130434775E-4</v>
      </c>
      <c r="R32" s="355">
        <v>4.4982973043478256E-3</v>
      </c>
      <c r="S32" s="355">
        <v>11.205400571997322</v>
      </c>
      <c r="T32" s="355">
        <v>2.0797282548455094E-2</v>
      </c>
    </row>
    <row r="33" spans="2:20">
      <c r="B33" s="345">
        <v>2400</v>
      </c>
      <c r="C33" s="388">
        <v>1.3891223742618855</v>
      </c>
      <c r="D33" s="388">
        <v>3.6339403032401738</v>
      </c>
      <c r="E33" s="355">
        <v>0.41486284498481801</v>
      </c>
      <c r="F33" s="355">
        <v>0.85729303038297966</v>
      </c>
      <c r="G33" s="355">
        <v>11172.74360265728</v>
      </c>
      <c r="H33" s="355">
        <v>0.47320652437832872</v>
      </c>
      <c r="I33" s="355">
        <v>0.73818554337636511</v>
      </c>
      <c r="J33" s="355">
        <v>0.20351412162739757</v>
      </c>
      <c r="K33" s="355">
        <v>-0.79648587837260243</v>
      </c>
      <c r="L33" s="355">
        <v>0.20690330701625645</v>
      </c>
      <c r="M33" s="355">
        <v>-0.10038403733467142</v>
      </c>
      <c r="N33" s="355">
        <v>0.70498000000000005</v>
      </c>
      <c r="O33" s="355"/>
      <c r="P33" s="355"/>
      <c r="Q33" s="355">
        <v>7.6983816000000013E-4</v>
      </c>
      <c r="R33" s="355">
        <v>4.3227023666666661E-3</v>
      </c>
      <c r="S33" s="355">
        <v>11.660581486210845</v>
      </c>
      <c r="T33" s="355">
        <v>2.1517526803269765E-2</v>
      </c>
    </row>
    <row r="34" spans="2:20">
      <c r="B34" s="345">
        <v>2500</v>
      </c>
      <c r="C34" s="388">
        <v>1.3891223742618855</v>
      </c>
      <c r="D34" s="388">
        <v>3.7853544825418477</v>
      </c>
      <c r="E34" s="355">
        <v>0.41486284498481801</v>
      </c>
      <c r="F34" s="355">
        <v>0.85729303038297966</v>
      </c>
      <c r="G34" s="355">
        <v>11172.74360265728</v>
      </c>
      <c r="H34" s="355">
        <v>0.47320652437832872</v>
      </c>
      <c r="I34" s="355">
        <v>0.76894327435038023</v>
      </c>
      <c r="J34" s="355">
        <v>0.21199387669520575</v>
      </c>
      <c r="K34" s="355">
        <v>-0.78800612330479425</v>
      </c>
      <c r="L34" s="355">
        <v>0.21013130969118243</v>
      </c>
      <c r="M34" s="355">
        <v>-0.10854255952556568</v>
      </c>
      <c r="N34" s="355">
        <v>0.70779000000000003</v>
      </c>
      <c r="O34" s="355"/>
      <c r="P34" s="355"/>
      <c r="Q34" s="355">
        <v>7.4199041280000012E-4</v>
      </c>
      <c r="R34" s="355">
        <v>4.1663350560000008E-3</v>
      </c>
      <c r="S34" s="355">
        <v>12.098216420343784</v>
      </c>
      <c r="T34" s="355">
        <v>2.2239547916810518E-2</v>
      </c>
    </row>
    <row r="35" spans="2:20">
      <c r="B35" s="345">
        <v>2600</v>
      </c>
      <c r="C35" s="388">
        <v>1.3891223742618855</v>
      </c>
      <c r="D35" s="388">
        <v>3.9367686618435216</v>
      </c>
      <c r="E35" s="355">
        <v>0.41486284498481801</v>
      </c>
      <c r="F35" s="355">
        <v>0.85729303038297966</v>
      </c>
      <c r="G35" s="355">
        <v>11172.74360265728</v>
      </c>
      <c r="H35" s="355">
        <v>0.47320652437832872</v>
      </c>
      <c r="I35" s="355">
        <v>0.79970100532439548</v>
      </c>
      <c r="J35" s="355">
        <v>0.22047363176301399</v>
      </c>
      <c r="K35" s="355">
        <v>-0.77952636823698596</v>
      </c>
      <c r="L35" s="355">
        <v>0.21292787489004822</v>
      </c>
      <c r="M35" s="355">
        <v>-0.11698744317154075</v>
      </c>
      <c r="N35" s="355">
        <v>0.71138000000000001</v>
      </c>
      <c r="O35" s="355"/>
      <c r="P35" s="355"/>
      <c r="Q35" s="355">
        <v>7.1707104000000006E-4</v>
      </c>
      <c r="R35" s="355">
        <v>4.0264108000000005E-3</v>
      </c>
      <c r="S35" s="355">
        <v>12.518648913606418</v>
      </c>
      <c r="T35" s="355">
        <v>2.2961581081816826E-2</v>
      </c>
    </row>
    <row r="36" spans="2:20">
      <c r="B36" s="345">
        <v>2700</v>
      </c>
      <c r="C36" s="388">
        <v>1.3891223742618855</v>
      </c>
      <c r="D36" s="388">
        <v>4.0881828411451959</v>
      </c>
      <c r="E36" s="355">
        <v>0.41486284498481801</v>
      </c>
      <c r="F36" s="355">
        <v>0.85729303038297966</v>
      </c>
      <c r="G36" s="355">
        <v>11172.74360265728</v>
      </c>
      <c r="H36" s="355">
        <v>0.47320652437832872</v>
      </c>
      <c r="I36" s="355">
        <v>0.8304587362984106</v>
      </c>
      <c r="J36" s="355">
        <v>0.22895338683082223</v>
      </c>
      <c r="K36" s="355">
        <v>-0.77104661316917777</v>
      </c>
      <c r="L36" s="355">
        <v>0.21529300261285378</v>
      </c>
      <c r="M36" s="355">
        <v>-0.12571502978847246</v>
      </c>
      <c r="N36" s="355">
        <v>0.71567000000000003</v>
      </c>
      <c r="O36" s="355"/>
      <c r="P36" s="355"/>
      <c r="Q36" s="355">
        <v>6.9467701333333334E-4</v>
      </c>
      <c r="R36" s="355">
        <v>3.9006665629629633E-3</v>
      </c>
      <c r="S36" s="355">
        <v>12.922207621064928</v>
      </c>
      <c r="T36" s="355">
        <v>2.3681844934746024E-2</v>
      </c>
    </row>
    <row r="37" spans="2:20">
      <c r="B37" s="345">
        <v>2800</v>
      </c>
      <c r="C37" s="388">
        <v>1.3891223742618855</v>
      </c>
      <c r="D37" s="388">
        <v>4.2395970204468698</v>
      </c>
      <c r="E37" s="355">
        <v>0.41486284498481801</v>
      </c>
      <c r="F37" s="355">
        <v>0.85729303038297966</v>
      </c>
      <c r="G37" s="355">
        <v>11172.74360265728</v>
      </c>
      <c r="H37" s="355">
        <v>0.47320652437832872</v>
      </c>
      <c r="I37" s="355">
        <v>0.86121646727242585</v>
      </c>
      <c r="J37" s="355">
        <v>0.23743314189863046</v>
      </c>
      <c r="K37" s="355">
        <v>-0.76256685810136959</v>
      </c>
      <c r="L37" s="355">
        <v>0.21722669285959936</v>
      </c>
      <c r="M37" s="355">
        <v>-0.13472166089223683</v>
      </c>
      <c r="N37" s="355">
        <v>0.72057000000000004</v>
      </c>
      <c r="O37" s="355"/>
      <c r="P37" s="355"/>
      <c r="Q37" s="355">
        <v>6.7445352000000019E-4</v>
      </c>
      <c r="R37" s="355">
        <v>3.787110042857143E-3</v>
      </c>
      <c r="S37" s="355">
        <v>13.30968010349271</v>
      </c>
      <c r="T37" s="355">
        <v>2.4399438210604498E-2</v>
      </c>
    </row>
    <row r="38" spans="2:20">
      <c r="B38" s="345">
        <v>2900</v>
      </c>
      <c r="C38" s="388">
        <v>1.3891223742618855</v>
      </c>
      <c r="D38" s="388">
        <v>4.3910111997485437</v>
      </c>
      <c r="E38" s="355">
        <v>0.41486284498481801</v>
      </c>
      <c r="F38" s="355">
        <v>0.85729303038297966</v>
      </c>
      <c r="G38" s="355">
        <v>11172.74360265728</v>
      </c>
      <c r="H38" s="355">
        <v>0.47320652437832872</v>
      </c>
      <c r="I38" s="355">
        <v>0.89197419824644109</v>
      </c>
      <c r="J38" s="355">
        <v>0.2459128969664387</v>
      </c>
      <c r="K38" s="355">
        <v>-0.7540871030335613</v>
      </c>
      <c r="L38" s="355">
        <v>0.2187289456302848</v>
      </c>
      <c r="M38" s="355">
        <v>-0.14400367799870981</v>
      </c>
      <c r="N38" s="355">
        <v>0.72601000000000004</v>
      </c>
      <c r="O38" s="355"/>
      <c r="P38" s="355"/>
      <c r="Q38" s="355">
        <v>6.5611276137931044E-4</v>
      </c>
      <c r="R38" s="355">
        <v>3.6841252275862067E-3</v>
      </c>
      <c r="S38" s="355">
        <v>13.681734488753525</v>
      </c>
      <c r="T38" s="355">
        <v>2.5113372144169917E-2</v>
      </c>
    </row>
    <row r="39" spans="2:20">
      <c r="B39" s="345">
        <v>3000</v>
      </c>
      <c r="C39" s="388">
        <v>1.3891223742618855</v>
      </c>
      <c r="D39" s="388">
        <v>4.5424253790502176</v>
      </c>
      <c r="E39" s="355">
        <v>0.41486284498481801</v>
      </c>
      <c r="F39" s="355">
        <v>0.85729303038297966</v>
      </c>
      <c r="G39" s="355">
        <v>11172.74360265728</v>
      </c>
      <c r="H39" s="355">
        <v>0.47320652437832872</v>
      </c>
      <c r="I39" s="355">
        <v>0.92273192922045622</v>
      </c>
      <c r="J39" s="355">
        <v>0.25439265203424694</v>
      </c>
      <c r="K39" s="355">
        <v>-0.74560734796575301</v>
      </c>
      <c r="L39" s="355">
        <v>0.21979976092490999</v>
      </c>
      <c r="M39" s="355">
        <v>-0.1535574226237672</v>
      </c>
      <c r="N39" s="355">
        <v>0.73194000000000004</v>
      </c>
      <c r="O39" s="355"/>
      <c r="P39" s="355"/>
      <c r="Q39" s="355">
        <v>6.3942278400000007E-4</v>
      </c>
      <c r="R39" s="355">
        <v>3.59040968E-3</v>
      </c>
      <c r="S39" s="355">
        <v>14.03885006993217</v>
      </c>
      <c r="T39" s="355">
        <v>2.5822397267756605E-2</v>
      </c>
    </row>
    <row r="40" spans="2:20">
      <c r="B40" s="345">
        <v>3100</v>
      </c>
      <c r="C40" s="388">
        <v>1.3891223742618855</v>
      </c>
      <c r="D40" s="388">
        <v>4.6938395583518915</v>
      </c>
      <c r="E40" s="355">
        <v>0.41486284498481801</v>
      </c>
      <c r="F40" s="355">
        <v>0.85729303038297966</v>
      </c>
      <c r="G40" s="355">
        <v>11172.74360265728</v>
      </c>
      <c r="H40" s="355">
        <v>0.47320652437832872</v>
      </c>
      <c r="I40" s="355">
        <v>0.95348966019447146</v>
      </c>
      <c r="J40" s="355">
        <v>0.26287240710205517</v>
      </c>
      <c r="K40" s="355">
        <v>-0.73712759289794483</v>
      </c>
      <c r="L40" s="355">
        <v>0.22043913874347526</v>
      </c>
      <c r="M40" s="355">
        <v>-0.1633792362832851</v>
      </c>
      <c r="N40" s="355">
        <v>0.73829</v>
      </c>
      <c r="O40" s="355"/>
      <c r="P40" s="355"/>
      <c r="Q40" s="355">
        <v>6.2416465548387103E-4</v>
      </c>
      <c r="R40" s="355">
        <v>3.5047340774193546E-3</v>
      </c>
      <c r="S40" s="355">
        <v>14.38203928563621</v>
      </c>
      <c r="T40" s="355">
        <v>2.6526452494118238E-2</v>
      </c>
    </row>
    <row r="41" spans="2:20">
      <c r="B41" s="345">
        <v>3200</v>
      </c>
      <c r="C41" s="388">
        <v>1.3891223742618855</v>
      </c>
      <c r="D41" s="388">
        <v>4.8452537376535654</v>
      </c>
      <c r="E41" s="355">
        <v>0.41486284498481801</v>
      </c>
      <c r="F41" s="355">
        <v>0.85729303038297966</v>
      </c>
      <c r="G41" s="355">
        <v>11172.74360265728</v>
      </c>
      <c r="H41" s="355">
        <v>0.47320652437832872</v>
      </c>
      <c r="I41" s="355">
        <v>0.98424739116848659</v>
      </c>
      <c r="J41" s="355">
        <v>0.27135216216986341</v>
      </c>
      <c r="K41" s="355">
        <v>-0.72864783783013665</v>
      </c>
      <c r="L41" s="355">
        <v>0.22064707908598019</v>
      </c>
      <c r="M41" s="355">
        <v>-0.17346546049313935</v>
      </c>
      <c r="N41" s="355">
        <v>0.74500999999999995</v>
      </c>
      <c r="O41" s="355"/>
      <c r="P41" s="355"/>
      <c r="Q41" s="355">
        <v>6.1016319000000005E-4</v>
      </c>
      <c r="R41" s="355">
        <v>3.4261147374999995E-3</v>
      </c>
      <c r="S41" s="355">
        <v>14.712065137647231</v>
      </c>
      <c r="T41" s="355">
        <v>2.7225163170898601E-2</v>
      </c>
    </row>
    <row r="42" spans="2:20">
      <c r="B42" s="345">
        <v>3300</v>
      </c>
      <c r="C42" s="388">
        <v>1.3891223742618855</v>
      </c>
      <c r="D42" s="388">
        <v>4.9966679169552393</v>
      </c>
      <c r="E42" s="355">
        <v>0.41486284498481801</v>
      </c>
      <c r="F42" s="355">
        <v>0.85729303038297966</v>
      </c>
      <c r="G42" s="355">
        <v>11172.74360265728</v>
      </c>
      <c r="H42" s="355">
        <v>0.47320652437832872</v>
      </c>
      <c r="I42" s="355">
        <v>1.0150051221425018</v>
      </c>
      <c r="J42" s="355">
        <v>0.27983191723767165</v>
      </c>
      <c r="K42" s="355">
        <v>-0.72016808276232835</v>
      </c>
      <c r="L42" s="355">
        <v>0.22042358195242517</v>
      </c>
      <c r="M42" s="355">
        <v>-0.18381243676920594</v>
      </c>
      <c r="N42" s="355">
        <v>0.75205999999999995</v>
      </c>
      <c r="O42" s="355"/>
      <c r="P42" s="355"/>
      <c r="Q42" s="355">
        <v>5.9727237818181815E-4</v>
      </c>
      <c r="R42" s="355">
        <v>3.3537318060606058E-3</v>
      </c>
      <c r="S42" s="355">
        <v>15.029592734894512</v>
      </c>
      <c r="T42" s="355">
        <v>2.7918098715653764E-2</v>
      </c>
    </row>
    <row r="43" spans="2:20">
      <c r="B43" s="345">
        <v>3400</v>
      </c>
      <c r="C43" s="388">
        <v>1.3891223742618855</v>
      </c>
      <c r="D43" s="388">
        <v>5.1480820962569132</v>
      </c>
      <c r="E43" s="355">
        <v>0.41486284498481801</v>
      </c>
      <c r="F43" s="355">
        <v>0.85729303038297966</v>
      </c>
      <c r="G43" s="355">
        <v>11172.74360265728</v>
      </c>
      <c r="H43" s="355">
        <v>0.47320652437832872</v>
      </c>
      <c r="I43" s="355">
        <v>1.0457628531165171</v>
      </c>
      <c r="J43" s="355">
        <v>0.28831167230547988</v>
      </c>
      <c r="K43" s="355">
        <v>-0.71168832769452006</v>
      </c>
      <c r="L43" s="355">
        <v>0.21976864734281004</v>
      </c>
      <c r="M43" s="355">
        <v>-0.19441650662736076</v>
      </c>
      <c r="N43" s="355">
        <v>0.75941000000000003</v>
      </c>
      <c r="O43" s="355"/>
      <c r="P43" s="355"/>
      <c r="Q43" s="355">
        <v>5.8537109647058825E-4</v>
      </c>
      <c r="R43" s="355">
        <v>3.2869051647058823E-3</v>
      </c>
      <c r="S43" s="355">
        <v>15.335162002358375</v>
      </c>
      <c r="T43" s="355">
        <v>2.860468215176451E-2</v>
      </c>
    </row>
    <row r="44" spans="2:20">
      <c r="B44" s="345">
        <v>3500</v>
      </c>
      <c r="C44" s="388">
        <v>1.3891223742618855</v>
      </c>
      <c r="D44" s="388">
        <v>5.299496275558587</v>
      </c>
      <c r="E44" s="355">
        <v>0.41486284498481801</v>
      </c>
      <c r="F44" s="355">
        <v>0.85729303038297966</v>
      </c>
      <c r="G44" s="355">
        <v>11172.74360265728</v>
      </c>
      <c r="H44" s="355">
        <v>0.47320652437832872</v>
      </c>
      <c r="I44" s="355">
        <v>1.0765205840905323</v>
      </c>
      <c r="J44" s="355">
        <v>0.29679142737328812</v>
      </c>
      <c r="K44" s="355">
        <v>-0.70320857262671188</v>
      </c>
      <c r="L44" s="355">
        <v>0.21868227525713479</v>
      </c>
      <c r="M44" s="355">
        <v>-0.2052740115834798</v>
      </c>
      <c r="N44" s="355">
        <v>0.76702000000000004</v>
      </c>
      <c r="O44" s="355"/>
      <c r="P44" s="355"/>
      <c r="Q44" s="355">
        <v>5.7434457600000004E-4</v>
      </c>
      <c r="R44" s="355">
        <v>3.2249903771428574E-3</v>
      </c>
      <c r="S44" s="355">
        <v>15.629573205675444</v>
      </c>
      <c r="T44" s="355">
        <v>2.928505645133269E-2</v>
      </c>
    </row>
    <row r="45" spans="2:20">
      <c r="B45" s="345">
        <v>3600</v>
      </c>
      <c r="C45" s="388">
        <v>1.3891223742618855</v>
      </c>
      <c r="D45" s="388">
        <v>5.4509104548602609</v>
      </c>
      <c r="E45" s="355">
        <v>0.41486284498481801</v>
      </c>
      <c r="F45" s="355">
        <v>0.85729303038297966</v>
      </c>
      <c r="G45" s="355">
        <v>11172.74360265728</v>
      </c>
      <c r="H45" s="355">
        <v>0.47320652437832872</v>
      </c>
      <c r="I45" s="355">
        <v>1.1072783150645475</v>
      </c>
      <c r="J45" s="355">
        <v>0.30527118244109636</v>
      </c>
      <c r="K45" s="355">
        <v>-0.6947288175589037</v>
      </c>
      <c r="L45" s="355">
        <v>0.21716446569539943</v>
      </c>
      <c r="M45" s="355">
        <v>-0.21638129315343896</v>
      </c>
      <c r="N45" s="355">
        <v>0.77485999999999999</v>
      </c>
      <c r="O45" s="355"/>
      <c r="P45" s="355"/>
      <c r="Q45" s="355">
        <v>5.6409807999999997E-4</v>
      </c>
      <c r="R45" s="355">
        <v>3.1674554888888886E-3</v>
      </c>
      <c r="S45" s="355">
        <v>15.913474826708548</v>
      </c>
      <c r="T45" s="355">
        <v>2.9959178145555036E-2</v>
      </c>
    </row>
    <row r="46" spans="2:20">
      <c r="B46" s="345">
        <v>3700</v>
      </c>
      <c r="C46" s="388">
        <v>1.3891223742618855</v>
      </c>
      <c r="D46" s="388">
        <v>5.6023246341619348</v>
      </c>
      <c r="E46" s="355">
        <v>0.41486284498481801</v>
      </c>
      <c r="F46" s="355">
        <v>0.85729303038297966</v>
      </c>
      <c r="G46" s="355">
        <v>11172.74360265728</v>
      </c>
      <c r="H46" s="355">
        <v>0.47320652437832872</v>
      </c>
      <c r="I46" s="355">
        <v>1.1380360460385628</v>
      </c>
      <c r="J46" s="355">
        <v>0.31375093750890459</v>
      </c>
      <c r="K46" s="355">
        <v>-0.68624906249109541</v>
      </c>
      <c r="L46" s="355">
        <v>0.21521521865760396</v>
      </c>
      <c r="M46" s="355">
        <v>-0.22773469285311418</v>
      </c>
      <c r="N46" s="355">
        <v>0.78290000000000004</v>
      </c>
      <c r="O46" s="355"/>
      <c r="P46" s="355"/>
      <c r="Q46" s="355">
        <v>5.5454711351351355E-4</v>
      </c>
      <c r="R46" s="355">
        <v>3.1138260540540543E-3</v>
      </c>
      <c r="S46" s="355">
        <v>16.187552648140997</v>
      </c>
      <c r="T46" s="355">
        <v>3.0627237484547744E-2</v>
      </c>
    </row>
    <row r="47" spans="2:20">
      <c r="B47" s="345">
        <v>3800</v>
      </c>
      <c r="C47" s="388">
        <v>1.3891223742618855</v>
      </c>
      <c r="D47" s="388">
        <v>5.7537388134636087</v>
      </c>
      <c r="E47" s="355">
        <v>0.41486284498481801</v>
      </c>
      <c r="F47" s="355">
        <v>0.85729303038297966</v>
      </c>
      <c r="G47" s="355">
        <v>11172.74360265728</v>
      </c>
      <c r="H47" s="355">
        <v>0.47320652437832872</v>
      </c>
      <c r="I47" s="355">
        <v>1.168793777012578</v>
      </c>
      <c r="J47" s="355">
        <v>0.32223069257671277</v>
      </c>
      <c r="K47" s="355">
        <v>-0.67776930742328723</v>
      </c>
      <c r="L47" s="355">
        <v>0.21283453414374853</v>
      </c>
      <c r="M47" s="355">
        <v>-0.23933055219838137</v>
      </c>
      <c r="N47" s="355">
        <v>0.79113</v>
      </c>
      <c r="O47" s="355"/>
      <c r="P47" s="355"/>
      <c r="Q47" s="355">
        <v>5.456298694736843E-4</v>
      </c>
      <c r="R47" s="355">
        <v>3.0637550210526315E-3</v>
      </c>
      <c r="S47" s="355">
        <v>16.452106268547258</v>
      </c>
      <c r="T47" s="355">
        <v>3.1288599301640685E-2</v>
      </c>
    </row>
    <row r="48" spans="2:20">
      <c r="B48" s="345">
        <v>3900</v>
      </c>
      <c r="C48" s="388">
        <v>1.3891223742618855</v>
      </c>
      <c r="D48" s="388">
        <v>5.9051529927652826</v>
      </c>
      <c r="E48" s="355">
        <v>0.41486284498481801</v>
      </c>
      <c r="F48" s="355">
        <v>0.85729303038297966</v>
      </c>
      <c r="G48" s="355">
        <v>11172.74360265728</v>
      </c>
      <c r="H48" s="355">
        <v>0.47320652437832872</v>
      </c>
      <c r="I48" s="355">
        <v>1.199551507986593</v>
      </c>
      <c r="J48" s="355">
        <v>0.33071044764452101</v>
      </c>
      <c r="K48" s="355">
        <v>-0.66928955235547893</v>
      </c>
      <c r="L48" s="355">
        <v>0.2100224121538326</v>
      </c>
      <c r="M48" s="355">
        <v>-0.25116521270511649</v>
      </c>
      <c r="N48" s="355">
        <v>0.79952000000000001</v>
      </c>
      <c r="O48" s="355"/>
      <c r="P48" s="355"/>
      <c r="Q48" s="355">
        <v>5.3727743999999994E-4</v>
      </c>
      <c r="R48" s="355">
        <v>3.0168554666666668E-3</v>
      </c>
      <c r="S48" s="355">
        <v>16.707868091157192</v>
      </c>
      <c r="T48" s="355">
        <v>3.1943807940231363E-2</v>
      </c>
    </row>
    <row r="49" spans="2:20">
      <c r="B49" s="345">
        <v>4000</v>
      </c>
      <c r="C49" s="388">
        <v>1.3891223742618855</v>
      </c>
      <c r="D49" s="388">
        <v>6.0565671720669565</v>
      </c>
      <c r="E49" s="355">
        <v>0.41486284498481801</v>
      </c>
      <c r="F49" s="355">
        <v>0.85729303038297966</v>
      </c>
      <c r="G49" s="355">
        <v>11172.74360265728</v>
      </c>
      <c r="H49" s="355">
        <v>0.47320652437832872</v>
      </c>
      <c r="I49" s="355">
        <v>1.2303092389606083</v>
      </c>
      <c r="J49" s="355">
        <v>0.33919020271232925</v>
      </c>
      <c r="K49" s="355">
        <v>-0.66080979728767075</v>
      </c>
      <c r="L49" s="355">
        <v>0.20677885268785678</v>
      </c>
      <c r="M49" s="355">
        <v>-0.26323501588919551</v>
      </c>
      <c r="N49" s="355">
        <v>0.80806</v>
      </c>
      <c r="O49" s="355"/>
      <c r="P49" s="355"/>
      <c r="Q49" s="355">
        <v>5.2944091199999999E-4</v>
      </c>
      <c r="R49" s="355">
        <v>2.9728527399999999E-3</v>
      </c>
      <c r="S49" s="355">
        <v>16.955169863931147</v>
      </c>
      <c r="T49" s="355">
        <v>3.2592509709220764E-2</v>
      </c>
    </row>
    <row r="50" spans="2:20">
      <c r="B50" s="345">
        <v>4100</v>
      </c>
      <c r="C50" s="388">
        <v>1.3891223742618855</v>
      </c>
      <c r="D50" s="388">
        <v>6.2079813513686304</v>
      </c>
      <c r="E50" s="355">
        <v>0.41486284498481801</v>
      </c>
      <c r="F50" s="355">
        <v>0.85729303038297966</v>
      </c>
      <c r="G50" s="355">
        <v>11172.74360265728</v>
      </c>
      <c r="H50" s="355">
        <v>0.47320652437832872</v>
      </c>
      <c r="I50" s="355">
        <v>1.2610669699346235</v>
      </c>
      <c r="J50" s="355">
        <v>0.34766995778013748</v>
      </c>
      <c r="K50" s="355">
        <v>-0.65233004221986257</v>
      </c>
      <c r="L50" s="355">
        <v>0.20310385574582079</v>
      </c>
      <c r="M50" s="355">
        <v>-0.27553630326649431</v>
      </c>
      <c r="N50" s="355">
        <v>0.81672</v>
      </c>
      <c r="O50" s="355"/>
      <c r="P50" s="355"/>
      <c r="Q50" s="355">
        <v>5.2206335999999999E-4</v>
      </c>
      <c r="R50" s="355">
        <v>2.9314272E-3</v>
      </c>
      <c r="S50" s="355">
        <v>17.19477228946813</v>
      </c>
      <c r="T50" s="355">
        <v>3.3235582863443101E-2</v>
      </c>
    </row>
    <row r="51" spans="2:20">
      <c r="B51" s="345">
        <v>4200</v>
      </c>
      <c r="C51" s="388">
        <v>1.3891223742618855</v>
      </c>
      <c r="D51" s="388">
        <v>6.3593955306703043</v>
      </c>
      <c r="E51" s="355">
        <v>0.41486284498481801</v>
      </c>
      <c r="F51" s="355">
        <v>0.85729303038297966</v>
      </c>
      <c r="G51" s="355">
        <v>11172.74360265728</v>
      </c>
      <c r="H51" s="355">
        <v>0.47320652437832872</v>
      </c>
      <c r="I51" s="355">
        <v>1.2918247009086388</v>
      </c>
      <c r="J51" s="355">
        <v>0.35614971284794572</v>
      </c>
      <c r="K51" s="355">
        <v>-0.64385028715205428</v>
      </c>
      <c r="L51" s="355">
        <v>0.19899742132772472</v>
      </c>
      <c r="M51" s="355">
        <v>-0.2880654163528889</v>
      </c>
      <c r="N51" s="355">
        <v>0.82550999999999997</v>
      </c>
      <c r="O51" s="355"/>
      <c r="P51" s="355"/>
      <c r="Q51" s="355">
        <v>5.1511823999999997E-4</v>
      </c>
      <c r="R51" s="355">
        <v>2.8924297999999996E-3</v>
      </c>
      <c r="S51" s="355">
        <v>17.42660208629891</v>
      </c>
      <c r="T51" s="355">
        <v>3.3871763759694806E-2</v>
      </c>
    </row>
    <row r="52" spans="2:20">
      <c r="B52" s="345">
        <v>4300</v>
      </c>
      <c r="C52" s="388">
        <v>1.3891223742618855</v>
      </c>
      <c r="D52" s="388">
        <v>6.5108097099719782</v>
      </c>
      <c r="E52" s="355">
        <v>0.41486284498481801</v>
      </c>
      <c r="F52" s="355">
        <v>0.85729303038297966</v>
      </c>
      <c r="G52" s="355">
        <v>11172.74360265728</v>
      </c>
      <c r="H52" s="355">
        <v>0.47320652437832872</v>
      </c>
      <c r="I52" s="355">
        <v>1.322582431882654</v>
      </c>
      <c r="J52" s="355">
        <v>0.36462946791575396</v>
      </c>
      <c r="K52" s="355">
        <v>-0.63537053208424599</v>
      </c>
      <c r="L52" s="355">
        <v>0.19445954943356858</v>
      </c>
      <c r="M52" s="355">
        <v>-0.3008186966642552</v>
      </c>
      <c r="N52" s="355">
        <v>0.83438999999999997</v>
      </c>
      <c r="O52" s="355"/>
      <c r="P52" s="355"/>
      <c r="Q52" s="355">
        <v>5.0855100279069768E-4</v>
      </c>
      <c r="R52" s="355">
        <v>2.855554241860465E-3</v>
      </c>
      <c r="S52" s="355">
        <v>17.651642699776868</v>
      </c>
      <c r="T52" s="355">
        <v>3.4502755375682932E-2</v>
      </c>
    </row>
    <row r="53" spans="2:20">
      <c r="B53" s="345">
        <v>4400</v>
      </c>
      <c r="C53" s="388">
        <v>1.3891223742618855</v>
      </c>
      <c r="D53" s="388">
        <v>6.6622238892736521</v>
      </c>
      <c r="E53" s="355">
        <v>0.41486284498481801</v>
      </c>
      <c r="F53" s="355">
        <v>0.85729303038297966</v>
      </c>
      <c r="G53" s="355">
        <v>11172.74360265728</v>
      </c>
      <c r="H53" s="355">
        <v>0.47320652437832872</v>
      </c>
      <c r="I53" s="355">
        <v>1.353340162856669</v>
      </c>
      <c r="J53" s="355">
        <v>0.37310922298356219</v>
      </c>
      <c r="K53" s="355">
        <v>-0.62689077701643781</v>
      </c>
      <c r="L53" s="355">
        <v>0.18949024006335205</v>
      </c>
      <c r="M53" s="355">
        <v>-0.31379248571646901</v>
      </c>
      <c r="N53" s="355">
        <v>0.84336999999999995</v>
      </c>
      <c r="O53" s="355"/>
      <c r="P53" s="355"/>
      <c r="Q53" s="355">
        <v>5.0234184000000001E-4</v>
      </c>
      <c r="R53" s="355">
        <v>2.8206892999999996E-3</v>
      </c>
      <c r="S53" s="355">
        <v>17.869824651425859</v>
      </c>
      <c r="T53" s="355">
        <v>3.5127438994877795E-2</v>
      </c>
    </row>
    <row r="54" spans="2:20">
      <c r="B54" s="345">
        <v>4500</v>
      </c>
      <c r="C54" s="388">
        <v>1.3891223742618855</v>
      </c>
      <c r="D54" s="388">
        <v>6.8136380685753259</v>
      </c>
      <c r="E54" s="355">
        <v>0.41486284498481801</v>
      </c>
      <c r="F54" s="355">
        <v>0.85729303038297966</v>
      </c>
      <c r="G54" s="355">
        <v>11172.74360265728</v>
      </c>
      <c r="H54" s="355">
        <v>0.47320652437832872</v>
      </c>
      <c r="I54" s="355">
        <v>1.3840978938306843</v>
      </c>
      <c r="J54" s="355">
        <v>0.38158897805137043</v>
      </c>
      <c r="K54" s="355">
        <v>-0.61841102194862962</v>
      </c>
      <c r="L54" s="355">
        <v>0.18408949321707557</v>
      </c>
      <c r="M54" s="355">
        <v>-0.32698312502540644</v>
      </c>
      <c r="N54" s="355">
        <v>0.85243999999999998</v>
      </c>
      <c r="O54" s="355"/>
      <c r="P54" s="355"/>
      <c r="Q54" s="355">
        <v>4.9646105600000001E-4</v>
      </c>
      <c r="R54" s="355">
        <v>2.7876682311111104E-3</v>
      </c>
      <c r="S54" s="355">
        <v>18.081500023789626</v>
      </c>
      <c r="T54" s="355">
        <v>3.5745915070545274E-2</v>
      </c>
    </row>
    <row r="55" spans="2:20">
      <c r="B55" s="345">
        <v>4600</v>
      </c>
      <c r="C55" s="388">
        <v>1.3891223742618855</v>
      </c>
      <c r="D55" s="388">
        <v>6.9650522478769998</v>
      </c>
      <c r="E55" s="355">
        <v>0.41486284498481801</v>
      </c>
      <c r="F55" s="355">
        <v>0.85729303038297966</v>
      </c>
      <c r="G55" s="355">
        <v>11172.74360265728</v>
      </c>
      <c r="H55" s="355">
        <v>0.47320652437832872</v>
      </c>
      <c r="I55" s="355">
        <v>1.4148556248046995</v>
      </c>
      <c r="J55" s="355">
        <v>0.39006873311917867</v>
      </c>
      <c r="K55" s="355">
        <v>-0.60993126688082133</v>
      </c>
      <c r="L55" s="355">
        <v>0.17825730889473909</v>
      </c>
      <c r="M55" s="355">
        <v>-0.34038695610694342</v>
      </c>
      <c r="N55" s="355">
        <v>0.86158000000000001</v>
      </c>
      <c r="O55" s="355"/>
      <c r="P55" s="355"/>
      <c r="Q55" s="355">
        <v>4.9087584E-4</v>
      </c>
      <c r="R55" s="355">
        <v>2.7563067999999999E-3</v>
      </c>
      <c r="S55" s="355">
        <v>18.287232461623336</v>
      </c>
      <c r="T55" s="355">
        <v>3.6358995757780843E-2</v>
      </c>
    </row>
    <row r="56" spans="2:20">
      <c r="B56" s="345">
        <v>4700</v>
      </c>
      <c r="C56" s="388">
        <v>1.3891223742618855</v>
      </c>
      <c r="D56" s="388">
        <v>7.1164664271786737</v>
      </c>
      <c r="E56" s="355">
        <v>0.41486284498481801</v>
      </c>
      <c r="F56" s="355">
        <v>0.85729303038297966</v>
      </c>
      <c r="G56" s="355">
        <v>11172.74360265728</v>
      </c>
      <c r="H56" s="355">
        <v>0.47320652437832872</v>
      </c>
      <c r="I56" s="355">
        <v>1.4456133557787147</v>
      </c>
      <c r="J56" s="355">
        <v>0.3985484881869869</v>
      </c>
      <c r="K56" s="355">
        <v>-0.60145151181301304</v>
      </c>
      <c r="L56" s="355">
        <v>0.17199368709634244</v>
      </c>
      <c r="M56" s="355">
        <v>-0.35400032047695579</v>
      </c>
      <c r="N56" s="355">
        <v>0.87078999999999995</v>
      </c>
      <c r="O56" s="355"/>
      <c r="P56" s="355"/>
      <c r="Q56" s="355">
        <v>4.8556732595744681E-4</v>
      </c>
      <c r="R56" s="355">
        <v>2.7264990723404252E-3</v>
      </c>
      <c r="S56" s="355">
        <v>18.487159485400202</v>
      </c>
      <c r="T56" s="355">
        <v>3.6966310197822823E-2</v>
      </c>
    </row>
    <row r="57" spans="2:20">
      <c r="B57" s="345">
        <v>4800</v>
      </c>
      <c r="C57" s="388">
        <v>1.3891223742618855</v>
      </c>
      <c r="D57" s="388">
        <v>7.2678806064803476</v>
      </c>
      <c r="E57" s="355">
        <v>0.41486284498481801</v>
      </c>
      <c r="F57" s="355">
        <v>0.85729303038297966</v>
      </c>
      <c r="G57" s="355">
        <v>11172.74360265728</v>
      </c>
      <c r="H57" s="355">
        <v>0.47320652437832872</v>
      </c>
      <c r="I57" s="355">
        <v>1.4763710867527302</v>
      </c>
      <c r="J57" s="355">
        <v>0.40702824325479514</v>
      </c>
      <c r="K57" s="355">
        <v>-0.59297175674520486</v>
      </c>
      <c r="L57" s="355">
        <v>0.16529862782188584</v>
      </c>
      <c r="M57" s="355">
        <v>-0.36781955965131957</v>
      </c>
      <c r="N57" s="355">
        <v>0.88005999999999995</v>
      </c>
      <c r="O57" s="355"/>
      <c r="P57" s="355"/>
      <c r="Q57" s="355">
        <v>4.8051276000000005E-4</v>
      </c>
      <c r="R57" s="355">
        <v>2.6981172833333328E-3</v>
      </c>
      <c r="S57" s="355">
        <v>18.681627925707161</v>
      </c>
      <c r="T57" s="355">
        <v>3.7568166746709056E-2</v>
      </c>
    </row>
    <row r="58" spans="2:20">
      <c r="B58" s="345">
        <v>4900</v>
      </c>
      <c r="C58" s="388">
        <v>1.3891223742618855</v>
      </c>
      <c r="D58" s="388">
        <v>7.4192947857820215</v>
      </c>
      <c r="E58" s="355">
        <v>0.41486284498481801</v>
      </c>
      <c r="F58" s="355">
        <v>0.85729303038297966</v>
      </c>
      <c r="G58" s="355">
        <v>11172.74360265728</v>
      </c>
      <c r="H58" s="355">
        <v>0.47320652437832872</v>
      </c>
      <c r="I58" s="355">
        <v>1.5071288177267452</v>
      </c>
      <c r="J58" s="355">
        <v>0.41550799832260327</v>
      </c>
      <c r="K58" s="355">
        <v>-0.58449200167739668</v>
      </c>
      <c r="L58" s="355">
        <v>0.15817213107136927</v>
      </c>
      <c r="M58" s="355">
        <v>-0.38184101514591057</v>
      </c>
      <c r="N58" s="355">
        <v>0.88937999999999995</v>
      </c>
      <c r="O58" s="355"/>
      <c r="P58" s="355"/>
      <c r="Q58" s="355">
        <v>4.7569124571428571E-4</v>
      </c>
      <c r="R58" s="355">
        <v>2.6710440979591833E-3</v>
      </c>
      <c r="S58" s="355">
        <v>18.870981286181443</v>
      </c>
      <c r="T58" s="355">
        <v>3.8164936685018386E-2</v>
      </c>
    </row>
    <row r="59" spans="2:20">
      <c r="B59" s="345">
        <v>5000</v>
      </c>
      <c r="C59" s="388">
        <v>1.3891223742618855</v>
      </c>
      <c r="D59" s="388">
        <v>7.5707089650836954</v>
      </c>
      <c r="E59" s="355">
        <v>0.41486284498481801</v>
      </c>
      <c r="F59" s="355">
        <v>0.85729303038297966</v>
      </c>
      <c r="G59" s="355">
        <v>11172.74360265728</v>
      </c>
      <c r="H59" s="355">
        <v>0.47320652437832872</v>
      </c>
      <c r="I59" s="355">
        <v>1.5378865487007605</v>
      </c>
      <c r="J59" s="355">
        <v>0.4239877533904115</v>
      </c>
      <c r="K59" s="355">
        <v>-0.5760122466095885</v>
      </c>
      <c r="L59" s="355">
        <v>0.15061419684479227</v>
      </c>
      <c r="M59" s="355">
        <v>-0.39606102847660485</v>
      </c>
      <c r="N59" s="355">
        <v>0.89875000000000005</v>
      </c>
      <c r="O59" s="355"/>
      <c r="P59" s="355"/>
      <c r="Q59" s="355">
        <v>4.7108880000000004E-4</v>
      </c>
      <c r="R59" s="355">
        <v>2.6452009999999998E-3</v>
      </c>
      <c r="S59" s="355">
        <v>19.055347093530184</v>
      </c>
      <c r="T59" s="355">
        <v>3.8756364814583028E-2</v>
      </c>
    </row>
    <row r="60" spans="2:20">
      <c r="B60" s="345">
        <v>5100</v>
      </c>
      <c r="C60" s="388">
        <v>1.3891223742618855</v>
      </c>
      <c r="D60" s="388">
        <v>7.7221231443853693</v>
      </c>
      <c r="E60" s="355">
        <v>0.41486284498481801</v>
      </c>
      <c r="F60" s="355">
        <v>0.85729303038297966</v>
      </c>
      <c r="G60" s="355">
        <v>11172.74360265728</v>
      </c>
      <c r="H60" s="355">
        <v>0.47320652437832872</v>
      </c>
      <c r="I60" s="355">
        <v>1.5686442796747757</v>
      </c>
      <c r="J60" s="355">
        <v>0.43246750845821974</v>
      </c>
      <c r="K60" s="355">
        <v>-0.56753249154178032</v>
      </c>
      <c r="L60" s="355">
        <v>0.1426248251421551</v>
      </c>
      <c r="M60" s="355">
        <v>-0.41047594115927827</v>
      </c>
      <c r="N60" s="355">
        <v>0.90817000000000003</v>
      </c>
      <c r="O60" s="355"/>
      <c r="P60" s="355"/>
      <c r="Q60" s="355">
        <v>4.6669253647058838E-4</v>
      </c>
      <c r="R60" s="355">
        <v>2.6205156313725488E-3</v>
      </c>
      <c r="S60" s="355">
        <v>19.234849273061716</v>
      </c>
      <c r="T60" s="355">
        <v>3.9342208071822489E-2</v>
      </c>
    </row>
    <row r="61" spans="2:20">
      <c r="B61" s="345">
        <v>5200</v>
      </c>
      <c r="C61" s="388">
        <v>1.3891223742618855</v>
      </c>
      <c r="D61" s="388">
        <v>7.8735373236870432</v>
      </c>
      <c r="E61" s="355">
        <v>0.41486284498481801</v>
      </c>
      <c r="F61" s="355">
        <v>0.85729303038297966</v>
      </c>
      <c r="G61" s="355">
        <v>11172.74360265728</v>
      </c>
      <c r="H61" s="355">
        <v>0.47320652437832872</v>
      </c>
      <c r="I61" s="355">
        <v>1.599402010648791</v>
      </c>
      <c r="J61" s="355">
        <v>0.44094726352602798</v>
      </c>
      <c r="K61" s="355">
        <v>-0.55905273647397202</v>
      </c>
      <c r="L61" s="355">
        <v>0.13420401596345793</v>
      </c>
      <c r="M61" s="355">
        <v>-0.4250820947098069</v>
      </c>
      <c r="N61" s="355">
        <v>0.91762999999999995</v>
      </c>
      <c r="O61" s="355"/>
      <c r="P61" s="355"/>
      <c r="Q61" s="355">
        <v>4.6248551999999998E-4</v>
      </c>
      <c r="R61" s="355">
        <v>2.5968928999999998E-3</v>
      </c>
      <c r="S61" s="355">
        <v>19.409819783924533</v>
      </c>
      <c r="T61" s="355">
        <v>3.9922943305803552E-2</v>
      </c>
    </row>
    <row r="62" spans="2:20">
      <c r="B62" s="345">
        <v>5300</v>
      </c>
      <c r="C62" s="388">
        <v>1.3891223742618855</v>
      </c>
      <c r="D62" s="388">
        <v>8.0249515029887171</v>
      </c>
      <c r="E62" s="355">
        <v>0.41486284498481801</v>
      </c>
      <c r="F62" s="355">
        <v>0.85729303038297966</v>
      </c>
      <c r="G62" s="355">
        <v>11172.74360265728</v>
      </c>
      <c r="H62" s="355">
        <v>0.47320652437832872</v>
      </c>
      <c r="I62" s="355">
        <v>1.6301597416228062</v>
      </c>
      <c r="J62" s="355">
        <v>0.44942701859383621</v>
      </c>
      <c r="K62" s="355">
        <v>-0.55057298140616373</v>
      </c>
      <c r="L62" s="355">
        <v>0.12535176930870059</v>
      </c>
      <c r="M62" s="355">
        <v>-0.43987583064406655</v>
      </c>
      <c r="N62" s="355">
        <v>0.92712000000000006</v>
      </c>
      <c r="O62" s="355"/>
      <c r="P62" s="355"/>
      <c r="Q62" s="355">
        <v>4.5845209358490565E-4</v>
      </c>
      <c r="R62" s="355">
        <v>2.5742448905660379E-3</v>
      </c>
      <c r="S62" s="355">
        <v>19.580585892148662</v>
      </c>
      <c r="T62" s="355">
        <v>4.049910099022392E-2</v>
      </c>
    </row>
    <row r="63" spans="2:20">
      <c r="B63" s="345">
        <v>5400</v>
      </c>
      <c r="C63" s="388">
        <v>1.3891223742618855</v>
      </c>
      <c r="D63" s="388">
        <v>8.1763656822903918</v>
      </c>
      <c r="E63" s="355">
        <v>0.41486284498481801</v>
      </c>
      <c r="F63" s="355">
        <v>0.85729303038297966</v>
      </c>
      <c r="G63" s="355">
        <v>11172.74360265728</v>
      </c>
      <c r="H63" s="355">
        <v>0.47320652437832872</v>
      </c>
      <c r="I63" s="355">
        <v>1.6609174725968212</v>
      </c>
      <c r="J63" s="355">
        <v>0.45790677366164445</v>
      </c>
      <c r="K63" s="355">
        <v>-0.54209322633835555</v>
      </c>
      <c r="L63" s="355">
        <v>0.11606808517788286</v>
      </c>
      <c r="M63" s="355">
        <v>-0.45485349047793305</v>
      </c>
      <c r="N63" s="355">
        <v>0.93664000000000003</v>
      </c>
      <c r="O63" s="355"/>
      <c r="P63" s="355"/>
      <c r="Q63" s="355">
        <v>4.5458261333333332E-4</v>
      </c>
      <c r="R63" s="355">
        <v>2.5525174518518522E-3</v>
      </c>
      <c r="S63" s="355">
        <v>19.747258985666932</v>
      </c>
      <c r="T63" s="355">
        <v>4.107053360269125E-2</v>
      </c>
    </row>
    <row r="64" spans="2:20">
      <c r="B64" s="345">
        <v>5500</v>
      </c>
      <c r="C64" s="388">
        <v>1.3891223742618855</v>
      </c>
      <c r="D64" s="388">
        <v>8.3277798615920648</v>
      </c>
      <c r="E64" s="355">
        <v>0.41486284498481801</v>
      </c>
      <c r="F64" s="355">
        <v>0.85729303038297966</v>
      </c>
      <c r="G64" s="355">
        <v>11172.74360265728</v>
      </c>
      <c r="H64" s="355">
        <v>0.47320652437832872</v>
      </c>
      <c r="I64" s="355">
        <v>1.6916752035708364</v>
      </c>
      <c r="J64" s="355">
        <v>0.46638652872945269</v>
      </c>
      <c r="K64" s="355">
        <v>-0.53361347127054737</v>
      </c>
      <c r="L64" s="355">
        <v>0.10635296357100527</v>
      </c>
      <c r="M64" s="355">
        <v>-0.47001141572728256</v>
      </c>
      <c r="N64" s="355">
        <v>0.94620000000000004</v>
      </c>
      <c r="O64" s="355"/>
      <c r="P64" s="355"/>
      <c r="Q64" s="355">
        <v>4.5087290181818182E-4</v>
      </c>
      <c r="R64" s="355">
        <v>2.531687127272727E-3</v>
      </c>
      <c r="S64" s="355">
        <v>19.909736335173619</v>
      </c>
      <c r="T64" s="355">
        <v>4.1636363078000893E-2</v>
      </c>
    </row>
    <row r="65" spans="2:20">
      <c r="B65" s="345">
        <v>5600</v>
      </c>
      <c r="C65" s="388">
        <v>1.3891223742618855</v>
      </c>
      <c r="D65" s="388">
        <v>8.4791940408937396</v>
      </c>
      <c r="E65" s="355">
        <v>0.41486284498481801</v>
      </c>
      <c r="F65" s="355">
        <v>0.85729303038297966</v>
      </c>
      <c r="G65" s="355">
        <v>11172.74360265728</v>
      </c>
      <c r="H65" s="355">
        <v>0.47320652437832872</v>
      </c>
      <c r="I65" s="355">
        <v>1.7224329345448517</v>
      </c>
      <c r="J65" s="355">
        <v>0.47486628379726092</v>
      </c>
      <c r="K65" s="355">
        <v>-0.52513371620273908</v>
      </c>
      <c r="L65" s="355">
        <v>9.6206404488067582E-2</v>
      </c>
      <c r="M65" s="355">
        <v>-0.48534594790799102</v>
      </c>
      <c r="N65" s="355">
        <v>0.95577999999999996</v>
      </c>
      <c r="O65" s="355"/>
      <c r="P65" s="355"/>
      <c r="Q65" s="355">
        <v>4.4730503999999995E-4</v>
      </c>
      <c r="R65" s="355">
        <v>2.5116532999999996E-3</v>
      </c>
      <c r="S65" s="355">
        <v>20.068543372269232</v>
      </c>
      <c r="T65" s="355">
        <v>4.2197924862458956E-2</v>
      </c>
    </row>
    <row r="66" spans="2:20">
      <c r="B66" s="345">
        <v>5700</v>
      </c>
      <c r="C66" s="388">
        <v>1.3891223742618855</v>
      </c>
      <c r="D66" s="388">
        <v>8.6306082201954126</v>
      </c>
      <c r="E66" s="355">
        <v>0.41486284498481801</v>
      </c>
      <c r="F66" s="355">
        <v>0.85729303038297966</v>
      </c>
      <c r="G66" s="355">
        <v>11172.74360265728</v>
      </c>
      <c r="H66" s="355">
        <v>0.47320652437832872</v>
      </c>
      <c r="I66" s="355">
        <v>1.7531906655188669</v>
      </c>
      <c r="J66" s="355">
        <v>0.48334603886506916</v>
      </c>
      <c r="K66" s="355">
        <v>-0.51665396113493078</v>
      </c>
      <c r="L66" s="355">
        <v>8.5628407929069728E-2</v>
      </c>
      <c r="M66" s="355">
        <v>-0.50085342853593418</v>
      </c>
      <c r="N66" s="355">
        <v>0.96538000000000002</v>
      </c>
      <c r="O66" s="355"/>
      <c r="P66" s="355"/>
      <c r="Q66" s="355">
        <v>4.4387156210526314E-4</v>
      </c>
      <c r="R66" s="355">
        <v>2.4923740491228068E-3</v>
      </c>
      <c r="S66" s="355">
        <v>20.223779494451605</v>
      </c>
      <c r="T66" s="355">
        <v>4.275512359141443E-2</v>
      </c>
    </row>
    <row r="67" spans="2:20">
      <c r="B67" s="345">
        <v>5800</v>
      </c>
      <c r="C67" s="388">
        <v>1.3891223742618855</v>
      </c>
      <c r="D67" s="388">
        <v>8.7820223994970874</v>
      </c>
      <c r="E67" s="355">
        <v>0.41486284498481801</v>
      </c>
      <c r="F67" s="355">
        <v>0.85729303038297966</v>
      </c>
      <c r="G67" s="355">
        <v>11172.74360265728</v>
      </c>
      <c r="H67" s="355">
        <v>0.47320652437832872</v>
      </c>
      <c r="I67" s="355">
        <v>1.7839483964928822</v>
      </c>
      <c r="J67" s="355">
        <v>0.4918257939328774</v>
      </c>
      <c r="K67" s="355">
        <v>-0.5081742060671226</v>
      </c>
      <c r="L67" s="355">
        <v>7.461897389401187E-2</v>
      </c>
      <c r="M67" s="355">
        <v>-0.51653019912698817</v>
      </c>
      <c r="N67" s="355">
        <v>0.97499999999999998</v>
      </c>
      <c r="O67" s="355"/>
      <c r="P67" s="355"/>
      <c r="Q67" s="355">
        <v>4.4056551724137925E-4</v>
      </c>
      <c r="R67" s="355">
        <v>2.4738103448275861E-3</v>
      </c>
      <c r="S67" s="355">
        <v>20.375540628061433</v>
      </c>
      <c r="T67" s="355">
        <v>4.3307869689598336E-2</v>
      </c>
    </row>
    <row r="68" spans="2:20">
      <c r="B68" s="345">
        <v>5900</v>
      </c>
      <c r="C68" s="388">
        <v>1.3891223742618855</v>
      </c>
      <c r="D68" s="388">
        <v>8.9334365787987604</v>
      </c>
      <c r="E68" s="355">
        <v>0.41486284498481801</v>
      </c>
      <c r="F68" s="355">
        <v>0.85729303038297966</v>
      </c>
      <c r="G68" s="355">
        <v>11172.74360265728</v>
      </c>
      <c r="H68" s="355">
        <v>0.47320652437832872</v>
      </c>
      <c r="I68" s="355">
        <v>1.8147061274668972</v>
      </c>
      <c r="J68" s="355">
        <v>0.50030554900068569</v>
      </c>
      <c r="K68" s="355">
        <v>-0.49969445099931431</v>
      </c>
      <c r="L68" s="355">
        <v>6.3178102382893342E-2</v>
      </c>
      <c r="M68" s="355">
        <v>-0.53237260119702867</v>
      </c>
      <c r="N68" s="355">
        <v>0.98463999999999996</v>
      </c>
      <c r="O68" s="355"/>
      <c r="P68" s="355"/>
      <c r="Q68" s="355">
        <v>4.3738042576271183E-4</v>
      </c>
      <c r="R68" s="355">
        <v>2.4559258033898302E-3</v>
      </c>
      <c r="S68" s="355">
        <v>20.523919378012369</v>
      </c>
      <c r="T68" s="355">
        <v>4.3856079182075423E-2</v>
      </c>
    </row>
    <row r="69" spans="2:20">
      <c r="B69" s="345">
        <v>6000</v>
      </c>
      <c r="C69" s="388">
        <v>1.3891223742618855</v>
      </c>
      <c r="D69" s="388">
        <v>9.0848507581004352</v>
      </c>
      <c r="E69" s="355">
        <v>0.41486284498481801</v>
      </c>
      <c r="F69" s="355">
        <v>0.85729303038297966</v>
      </c>
      <c r="G69" s="355">
        <v>11172.74360265728</v>
      </c>
      <c r="H69" s="355">
        <v>0.47320652437832872</v>
      </c>
      <c r="I69" s="355">
        <v>1.8454638584409124</v>
      </c>
      <c r="J69" s="355">
        <v>0.50878530406849387</v>
      </c>
      <c r="K69" s="355">
        <v>-0.49121469593150613</v>
      </c>
      <c r="L69" s="355">
        <v>5.1305793395715338E-2</v>
      </c>
      <c r="M69" s="355">
        <v>-0.54837697626193194</v>
      </c>
      <c r="N69" s="355">
        <v>0.99429999999999996</v>
      </c>
      <c r="O69" s="355"/>
      <c r="P69" s="355"/>
      <c r="Q69" s="355">
        <v>4.3431024E-4</v>
      </c>
      <c r="R69" s="355">
        <v>2.4386864666666665E-3</v>
      </c>
      <c r="S69" s="355">
        <v>20.669005169840396</v>
      </c>
      <c r="T69" s="355">
        <v>4.4399673508955594E-2</v>
      </c>
    </row>
    <row r="70" spans="2:20">
      <c r="B70" s="345">
        <v>6100</v>
      </c>
      <c r="C70" s="390">
        <v>1.3891223742618855</v>
      </c>
      <c r="D70" s="390">
        <v>9.2362649374021082</v>
      </c>
      <c r="E70" s="345">
        <v>0.41486284498481801</v>
      </c>
      <c r="F70" s="345">
        <v>0.85729303038297966</v>
      </c>
      <c r="G70" s="345">
        <v>11172.74360265728</v>
      </c>
      <c r="H70" s="345">
        <v>0.47320652437832872</v>
      </c>
      <c r="I70" s="345">
        <v>1.8762215894149277</v>
      </c>
      <c r="J70" s="345">
        <v>0.51726505913630216</v>
      </c>
      <c r="K70" s="345">
        <v>-0.48273494086369784</v>
      </c>
      <c r="L70" s="345">
        <v>3.9002046932476775E-2</v>
      </c>
      <c r="M70" s="345">
        <v>-0.56453966583757365</v>
      </c>
      <c r="N70" s="345">
        <v>1.00397</v>
      </c>
      <c r="Q70" s="345">
        <v>4.3134501245901648E-4</v>
      </c>
      <c r="R70" s="345">
        <v>2.4220364786885244E-3</v>
      </c>
      <c r="S70" s="345">
        <v>20.811091670446835</v>
      </c>
      <c r="T70" s="345">
        <v>4.4939372036726169E-2</v>
      </c>
    </row>
    <row r="71" spans="2:20">
      <c r="B71" s="345">
        <v>6200</v>
      </c>
      <c r="C71" s="390">
        <v>1.3891223742618855</v>
      </c>
      <c r="D71" s="390">
        <v>9.387679116703783</v>
      </c>
      <c r="E71" s="345">
        <v>0.41486284498481801</v>
      </c>
      <c r="F71" s="345">
        <v>0.85729303038297966</v>
      </c>
      <c r="G71" s="345">
        <v>11172.74360265728</v>
      </c>
      <c r="H71" s="345">
        <v>0.47320652437832872</v>
      </c>
      <c r="I71" s="345">
        <v>1.9069793203889429</v>
      </c>
      <c r="J71" s="345">
        <v>0.52574481420411034</v>
      </c>
      <c r="K71" s="345">
        <v>-0.47425518579588966</v>
      </c>
      <c r="L71" s="345">
        <v>2.6266862993178763E-2</v>
      </c>
      <c r="M71" s="345">
        <v>-0.58085701143982993</v>
      </c>
      <c r="N71" s="345">
        <v>1.01366</v>
      </c>
      <c r="Q71" s="345">
        <v>4.284838916129032E-4</v>
      </c>
      <c r="R71" s="345">
        <v>2.4059710580645161E-3</v>
      </c>
      <c r="S71" s="345">
        <v>20.950053833025589</v>
      </c>
      <c r="T71" s="345">
        <v>4.5474330211729537E-2</v>
      </c>
    </row>
    <row r="72" spans="2:20">
      <c r="B72" s="345">
        <v>6300</v>
      </c>
      <c r="C72" s="390">
        <v>1.3891223742618855</v>
      </c>
      <c r="D72" s="390">
        <v>9.539093296005456</v>
      </c>
      <c r="E72" s="345">
        <v>0.41486284498481801</v>
      </c>
      <c r="F72" s="345">
        <v>0.85729303038297966</v>
      </c>
      <c r="G72" s="345">
        <v>11172.74360265728</v>
      </c>
      <c r="H72" s="345">
        <v>0.47320652437832872</v>
      </c>
      <c r="I72" s="345">
        <v>1.9377370513629582</v>
      </c>
      <c r="J72" s="345">
        <v>0.53422456927191853</v>
      </c>
      <c r="K72" s="345">
        <v>-0.46577543072808147</v>
      </c>
      <c r="L72" s="345">
        <v>1.3100241577820415E-2</v>
      </c>
      <c r="M72" s="345">
        <v>-0.59732535458457658</v>
      </c>
      <c r="N72" s="345">
        <v>1.02335</v>
      </c>
      <c r="Q72" s="345">
        <v>4.2571360000000002E-4</v>
      </c>
      <c r="R72" s="345">
        <v>2.3904156507936506E-3</v>
      </c>
      <c r="S72" s="345">
        <v>21.086384357640028</v>
      </c>
      <c r="T72" s="345">
        <v>4.6006101817112489E-2</v>
      </c>
    </row>
    <row r="73" spans="2:20">
      <c r="B73" s="345">
        <v>6400</v>
      </c>
      <c r="C73" s="390">
        <v>1.3891223742618855</v>
      </c>
      <c r="D73" s="390">
        <v>9.6905074753071307</v>
      </c>
      <c r="E73" s="345">
        <v>0.41486284498481801</v>
      </c>
      <c r="F73" s="345">
        <v>0.85729303038297966</v>
      </c>
      <c r="G73" s="345">
        <v>11172.74360265728</v>
      </c>
      <c r="H73" s="345">
        <v>0.47320652437832872</v>
      </c>
      <c r="I73" s="345">
        <v>1.9684947823369732</v>
      </c>
      <c r="J73" s="345">
        <v>0.54270432433972682</v>
      </c>
      <c r="K73" s="345">
        <v>-0.45729567566027318</v>
      </c>
      <c r="L73" s="345">
        <v>-4.9781731359871406E-4</v>
      </c>
      <c r="M73" s="345">
        <v>-0.61394103678768952</v>
      </c>
      <c r="N73" s="345">
        <v>1.0330600000000001</v>
      </c>
      <c r="Q73" s="345">
        <v>4.2303807000000008E-4</v>
      </c>
      <c r="R73" s="345">
        <v>2.3753923375000002E-3</v>
      </c>
      <c r="S73" s="345">
        <v>21.219746477839742</v>
      </c>
      <c r="T73" s="345">
        <v>4.6533040693196727E-2</v>
      </c>
    </row>
    <row r="74" spans="2:20">
      <c r="B74" s="345">
        <v>6500</v>
      </c>
      <c r="C74" s="390">
        <v>1.3891223742618855</v>
      </c>
      <c r="D74" s="390">
        <v>9.8419216546088037</v>
      </c>
      <c r="E74" s="345">
        <v>0.41486284498481801</v>
      </c>
      <c r="F74" s="345">
        <v>0.85729303038297966</v>
      </c>
      <c r="G74" s="345">
        <v>11172.74360265728</v>
      </c>
      <c r="H74" s="345">
        <v>0.47320652437832872</v>
      </c>
      <c r="I74" s="345">
        <v>1.9992525133109884</v>
      </c>
      <c r="J74" s="345">
        <v>0.551184079407535</v>
      </c>
      <c r="K74" s="345">
        <v>-0.448815920592465</v>
      </c>
      <c r="L74" s="345">
        <v>-1.452731368107707E-2</v>
      </c>
      <c r="M74" s="345">
        <v>-0.63070039956504487</v>
      </c>
      <c r="N74" s="345">
        <v>1.04277</v>
      </c>
      <c r="Q74" s="345">
        <v>4.2044486399999998E-4</v>
      </c>
      <c r="R74" s="345">
        <v>2.36083128E-3</v>
      </c>
      <c r="S74" s="345">
        <v>21.350624932059162</v>
      </c>
      <c r="T74" s="345">
        <v>4.7056739386853487E-2</v>
      </c>
    </row>
    <row r="75" spans="2:20">
      <c r="B75" s="345">
        <v>6600</v>
      </c>
      <c r="C75" s="390">
        <v>1.3891223742618855</v>
      </c>
      <c r="D75" s="390">
        <v>9.9933358339104785</v>
      </c>
      <c r="E75" s="345">
        <v>0.41486284498481801</v>
      </c>
      <c r="F75" s="345">
        <v>0.85729303038297966</v>
      </c>
      <c r="G75" s="345">
        <v>11172.74360265728</v>
      </c>
      <c r="H75" s="345">
        <v>0.47320652437832872</v>
      </c>
      <c r="I75" s="345">
        <v>2.0300102442850037</v>
      </c>
      <c r="J75" s="345">
        <v>0.55966383447534329</v>
      </c>
      <c r="K75" s="345">
        <v>-0.44033616552465671</v>
      </c>
      <c r="L75" s="345">
        <v>-2.8988247524616317E-2</v>
      </c>
      <c r="M75" s="345">
        <v>-0.64759978443251842</v>
      </c>
      <c r="N75" s="345">
        <v>1.0524899999999999</v>
      </c>
      <c r="Q75" s="345">
        <v>4.1793421090909088E-4</v>
      </c>
      <c r="R75" s="345">
        <v>2.3467337636363631E-3</v>
      </c>
      <c r="S75" s="345">
        <v>21.478884383138592</v>
      </c>
      <c r="T75" s="345">
        <v>4.7576358632956194E-2</v>
      </c>
    </row>
    <row r="76" spans="2:20">
      <c r="B76" s="345">
        <v>6700</v>
      </c>
      <c r="C76" s="390">
        <v>1.3891223742618855</v>
      </c>
      <c r="D76" s="390">
        <v>10.144750013212152</v>
      </c>
      <c r="E76" s="345">
        <v>0.41486284498481801</v>
      </c>
      <c r="F76" s="345">
        <v>0.85729303038297966</v>
      </c>
      <c r="G76" s="345">
        <v>11172.74360265728</v>
      </c>
      <c r="H76" s="345">
        <v>0.47320652437832872</v>
      </c>
      <c r="I76" s="345">
        <v>2.0607679752590191</v>
      </c>
      <c r="J76" s="345">
        <v>0.56814358954315147</v>
      </c>
      <c r="K76" s="345">
        <v>-0.43185641045684853</v>
      </c>
      <c r="L76" s="345">
        <v>-4.3880618844214792E-2</v>
      </c>
      <c r="M76" s="345">
        <v>-0.66463553290598631</v>
      </c>
      <c r="N76" s="345">
        <v>1.0622199999999999</v>
      </c>
      <c r="Q76" s="345">
        <v>4.1550241432835813E-4</v>
      </c>
      <c r="R76" s="345">
        <v>2.3330790328358205E-3</v>
      </c>
      <c r="S76" s="345">
        <v>21.604593105397885</v>
      </c>
      <c r="T76" s="345">
        <v>4.8091871101905714E-2</v>
      </c>
    </row>
    <row r="77" spans="2:20">
      <c r="B77" s="345">
        <v>6800</v>
      </c>
      <c r="C77" s="390">
        <v>1.3891223742618855</v>
      </c>
      <c r="D77" s="390">
        <v>10.296164192513826</v>
      </c>
      <c r="E77" s="345">
        <v>0.41486284498481801</v>
      </c>
      <c r="F77" s="345">
        <v>0.85729303038297966</v>
      </c>
      <c r="G77" s="345">
        <v>11172.74360265728</v>
      </c>
      <c r="H77" s="345">
        <v>0.47320652437832872</v>
      </c>
      <c r="I77" s="345">
        <v>2.0915257062330341</v>
      </c>
      <c r="J77" s="345">
        <v>0.57662334461095976</v>
      </c>
      <c r="K77" s="345">
        <v>-0.42337665538904024</v>
      </c>
      <c r="L77" s="345">
        <v>-5.9204427639874435E-2</v>
      </c>
      <c r="M77" s="345">
        <v>-0.68180398650132401</v>
      </c>
      <c r="N77" s="345">
        <v>1.07195</v>
      </c>
      <c r="Q77" s="345">
        <v>4.131421411764706E-4</v>
      </c>
      <c r="R77" s="345">
        <v>2.3198259117647056E-3</v>
      </c>
      <c r="S77" s="345">
        <v>21.728019732657259</v>
      </c>
      <c r="T77" s="345">
        <v>4.8604098477698414E-2</v>
      </c>
    </row>
    <row r="78" spans="2:20">
      <c r="B78" s="345">
        <v>6900</v>
      </c>
      <c r="C78" s="390">
        <v>1.3891223742618855</v>
      </c>
      <c r="D78" s="390">
        <v>10.447578371815499</v>
      </c>
      <c r="E78" s="345">
        <v>0.41486284498481801</v>
      </c>
      <c r="F78" s="345">
        <v>0.85729303038297966</v>
      </c>
      <c r="G78" s="345">
        <v>11172.74360265728</v>
      </c>
      <c r="H78" s="345">
        <v>0.47320652437832872</v>
      </c>
      <c r="I78" s="345">
        <v>2.1222834372070492</v>
      </c>
      <c r="J78" s="345">
        <v>0.58510309967876795</v>
      </c>
      <c r="K78" s="345">
        <v>-0.41489690032123205</v>
      </c>
      <c r="L78" s="345">
        <v>-7.4959673911593527E-2</v>
      </c>
      <c r="M78" s="345">
        <v>-0.69910148673440775</v>
      </c>
      <c r="N78" s="345">
        <v>1.08169</v>
      </c>
      <c r="Q78" s="345">
        <v>4.1085408000000005E-4</v>
      </c>
      <c r="R78" s="345">
        <v>2.3069782666666669E-3</v>
      </c>
      <c r="S78" s="345">
        <v>21.849023857508296</v>
      </c>
      <c r="T78" s="345">
        <v>4.9112186570692856E-2</v>
      </c>
    </row>
    <row r="79" spans="2:20">
      <c r="B79" s="345">
        <v>7000</v>
      </c>
      <c r="C79" s="390">
        <v>1.3891223742618855</v>
      </c>
      <c r="D79" s="390">
        <v>10.598992551117174</v>
      </c>
      <c r="E79" s="345">
        <v>0.41486284498481801</v>
      </c>
      <c r="F79" s="345">
        <v>0.85729303038297966</v>
      </c>
      <c r="G79" s="345">
        <v>11172.74360265728</v>
      </c>
      <c r="H79" s="345">
        <v>0.47320652437832872</v>
      </c>
      <c r="I79" s="345">
        <v>2.1530411681810646</v>
      </c>
      <c r="J79" s="345">
        <v>0.59358285474657624</v>
      </c>
      <c r="K79" s="345">
        <v>-0.40641714525342376</v>
      </c>
      <c r="L79" s="345">
        <v>-9.1146357659372901E-2</v>
      </c>
      <c r="M79" s="345">
        <v>-0.71652437512111378</v>
      </c>
      <c r="N79" s="345">
        <v>1.0914299999999999</v>
      </c>
      <c r="Q79" s="345">
        <v>4.0863139200000002E-4</v>
      </c>
      <c r="R79" s="345">
        <v>2.2944976971428568E-3</v>
      </c>
      <c r="S79" s="345">
        <v>21.967868283292891</v>
      </c>
      <c r="T79" s="345">
        <v>4.9616975428877864E-2</v>
      </c>
    </row>
    <row r="80" spans="2:20">
      <c r="B80" s="345">
        <v>7100</v>
      </c>
      <c r="C80" s="390">
        <v>1.3891223742618855</v>
      </c>
      <c r="D80" s="390">
        <v>10.750406730418847</v>
      </c>
      <c r="E80" s="345">
        <v>0.41486284498481801</v>
      </c>
      <c r="F80" s="345">
        <v>0.85729303038297966</v>
      </c>
      <c r="G80" s="345">
        <v>11172.74360265728</v>
      </c>
      <c r="H80" s="345">
        <v>0.47320652437832872</v>
      </c>
      <c r="I80" s="345">
        <v>2.1837988991550801</v>
      </c>
      <c r="J80" s="345">
        <v>0.60206260981438442</v>
      </c>
      <c r="K80" s="345">
        <v>-0.39793739018561558</v>
      </c>
      <c r="L80" s="345">
        <v>-0.10776447888321189</v>
      </c>
      <c r="M80" s="345">
        <v>-0.73406899317731766</v>
      </c>
      <c r="N80" s="345">
        <v>1.10118</v>
      </c>
      <c r="Q80" s="345">
        <v>4.0647500619718317E-4</v>
      </c>
      <c r="R80" s="345">
        <v>2.2823894197183097E-3</v>
      </c>
      <c r="S80" s="345">
        <v>22.084409764471349</v>
      </c>
      <c r="T80" s="345">
        <v>5.0117601083425466E-2</v>
      </c>
    </row>
    <row r="81" spans="2:20">
      <c r="B81" s="345">
        <v>7200</v>
      </c>
      <c r="C81" s="390">
        <v>1.3891223742618855</v>
      </c>
      <c r="D81" s="390">
        <v>10.901820909720522</v>
      </c>
      <c r="E81" s="345">
        <v>0.41486284498481801</v>
      </c>
      <c r="F81" s="345">
        <v>0.85729303038297966</v>
      </c>
      <c r="G81" s="345">
        <v>11172.74360265728</v>
      </c>
      <c r="H81" s="345">
        <v>0.47320652437832872</v>
      </c>
      <c r="I81" s="345">
        <v>2.2145566301290951</v>
      </c>
      <c r="J81" s="345">
        <v>0.61054236488219271</v>
      </c>
      <c r="K81" s="345">
        <v>-0.38945763511780729</v>
      </c>
      <c r="L81" s="345">
        <v>-0.12481403758311188</v>
      </c>
      <c r="M81" s="345">
        <v>-0.75173168241889521</v>
      </c>
      <c r="N81" s="345">
        <v>1.1109199999999999</v>
      </c>
      <c r="Q81" s="345">
        <v>4.0437487999999994E-4</v>
      </c>
      <c r="R81" s="345">
        <v>2.2705970444444443E-3</v>
      </c>
      <c r="S81" s="345">
        <v>22.199105433736694</v>
      </c>
      <c r="T81" s="345">
        <v>5.061579356693939E-2</v>
      </c>
    </row>
    <row r="82" spans="2:20">
      <c r="B82" s="345">
        <v>7300</v>
      </c>
      <c r="C82" s="390">
        <v>1.3891223742618855</v>
      </c>
      <c r="D82" s="390">
        <v>11.053235089022195</v>
      </c>
      <c r="E82" s="345">
        <v>0.41486284498481801</v>
      </c>
      <c r="F82" s="345">
        <v>0.85729303038297966</v>
      </c>
      <c r="G82" s="345">
        <v>11172.74360265728</v>
      </c>
      <c r="H82" s="345">
        <v>0.47320652437832872</v>
      </c>
      <c r="I82" s="345">
        <v>2.2453143611031101</v>
      </c>
      <c r="J82" s="345">
        <v>0.61902211995000089</v>
      </c>
      <c r="K82" s="345">
        <v>-0.38097788004999911</v>
      </c>
      <c r="L82" s="345">
        <v>-0.14229503375907149</v>
      </c>
      <c r="M82" s="345">
        <v>-0.76950878436172254</v>
      </c>
      <c r="N82" s="345">
        <v>1.1206700000000001</v>
      </c>
      <c r="Q82" s="345">
        <v>4.0233588164383566E-4</v>
      </c>
      <c r="R82" s="345">
        <v>2.2591479068493152E-3</v>
      </c>
      <c r="S82" s="345">
        <v>22.311608299011276</v>
      </c>
      <c r="T82" s="345">
        <v>5.1109819130902061E-2</v>
      </c>
    </row>
    <row r="83" spans="2:20">
      <c r="B83" s="345">
        <v>7400</v>
      </c>
      <c r="C83" s="390">
        <v>1.3891223742618855</v>
      </c>
      <c r="D83" s="390">
        <v>11.20464926832387</v>
      </c>
      <c r="E83" s="345">
        <v>0.41486284498481801</v>
      </c>
      <c r="F83" s="345">
        <v>0.85729303038297966</v>
      </c>
      <c r="G83" s="345">
        <v>11172.74360265728</v>
      </c>
      <c r="H83" s="345">
        <v>0.47320652437832872</v>
      </c>
      <c r="I83" s="345">
        <v>2.2760720920771256</v>
      </c>
      <c r="J83" s="345">
        <v>0.62750187501780919</v>
      </c>
      <c r="K83" s="345">
        <v>-0.37249812498219081</v>
      </c>
      <c r="L83" s="345">
        <v>-0.16020746741109138</v>
      </c>
      <c r="M83" s="345">
        <v>-0.78739664052167579</v>
      </c>
      <c r="N83" s="345">
        <v>1.13042</v>
      </c>
      <c r="Q83" s="345">
        <v>4.0035199135135139E-4</v>
      </c>
      <c r="R83" s="345">
        <v>2.248008205405405E-3</v>
      </c>
      <c r="S83" s="345">
        <v>22.4221704644815</v>
      </c>
      <c r="T83" s="345">
        <v>5.16005508160821E-2</v>
      </c>
    </row>
    <row r="84" spans="2:20">
      <c r="B84" s="345">
        <v>7500</v>
      </c>
      <c r="C84" s="390">
        <v>1.3891223742618855</v>
      </c>
      <c r="D84" s="390">
        <v>11.356063447625543</v>
      </c>
      <c r="E84" s="345">
        <v>0.41486284498481801</v>
      </c>
      <c r="F84" s="345">
        <v>0.85729303038297966</v>
      </c>
      <c r="G84" s="345">
        <v>11172.74360265728</v>
      </c>
      <c r="H84" s="345">
        <v>0.47320652437832872</v>
      </c>
      <c r="I84" s="345">
        <v>2.3068298230511406</v>
      </c>
      <c r="J84" s="345">
        <v>0.63598163008561737</v>
      </c>
      <c r="K84" s="345">
        <v>-0.36401836991438263</v>
      </c>
      <c r="L84" s="345">
        <v>-0.17855133853917132</v>
      </c>
      <c r="M84" s="345">
        <v>-0.80539159241463043</v>
      </c>
      <c r="N84" s="345">
        <v>1.1401600000000001</v>
      </c>
      <c r="Q84" s="345">
        <v>3.9841751040000007E-4</v>
      </c>
      <c r="R84" s="345">
        <v>2.2371459413333336E-3</v>
      </c>
      <c r="S84" s="345">
        <v>22.531039328221812</v>
      </c>
      <c r="T84" s="345">
        <v>5.208888747047441E-2</v>
      </c>
    </row>
    <row r="85" spans="2:20">
      <c r="B85" s="345">
        <v>7600</v>
      </c>
      <c r="C85" s="390">
        <v>1.3891223742618855</v>
      </c>
      <c r="D85" s="390">
        <v>11.507477626927217</v>
      </c>
      <c r="E85" s="345">
        <v>0.41486284498481801</v>
      </c>
      <c r="F85" s="345">
        <v>0.85729303038297966</v>
      </c>
      <c r="G85" s="345">
        <v>11172.74360265728</v>
      </c>
      <c r="H85" s="345">
        <v>0.47320652437832872</v>
      </c>
      <c r="I85" s="345">
        <v>2.3375875540251561</v>
      </c>
      <c r="J85" s="345">
        <v>0.64446138515342555</v>
      </c>
      <c r="K85" s="345">
        <v>-0.35553861484657445</v>
      </c>
      <c r="L85" s="345">
        <v>-0.19732664714331083</v>
      </c>
      <c r="M85" s="345">
        <v>-0.82348998155646291</v>
      </c>
      <c r="N85" s="345">
        <v>1.14991</v>
      </c>
      <c r="Q85" s="345">
        <v>3.9653738526315794E-4</v>
      </c>
      <c r="R85" s="345">
        <v>2.2265888894736842E-3</v>
      </c>
      <c r="S85" s="345">
        <v>22.63786701956813</v>
      </c>
      <c r="T85" s="345">
        <v>5.257306170079902E-2</v>
      </c>
    </row>
    <row r="86" spans="2:20">
      <c r="B86" s="345">
        <v>7700</v>
      </c>
      <c r="C86" s="390">
        <v>1.3891223742618855</v>
      </c>
      <c r="D86" s="390">
        <v>11.658891806228892</v>
      </c>
      <c r="E86" s="345">
        <v>0.41486284498481801</v>
      </c>
      <c r="F86" s="345">
        <v>0.85729303038297966</v>
      </c>
      <c r="G86" s="345">
        <v>11172.74360265728</v>
      </c>
      <c r="H86" s="345">
        <v>0.47320652437832872</v>
      </c>
      <c r="I86" s="345">
        <v>2.3683452849991711</v>
      </c>
      <c r="J86" s="345">
        <v>0.65294114022123373</v>
      </c>
      <c r="K86" s="345">
        <v>-0.34705885977876627</v>
      </c>
      <c r="L86" s="345">
        <v>-0.21653339322351078</v>
      </c>
      <c r="M86" s="345">
        <v>-0.84168814946304882</v>
      </c>
      <c r="N86" s="345">
        <v>1.1596599999999999</v>
      </c>
      <c r="Q86" s="345">
        <v>3.9470609454545457E-4</v>
      </c>
      <c r="R86" s="345">
        <v>2.2163060467532466E-3</v>
      </c>
      <c r="S86" s="345">
        <v>22.74289837407326</v>
      </c>
      <c r="T86" s="345">
        <v>5.30539684623276E-2</v>
      </c>
    </row>
    <row r="87" spans="2:20">
      <c r="B87" s="345">
        <v>7800</v>
      </c>
      <c r="C87" s="390">
        <v>1.3891223742618855</v>
      </c>
      <c r="D87" s="390">
        <v>11.810305985530565</v>
      </c>
      <c r="E87" s="345">
        <v>0.41486284498481801</v>
      </c>
      <c r="F87" s="345">
        <v>0.85729303038297966</v>
      </c>
      <c r="G87" s="345">
        <v>11172.74360265728</v>
      </c>
      <c r="H87" s="345">
        <v>0.47320652437832872</v>
      </c>
      <c r="I87" s="345">
        <v>2.3991030159731861</v>
      </c>
      <c r="J87" s="345">
        <v>0.66142089528904202</v>
      </c>
      <c r="K87" s="345">
        <v>-0.33857910471095798</v>
      </c>
      <c r="L87" s="345">
        <v>-0.23617157677977163</v>
      </c>
      <c r="M87" s="345">
        <v>-0.85998243765026405</v>
      </c>
      <c r="N87" s="345">
        <v>1.1694100000000001</v>
      </c>
      <c r="Q87" s="345">
        <v>3.9292176000000007E-4</v>
      </c>
      <c r="R87" s="345">
        <v>2.2062868666666664E-3</v>
      </c>
      <c r="S87" s="345">
        <v>22.846178322815774</v>
      </c>
      <c r="T87" s="345">
        <v>5.3531618547104594E-2</v>
      </c>
    </row>
    <row r="88" spans="2:20">
      <c r="B88" s="345">
        <v>7900</v>
      </c>
      <c r="C88" s="390">
        <v>1.3891223742618855</v>
      </c>
      <c r="D88" s="390">
        <v>11.96172016483224</v>
      </c>
      <c r="E88" s="345">
        <v>0.41486284498481801</v>
      </c>
      <c r="F88" s="345">
        <v>0.85729303038297966</v>
      </c>
      <c r="G88" s="345">
        <v>11172.74360265728</v>
      </c>
      <c r="H88" s="345">
        <v>0.47320652437832872</v>
      </c>
      <c r="I88" s="345">
        <v>2.4298607469472016</v>
      </c>
      <c r="J88" s="345">
        <v>0.6699006503568502</v>
      </c>
      <c r="K88" s="345">
        <v>-0.3300993496431498</v>
      </c>
      <c r="L88" s="345">
        <v>-0.25624119781209148</v>
      </c>
      <c r="M88" s="345">
        <v>-0.87836918763398497</v>
      </c>
      <c r="N88" s="345">
        <v>1.1791499999999999</v>
      </c>
      <c r="Q88" s="345">
        <v>3.911792810126582E-4</v>
      </c>
      <c r="R88" s="345">
        <v>2.1965027088607595E-3</v>
      </c>
      <c r="S88" s="345">
        <v>22.947944923453509</v>
      </c>
      <c r="T88" s="345">
        <v>5.4006937038812319E-2</v>
      </c>
    </row>
    <row r="89" spans="2:20">
      <c r="B89" s="345">
        <v>8000</v>
      </c>
      <c r="C89" s="390">
        <v>1.3891223742618855</v>
      </c>
      <c r="D89" s="390">
        <v>12.113134344133913</v>
      </c>
      <c r="E89" s="345">
        <v>0.41486284498481801</v>
      </c>
      <c r="F89" s="345">
        <v>0.85729303038297966</v>
      </c>
      <c r="G89" s="345">
        <v>11172.74360265728</v>
      </c>
      <c r="H89" s="345">
        <v>0.47320652437832872</v>
      </c>
      <c r="I89" s="345">
        <v>2.4606184779212166</v>
      </c>
      <c r="J89" s="345">
        <v>0.67838040542465849</v>
      </c>
      <c r="K89" s="345">
        <v>-0.32161959457534151</v>
      </c>
      <c r="L89" s="345">
        <v>-0.2767422563204725</v>
      </c>
      <c r="M89" s="345">
        <v>-0.89684474093008704</v>
      </c>
      <c r="N89" s="345">
        <v>1.18889</v>
      </c>
      <c r="Q89" s="345">
        <v>3.89480364E-4</v>
      </c>
      <c r="R89" s="345">
        <v>2.1869631549999999E-3</v>
      </c>
      <c r="S89" s="345">
        <v>23.048044075142702</v>
      </c>
      <c r="T89" s="345">
        <v>5.4479033518810525E-2</v>
      </c>
    </row>
    <row r="90" spans="2:20">
      <c r="B90" s="345">
        <v>8100</v>
      </c>
      <c r="C90" s="390">
        <v>1.3891223742618855</v>
      </c>
      <c r="D90" s="390">
        <v>12.264548523435588</v>
      </c>
      <c r="E90" s="345">
        <v>0.41486284498481801</v>
      </c>
      <c r="F90" s="345">
        <v>0.85729303038297966</v>
      </c>
      <c r="G90" s="345">
        <v>11172.74360265728</v>
      </c>
      <c r="H90" s="345">
        <v>0.47320652437832872</v>
      </c>
      <c r="I90" s="345">
        <v>2.491376208895232</v>
      </c>
      <c r="J90" s="345">
        <v>0.68686016049246668</v>
      </c>
      <c r="K90" s="345">
        <v>-0.31313983950753332</v>
      </c>
      <c r="L90" s="345">
        <v>-0.29767475230491253</v>
      </c>
      <c r="M90" s="345">
        <v>-0.91540543905444671</v>
      </c>
      <c r="N90" s="345">
        <v>1.1986300000000001</v>
      </c>
      <c r="Q90" s="345">
        <v>3.8782339555555563E-4</v>
      </c>
      <c r="R90" s="345">
        <v>2.1776591456790129E-3</v>
      </c>
      <c r="S90" s="345">
        <v>23.146516426672626</v>
      </c>
      <c r="T90" s="345">
        <v>5.4947920823752883E-2</v>
      </c>
    </row>
    <row r="91" spans="2:20">
      <c r="B91" s="345">
        <v>8200</v>
      </c>
      <c r="C91" s="390">
        <v>1.3891223742618855</v>
      </c>
      <c r="D91" s="390">
        <v>12.415962702737261</v>
      </c>
      <c r="E91" s="345">
        <v>0.41486284498481801</v>
      </c>
      <c r="F91" s="345">
        <v>0.85729303038297966</v>
      </c>
      <c r="G91" s="345">
        <v>11172.74360265728</v>
      </c>
      <c r="H91" s="345">
        <v>0.47320652437832872</v>
      </c>
      <c r="I91" s="345">
        <v>2.5221339398692471</v>
      </c>
      <c r="J91" s="345">
        <v>0.69533991556027497</v>
      </c>
      <c r="K91" s="345">
        <v>-0.30466008443972503</v>
      </c>
      <c r="L91" s="345">
        <v>-0.31903868576541389</v>
      </c>
      <c r="M91" s="345">
        <v>-0.93404762352293913</v>
      </c>
      <c r="N91" s="345">
        <v>1.2083699999999999</v>
      </c>
      <c r="Q91" s="345">
        <v>3.8620684097560973E-4</v>
      </c>
      <c r="R91" s="345">
        <v>2.1685820634146338E-3</v>
      </c>
      <c r="S91" s="345">
        <v>23.243401316243219</v>
      </c>
      <c r="T91" s="345">
        <v>5.5413612506924982E-2</v>
      </c>
    </row>
    <row r="92" spans="2:20">
      <c r="B92" s="345">
        <v>8300</v>
      </c>
      <c r="C92" s="390">
        <v>1.3891223742618855</v>
      </c>
      <c r="D92" s="390">
        <v>12.567376882038936</v>
      </c>
      <c r="E92" s="345">
        <v>0.41486284498481801</v>
      </c>
      <c r="F92" s="345">
        <v>0.85729303038297966</v>
      </c>
      <c r="G92" s="345">
        <v>11172.74360265728</v>
      </c>
      <c r="H92" s="345">
        <v>0.47320652437832872</v>
      </c>
      <c r="I92" s="345">
        <v>2.5528916708432621</v>
      </c>
      <c r="J92" s="345">
        <v>0.70381967062808315</v>
      </c>
      <c r="K92" s="345">
        <v>-0.29618032937191685</v>
      </c>
      <c r="L92" s="345">
        <v>-0.34083405670197453</v>
      </c>
      <c r="M92" s="345">
        <v>-0.95276763585144086</v>
      </c>
      <c r="N92" s="345">
        <v>1.21811</v>
      </c>
      <c r="Q92" s="345">
        <v>3.8462923951807231E-4</v>
      </c>
      <c r="R92" s="345">
        <v>2.1597237060240961E-3</v>
      </c>
      <c r="S92" s="345">
        <v>23.338736823862394</v>
      </c>
      <c r="T92" s="345">
        <v>5.5876122789981088E-2</v>
      </c>
    </row>
    <row r="93" spans="2:20">
      <c r="B93" s="345">
        <v>8400</v>
      </c>
      <c r="C93" s="390">
        <v>1.3891223742618855</v>
      </c>
      <c r="D93" s="390">
        <v>12.718791061340609</v>
      </c>
      <c r="E93" s="345">
        <v>0.41486284498481801</v>
      </c>
      <c r="F93" s="345">
        <v>0.85729303038297966</v>
      </c>
      <c r="G93" s="345">
        <v>11172.74360265728</v>
      </c>
      <c r="H93" s="345">
        <v>0.47320652437832872</v>
      </c>
      <c r="I93" s="345">
        <v>2.5836494018172775</v>
      </c>
      <c r="J93" s="345">
        <v>0.71229942569589144</v>
      </c>
      <c r="K93" s="345">
        <v>-0.28770057430410856</v>
      </c>
      <c r="L93" s="345">
        <v>-0.36306086511459579</v>
      </c>
      <c r="M93" s="345">
        <v>-0.97156181755582782</v>
      </c>
      <c r="N93" s="345">
        <v>1.22784</v>
      </c>
      <c r="Q93" s="345">
        <v>3.8308607999999999E-4</v>
      </c>
      <c r="R93" s="345">
        <v>2.1510587428571429E-3</v>
      </c>
      <c r="S93" s="345">
        <v>23.432750665006211</v>
      </c>
      <c r="T93" s="345">
        <v>5.6336405104217203E-2</v>
      </c>
    </row>
    <row r="94" spans="2:20">
      <c r="B94" s="345">
        <v>8500</v>
      </c>
      <c r="C94" s="390">
        <v>1.3891223742618855</v>
      </c>
      <c r="D94" s="390">
        <v>12.870205240642283</v>
      </c>
      <c r="E94" s="345">
        <v>0.41486284498481801</v>
      </c>
      <c r="F94" s="345">
        <v>0.85729303038297966</v>
      </c>
      <c r="G94" s="345">
        <v>11172.74360265728</v>
      </c>
      <c r="H94" s="345">
        <v>0.47320652437832872</v>
      </c>
      <c r="I94" s="345">
        <v>2.6144071327912926</v>
      </c>
      <c r="J94" s="345">
        <v>0.72077918076369962</v>
      </c>
      <c r="K94" s="345">
        <v>-0.27922081923630038</v>
      </c>
      <c r="L94" s="345">
        <v>-0.3857191110032766</v>
      </c>
      <c r="M94" s="345">
        <v>-0.99042651015197569</v>
      </c>
      <c r="N94" s="345">
        <v>1.2375700000000001</v>
      </c>
      <c r="Q94" s="345">
        <v>3.8157923011764711E-4</v>
      </c>
      <c r="R94" s="345">
        <v>2.1425976611764703E-3</v>
      </c>
      <c r="S94" s="345">
        <v>23.52528619837862</v>
      </c>
      <c r="T94" s="345">
        <v>5.6793545622648579E-2</v>
      </c>
    </row>
    <row r="95" spans="2:20">
      <c r="B95" s="345">
        <v>8600</v>
      </c>
      <c r="C95" s="390">
        <v>1.3891223742618855</v>
      </c>
      <c r="D95" s="390">
        <v>13.021619419943956</v>
      </c>
      <c r="E95" s="345">
        <v>0.41486284498481801</v>
      </c>
      <c r="F95" s="345">
        <v>0.85729303038297966</v>
      </c>
      <c r="G95" s="345">
        <v>11172.74360265728</v>
      </c>
      <c r="H95" s="345">
        <v>0.47320652437832872</v>
      </c>
      <c r="I95" s="345">
        <v>2.645164863765308</v>
      </c>
      <c r="J95" s="345">
        <v>0.72925893583150792</v>
      </c>
      <c r="K95" s="345">
        <v>-0.27074106416849208</v>
      </c>
      <c r="L95" s="345">
        <v>-0.40880879436801787</v>
      </c>
      <c r="M95" s="345">
        <v>-1.0093580551557608</v>
      </c>
      <c r="N95" s="345">
        <v>1.24729</v>
      </c>
      <c r="Q95" s="345">
        <v>3.801043758139535E-4</v>
      </c>
      <c r="R95" s="345">
        <v>2.1343162372093024E-3</v>
      </c>
      <c r="S95" s="345">
        <v>23.616567361667002</v>
      </c>
      <c r="T95" s="345">
        <v>5.7248507817725246E-2</v>
      </c>
    </row>
    <row r="96" spans="2:20">
      <c r="B96" s="345">
        <v>8700</v>
      </c>
      <c r="C96" s="390">
        <v>1.3891223742618855</v>
      </c>
      <c r="D96" s="390">
        <v>13.173033599245631</v>
      </c>
      <c r="E96" s="345">
        <v>0.41486284498481801</v>
      </c>
      <c r="F96" s="345">
        <v>0.85729303038297966</v>
      </c>
      <c r="G96" s="345">
        <v>11172.74360265728</v>
      </c>
      <c r="H96" s="345">
        <v>0.47320652437832872</v>
      </c>
      <c r="I96" s="345">
        <v>2.675922594739323</v>
      </c>
      <c r="J96" s="345">
        <v>0.7377386908993161</v>
      </c>
      <c r="K96" s="345">
        <v>-0.2622613091006839</v>
      </c>
      <c r="L96" s="345">
        <v>-0.43232991520881903</v>
      </c>
      <c r="M96" s="345">
        <v>-1.0283527940830586</v>
      </c>
      <c r="N96" s="345">
        <v>1.25702</v>
      </c>
      <c r="Q96" s="345">
        <v>3.7866643862068968E-4</v>
      </c>
      <c r="R96" s="345">
        <v>2.1262421057471263E-3</v>
      </c>
      <c r="S96" s="345">
        <v>23.706248244689696</v>
      </c>
      <c r="T96" s="345">
        <v>5.7699416509513768E-2</v>
      </c>
    </row>
    <row r="97" spans="2:20">
      <c r="B97" s="345">
        <v>8800</v>
      </c>
      <c r="C97" s="390">
        <v>1.3891223742618855</v>
      </c>
      <c r="D97" s="390">
        <v>13.324447778547304</v>
      </c>
      <c r="E97" s="345">
        <v>0.41486284498481801</v>
      </c>
      <c r="F97" s="345">
        <v>0.85729303038297966</v>
      </c>
      <c r="G97" s="345">
        <v>11172.74360265728</v>
      </c>
      <c r="H97" s="345">
        <v>0.47320652437832872</v>
      </c>
      <c r="I97" s="345">
        <v>2.7066803257133381</v>
      </c>
      <c r="J97" s="345">
        <v>0.74621844596712439</v>
      </c>
      <c r="K97" s="345">
        <v>-0.25378155403287561</v>
      </c>
      <c r="L97" s="345">
        <v>-0.45628247352568108</v>
      </c>
      <c r="M97" s="345">
        <v>-1.047407068449745</v>
      </c>
      <c r="N97" s="345">
        <v>1.2667299999999999</v>
      </c>
      <c r="Q97" s="345">
        <v>3.7725522545454539E-4</v>
      </c>
      <c r="R97" s="345">
        <v>2.1183180318181819E-3</v>
      </c>
      <c r="S97" s="345">
        <v>23.794927121443443</v>
      </c>
      <c r="T97" s="345">
        <v>5.8149144983156133E-2</v>
      </c>
    </row>
    <row r="98" spans="2:20">
      <c r="B98" s="345">
        <v>8900</v>
      </c>
      <c r="C98" s="390">
        <v>1.3891223742618855</v>
      </c>
      <c r="D98" s="390">
        <v>13.475861957848979</v>
      </c>
      <c r="E98" s="345">
        <v>0.41486284498481801</v>
      </c>
      <c r="F98" s="345">
        <v>0.85729303038297966</v>
      </c>
      <c r="G98" s="345">
        <v>11172.74360265728</v>
      </c>
      <c r="H98" s="345">
        <v>0.47320652437832872</v>
      </c>
      <c r="I98" s="345">
        <v>2.7374380566873535</v>
      </c>
      <c r="J98" s="345">
        <v>0.75469820103493257</v>
      </c>
      <c r="K98" s="345">
        <v>-0.24530179896506743</v>
      </c>
      <c r="L98" s="345">
        <v>-0.48066646931860213</v>
      </c>
      <c r="M98" s="345">
        <v>-1.0665172197716966</v>
      </c>
      <c r="N98" s="345">
        <v>1.2764500000000001</v>
      </c>
      <c r="Q98" s="345">
        <v>3.7587866966292142E-4</v>
      </c>
      <c r="R98" s="345">
        <v>2.1105885617977529E-3</v>
      </c>
      <c r="S98" s="345">
        <v>23.882069721925848</v>
      </c>
      <c r="T98" s="345">
        <v>5.8594852869463011E-2</v>
      </c>
    </row>
    <row r="99" spans="2:20">
      <c r="B99" s="345">
        <v>9000</v>
      </c>
      <c r="C99" s="390">
        <v>1.3891223742618855</v>
      </c>
      <c r="D99" s="390">
        <v>13.627276137150652</v>
      </c>
      <c r="E99" s="345">
        <v>0.41486284498481801</v>
      </c>
      <c r="F99" s="345">
        <v>0.85729303038297966</v>
      </c>
      <c r="G99" s="345">
        <v>11172.74360265728</v>
      </c>
      <c r="H99" s="345">
        <v>0.47320652437832872</v>
      </c>
      <c r="I99" s="345">
        <v>2.7681957876613685</v>
      </c>
      <c r="J99" s="345">
        <v>0.76317795610274086</v>
      </c>
      <c r="K99" s="345">
        <v>-0.23682204389725914</v>
      </c>
      <c r="L99" s="345">
        <v>-0.50548190258758452</v>
      </c>
      <c r="M99" s="345">
        <v>-1.0856795895647884</v>
      </c>
      <c r="N99" s="345">
        <v>1.28616</v>
      </c>
      <c r="Q99" s="345">
        <v>3.74529792E-4</v>
      </c>
      <c r="R99" s="345">
        <v>2.1030145066666668E-3</v>
      </c>
      <c r="S99" s="345">
        <v>23.968081545498585</v>
      </c>
      <c r="T99" s="345">
        <v>5.9038474748978248E-2</v>
      </c>
    </row>
    <row r="100" spans="2:20">
      <c r="B100" s="345">
        <v>9100</v>
      </c>
      <c r="C100" s="390">
        <v>1.3891223742618855</v>
      </c>
      <c r="D100" s="390">
        <v>13.778690316452327</v>
      </c>
      <c r="E100" s="345">
        <v>0.41486284498481801</v>
      </c>
      <c r="F100" s="345">
        <v>0.85729303038297966</v>
      </c>
      <c r="G100" s="345">
        <v>11172.74360265728</v>
      </c>
      <c r="H100" s="345">
        <v>0.47320652437832872</v>
      </c>
      <c r="I100" s="345">
        <v>2.798953518635384</v>
      </c>
      <c r="J100" s="345">
        <v>0.77165771117054904</v>
      </c>
      <c r="K100" s="345">
        <v>-0.22834228882945096</v>
      </c>
      <c r="L100" s="345">
        <v>-0.53072877333262558</v>
      </c>
      <c r="M100" s="345">
        <v>-1.1048905193448977</v>
      </c>
      <c r="N100" s="345">
        <v>1.29586</v>
      </c>
      <c r="Q100" s="345">
        <v>3.7320768000000001E-4</v>
      </c>
      <c r="R100" s="345">
        <v>2.0955907428571426E-3</v>
      </c>
      <c r="S100" s="345">
        <v>24.052990002442133</v>
      </c>
      <c r="T100" s="345">
        <v>5.9480040284273838E-2</v>
      </c>
    </row>
    <row r="101" spans="2:20">
      <c r="B101" s="345">
        <v>9200</v>
      </c>
      <c r="C101" s="390">
        <v>1.3891223742618855</v>
      </c>
      <c r="D101" s="390">
        <v>13.930104495754</v>
      </c>
      <c r="E101" s="345">
        <v>0.41486284498481801</v>
      </c>
      <c r="F101" s="345">
        <v>0.85729303038297966</v>
      </c>
      <c r="G101" s="345">
        <v>11172.74360265728</v>
      </c>
      <c r="H101" s="345">
        <v>0.47320652437832872</v>
      </c>
      <c r="I101" s="345">
        <v>2.829711249609399</v>
      </c>
      <c r="J101" s="345">
        <v>0.78013746623835734</v>
      </c>
      <c r="K101" s="345">
        <v>-0.21986253376164266</v>
      </c>
      <c r="L101" s="345">
        <v>-0.55640708155372798</v>
      </c>
      <c r="M101" s="345">
        <v>-1.1241463506278988</v>
      </c>
      <c r="N101" s="345">
        <v>1.3055600000000001</v>
      </c>
      <c r="Q101" s="345">
        <v>3.7191430956521742E-4</v>
      </c>
      <c r="R101" s="345">
        <v>2.088328365217391E-3</v>
      </c>
      <c r="S101" s="345">
        <v>24.136636760141908</v>
      </c>
      <c r="T101" s="345">
        <v>5.9918605681430558E-2</v>
      </c>
    </row>
    <row r="102" spans="2:20">
      <c r="B102" s="345">
        <v>9300</v>
      </c>
      <c r="C102" s="390">
        <v>1.3891223742618855</v>
      </c>
      <c r="D102" s="390">
        <v>14.081518675055674</v>
      </c>
      <c r="E102" s="345">
        <v>0.41486284498481801</v>
      </c>
      <c r="F102" s="345">
        <v>0.85729303038297966</v>
      </c>
      <c r="G102" s="345">
        <v>11172.74360265728</v>
      </c>
      <c r="H102" s="345">
        <v>0.47320652437832872</v>
      </c>
      <c r="I102" s="345">
        <v>2.860468980583414</v>
      </c>
      <c r="J102" s="345">
        <v>0.78861722130616552</v>
      </c>
      <c r="K102" s="345">
        <v>-0.21138277869383448</v>
      </c>
      <c r="L102" s="345">
        <v>-0.58251682725088982</v>
      </c>
      <c r="M102" s="345">
        <v>-1.1434434249296686</v>
      </c>
      <c r="N102" s="345">
        <v>1.3152600000000001</v>
      </c>
      <c r="Q102" s="345">
        <v>3.7064875354838716E-4</v>
      </c>
      <c r="R102" s="345">
        <v>2.0812221677419356E-3</v>
      </c>
      <c r="S102" s="345">
        <v>24.219049733571364</v>
      </c>
      <c r="T102" s="345">
        <v>6.0354188449156368E-2</v>
      </c>
    </row>
    <row r="103" spans="2:20">
      <c r="B103" s="345">
        <v>9400</v>
      </c>
      <c r="C103" s="390">
        <v>1.3891223742618855</v>
      </c>
      <c r="D103" s="390">
        <v>14.232932854357347</v>
      </c>
      <c r="E103" s="345">
        <v>0.41486284498481801</v>
      </c>
      <c r="F103" s="345">
        <v>0.85729303038297966</v>
      </c>
      <c r="G103" s="345">
        <v>11172.74360265728</v>
      </c>
      <c r="H103" s="345">
        <v>0.47320652437832872</v>
      </c>
      <c r="I103" s="345">
        <v>2.8912267115574295</v>
      </c>
      <c r="J103" s="345">
        <v>0.79709697637397381</v>
      </c>
      <c r="K103" s="345">
        <v>-0.20290302362602619</v>
      </c>
      <c r="L103" s="345">
        <v>-0.60905801042411212</v>
      </c>
      <c r="M103" s="345">
        <v>-1.1627780837660833</v>
      </c>
      <c r="N103" s="345">
        <v>1.3249500000000001</v>
      </c>
      <c r="Q103" s="345">
        <v>3.694073361702128E-4</v>
      </c>
      <c r="R103" s="345">
        <v>2.0742515106382978E-3</v>
      </c>
      <c r="S103" s="345">
        <v>24.300439425324186</v>
      </c>
      <c r="T103" s="345">
        <v>6.0787787331097097E-2</v>
      </c>
    </row>
    <row r="104" spans="2:20">
      <c r="B104" s="345">
        <v>9500</v>
      </c>
      <c r="C104" s="390">
        <v>1.3891223742618855</v>
      </c>
      <c r="D104" s="390">
        <v>14.384347033659022</v>
      </c>
      <c r="E104" s="345">
        <v>0.41486284498481801</v>
      </c>
      <c r="F104" s="345">
        <v>0.85729303038297966</v>
      </c>
      <c r="G104" s="345">
        <v>11172.74360265728</v>
      </c>
      <c r="H104" s="345">
        <v>0.47320652437832872</v>
      </c>
      <c r="I104" s="345">
        <v>2.9219844425314445</v>
      </c>
      <c r="J104" s="345">
        <v>0.80557673144178199</v>
      </c>
      <c r="K104" s="345">
        <v>-0.19442326855821801</v>
      </c>
      <c r="L104" s="345">
        <v>-0.6360306310733943</v>
      </c>
      <c r="M104" s="345">
        <v>-1.1821466686530178</v>
      </c>
      <c r="N104" s="345">
        <v>1.33464</v>
      </c>
      <c r="Q104" s="345">
        <v>3.6819205389473686E-4</v>
      </c>
      <c r="R104" s="345">
        <v>2.0674276042105264E-3</v>
      </c>
      <c r="S104" s="345">
        <v>24.380647276111521</v>
      </c>
      <c r="T104" s="345">
        <v>6.121844689288608E-2</v>
      </c>
    </row>
    <row r="105" spans="2:20">
      <c r="B105" s="345">
        <v>9600</v>
      </c>
      <c r="C105" s="390">
        <v>1.3891223742618855</v>
      </c>
      <c r="D105" s="390">
        <v>14.535761212960695</v>
      </c>
      <c r="E105" s="345">
        <v>0.41486284498481801</v>
      </c>
      <c r="F105" s="345">
        <v>0.85729303038297966</v>
      </c>
      <c r="G105" s="345">
        <v>11172.74360265728</v>
      </c>
      <c r="H105" s="345">
        <v>0.47320652437832872</v>
      </c>
      <c r="I105" s="345">
        <v>2.9527421735054604</v>
      </c>
      <c r="J105" s="345">
        <v>0.81405648650959028</v>
      </c>
      <c r="K105" s="345">
        <v>-0.18594351349040972</v>
      </c>
      <c r="L105" s="345">
        <v>-0.66343468919873649</v>
      </c>
      <c r="M105" s="345">
        <v>-1.2015455211063493</v>
      </c>
      <c r="N105" s="345">
        <v>1.34432</v>
      </c>
      <c r="Q105" s="345">
        <v>3.6699936000000004E-4</v>
      </c>
      <c r="R105" s="345">
        <v>2.0607305333333334E-3</v>
      </c>
      <c r="S105" s="345">
        <v>24.459880790731141</v>
      </c>
      <c r="T105" s="345">
        <v>6.1647173478175471E-2</v>
      </c>
    </row>
    <row r="106" spans="2:20">
      <c r="B106" s="345">
        <v>9700</v>
      </c>
      <c r="C106" s="390">
        <v>1.3891223742618855</v>
      </c>
      <c r="D106" s="390">
        <v>14.68717539226237</v>
      </c>
      <c r="E106" s="345">
        <v>0.41486284498481801</v>
      </c>
      <c r="F106" s="345">
        <v>0.85729303038297966</v>
      </c>
      <c r="G106" s="345">
        <v>11172.74360265728</v>
      </c>
      <c r="H106" s="345">
        <v>0.47320652437832872</v>
      </c>
      <c r="I106" s="345">
        <v>2.9834999044794754</v>
      </c>
      <c r="J106" s="345">
        <v>0.82253624157739835</v>
      </c>
      <c r="K106" s="345">
        <v>-0.17746375842260165</v>
      </c>
      <c r="L106" s="345">
        <v>-0.6912701848001378</v>
      </c>
      <c r="M106" s="345">
        <v>-1.2209709826419528</v>
      </c>
      <c r="N106" s="345">
        <v>1.3540000000000001</v>
      </c>
      <c r="Q106" s="345">
        <v>3.6583125773195882E-4</v>
      </c>
      <c r="R106" s="345">
        <v>2.0541715463917526E-3</v>
      </c>
      <c r="S106" s="345">
        <v>24.53798139483153</v>
      </c>
      <c r="T106" s="345">
        <v>6.2073004165399001E-2</v>
      </c>
    </row>
    <row r="107" spans="2:20">
      <c r="B107" s="345">
        <v>9800</v>
      </c>
      <c r="C107" s="390">
        <v>1.3891223742618855</v>
      </c>
      <c r="D107" s="390">
        <v>14.838589571564043</v>
      </c>
      <c r="E107" s="345">
        <v>0.41486284498481801</v>
      </c>
      <c r="F107" s="345">
        <v>0.85729303038297966</v>
      </c>
      <c r="G107" s="345">
        <v>11172.74360265728</v>
      </c>
      <c r="H107" s="345">
        <v>0.47320652437832872</v>
      </c>
      <c r="I107" s="345">
        <v>3.0142576354534905</v>
      </c>
      <c r="J107" s="345">
        <v>0.83101599664520653</v>
      </c>
      <c r="K107" s="345">
        <v>-0.16898400335479347</v>
      </c>
      <c r="L107" s="345">
        <v>-0.71953711787760033</v>
      </c>
      <c r="M107" s="345">
        <v>-1.2404193947757043</v>
      </c>
      <c r="N107" s="345">
        <v>1.3636699999999999</v>
      </c>
      <c r="Q107" s="345">
        <v>3.6468432000000002E-4</v>
      </c>
      <c r="R107" s="345">
        <v>2.0477313999999998E-3</v>
      </c>
      <c r="S107" s="345">
        <v>24.615153719454195</v>
      </c>
      <c r="T107" s="345">
        <v>6.2496952503718749E-2</v>
      </c>
    </row>
    <row r="108" spans="2:20">
      <c r="B108" s="345">
        <v>9900</v>
      </c>
      <c r="C108" s="390">
        <v>1.3891223742618855</v>
      </c>
      <c r="D108" s="390">
        <v>14.990003750865718</v>
      </c>
      <c r="E108" s="345">
        <v>0.41486284498481801</v>
      </c>
      <c r="F108" s="345">
        <v>0.85729303038297966</v>
      </c>
      <c r="G108" s="345">
        <v>11172.74360265728</v>
      </c>
      <c r="H108" s="345">
        <v>0.47320652437832872</v>
      </c>
      <c r="I108" s="345">
        <v>3.0450153664275059</v>
      </c>
      <c r="J108" s="345">
        <v>0.83949575171301483</v>
      </c>
      <c r="K108" s="345">
        <v>-0.16050424828698517</v>
      </c>
      <c r="L108" s="345">
        <v>-0.74823548843112331</v>
      </c>
      <c r="M108" s="345">
        <v>-1.2598870990234801</v>
      </c>
      <c r="N108" s="345">
        <v>1.37334</v>
      </c>
      <c r="Q108" s="345">
        <v>3.6356055272727272E-4</v>
      </c>
      <c r="R108" s="345">
        <v>2.0414213575757575E-3</v>
      </c>
      <c r="S108" s="345">
        <v>24.691239268217853</v>
      </c>
      <c r="T108" s="345">
        <v>6.2918048360683029E-2</v>
      </c>
    </row>
    <row r="109" spans="2:20">
      <c r="B109" s="345">
        <v>10000</v>
      </c>
      <c r="C109" s="390">
        <v>1.3891223742618855</v>
      </c>
      <c r="D109" s="390">
        <v>15.141417930167391</v>
      </c>
      <c r="E109" s="345">
        <v>0.41486284498481801</v>
      </c>
      <c r="F109" s="345">
        <v>0.85729303038297966</v>
      </c>
      <c r="G109" s="345">
        <v>11172.74360265728</v>
      </c>
      <c r="H109" s="345">
        <v>0.47320652437832872</v>
      </c>
      <c r="I109" s="345">
        <v>3.0757730974015209</v>
      </c>
      <c r="J109" s="345">
        <v>0.84797550678082301</v>
      </c>
      <c r="K109" s="345">
        <v>-0.15202449321917699</v>
      </c>
      <c r="L109" s="345">
        <v>-0.77736529646070585</v>
      </c>
      <c r="M109" s="345">
        <v>-1.2793704369011558</v>
      </c>
      <c r="N109" s="345">
        <v>1.383</v>
      </c>
      <c r="Q109" s="345">
        <v>3.6245663999999998E-4</v>
      </c>
      <c r="R109" s="345">
        <v>2.0352228E-3</v>
      </c>
      <c r="S109" s="345">
        <v>24.766439913680774</v>
      </c>
      <c r="T109" s="345">
        <v>6.3337312118207409E-2</v>
      </c>
    </row>
    <row r="110" spans="2:20">
      <c r="C110" s="390"/>
      <c r="D110" s="390"/>
    </row>
  </sheetData>
  <mergeCells count="1">
    <mergeCell ref="E7:P7"/>
  </mergeCells>
  <pageMargins left="0.7" right="0.7" top="0.75" bottom="0.75" header="0.3" footer="0.3"/>
  <drawing r:id="rId1"/>
  <legacyDrawing r:id="rId2"/>
  <controls>
    <mc:AlternateContent xmlns:mc="http://schemas.openxmlformats.org/markup-compatibility/2006">
      <mc:Choice Requires="x14">
        <control shapeId="19457" r:id="rId3" name="CommandButton1">
          <controlPr defaultSize="0" autoLine="0" r:id="rId4">
            <anchor moveWithCells="1">
              <from>
                <xdr:col>4</xdr:col>
                <xdr:colOff>180975</xdr:colOff>
                <xdr:row>1</xdr:row>
                <xdr:rowOff>0</xdr:rowOff>
              </from>
              <to>
                <xdr:col>6</xdr:col>
                <xdr:colOff>676275</xdr:colOff>
                <xdr:row>5</xdr:row>
                <xdr:rowOff>9525</xdr:rowOff>
              </to>
            </anchor>
          </controlPr>
        </control>
      </mc:Choice>
      <mc:Fallback>
        <control shapeId="19457"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_Prop"/>
  <dimension ref="B1:HZ84"/>
  <sheetViews>
    <sheetView showGridLines="0" workbookViewId="0">
      <selection activeCell="K37" sqref="K37"/>
    </sheetView>
  </sheetViews>
  <sheetFormatPr defaultColWidth="9" defaultRowHeight="12"/>
  <cols>
    <col min="1" max="1" width="1.7109375" style="346" customWidth="1"/>
    <col min="2" max="2" width="11.42578125" style="346" customWidth="1"/>
    <col min="3" max="4" width="9.140625" style="346" customWidth="1"/>
    <col min="5" max="5" width="11.42578125" style="346" customWidth="1"/>
    <col min="6" max="27" width="3.85546875" style="346" customWidth="1"/>
    <col min="28" max="37" width="6.28515625" style="346" customWidth="1"/>
    <col min="38" max="39" width="9" style="395"/>
    <col min="40" max="41" width="9" style="346"/>
    <col min="42" max="45" width="11.5703125" style="346" customWidth="1"/>
    <col min="46" max="16384" width="9" style="346"/>
  </cols>
  <sheetData>
    <row r="1" spans="2:234">
      <c r="B1" s="391"/>
      <c r="C1" s="392" t="s">
        <v>57</v>
      </c>
      <c r="D1" s="393" t="s">
        <v>265</v>
      </c>
      <c r="E1" s="394" t="s">
        <v>266</v>
      </c>
    </row>
    <row r="2" spans="2:234">
      <c r="B2" s="396" t="s">
        <v>162</v>
      </c>
      <c r="C2" s="397">
        <v>100</v>
      </c>
      <c r="D2" s="398">
        <v>20000</v>
      </c>
      <c r="E2" s="399">
        <v>20</v>
      </c>
      <c r="AN2" s="363" t="s">
        <v>267</v>
      </c>
      <c r="AO2" s="400" t="s">
        <v>168</v>
      </c>
      <c r="AP2" s="400" t="s">
        <v>171</v>
      </c>
      <c r="AQ2" s="400" t="s">
        <v>172</v>
      </c>
      <c r="AR2" s="401" t="s">
        <v>226</v>
      </c>
    </row>
    <row r="3" spans="2:234">
      <c r="B3" s="402" t="s">
        <v>163</v>
      </c>
      <c r="C3" s="403">
        <f>+Reservoir!D22</f>
        <v>250.18700787401576</v>
      </c>
      <c r="D3" s="404">
        <f>+Reservoir!E22</f>
        <v>308.63517060367457</v>
      </c>
      <c r="E3" s="405">
        <v>2</v>
      </c>
      <c r="AN3" s="406"/>
      <c r="AO3" s="407" t="s">
        <v>170</v>
      </c>
      <c r="AP3" s="407" t="s">
        <v>268</v>
      </c>
      <c r="AQ3" s="407" t="s">
        <v>225</v>
      </c>
      <c r="AR3" s="408" t="s">
        <v>182</v>
      </c>
    </row>
    <row r="4" spans="2:234">
      <c r="B4" s="343"/>
      <c r="C4" s="343"/>
      <c r="D4" s="343"/>
      <c r="AM4" s="395" t="s">
        <v>174</v>
      </c>
      <c r="AN4" s="409">
        <v>1.9582999999999999</v>
      </c>
      <c r="AO4" s="410">
        <v>0.21642743356430447</v>
      </c>
      <c r="AP4" s="410">
        <v>25.236938517327776</v>
      </c>
      <c r="AQ4" s="410">
        <v>6.4598682900116874E-2</v>
      </c>
      <c r="AR4" s="411">
        <v>508.1496293651025</v>
      </c>
    </row>
    <row r="5" spans="2:234">
      <c r="B5" s="343"/>
      <c r="C5" s="343"/>
      <c r="D5" s="343"/>
      <c r="AM5" s="395" t="s">
        <v>175</v>
      </c>
      <c r="AN5" s="412">
        <v>0.92017000000000004</v>
      </c>
      <c r="AO5" s="413">
        <v>1.9679242927903543E-3</v>
      </c>
      <c r="AP5" s="413">
        <v>0.22947360954197035</v>
      </c>
      <c r="AQ5" s="413">
        <v>1.4338228691481882E-2</v>
      </c>
      <c r="AR5" s="414">
        <v>4.6204863382205295</v>
      </c>
    </row>
    <row r="6" spans="2:234">
      <c r="B6" s="343"/>
      <c r="C6" s="343"/>
      <c r="D6" s="343"/>
      <c r="AM6" s="415"/>
      <c r="AN6" s="343"/>
      <c r="AO6" s="343"/>
      <c r="AP6" s="343"/>
      <c r="AQ6" s="343"/>
      <c r="AR6" s="343"/>
      <c r="AS6" s="343"/>
      <c r="AT6" s="343"/>
      <c r="AU6" s="343"/>
      <c r="AV6" s="343"/>
      <c r="AW6" s="343"/>
      <c r="AX6" s="343"/>
      <c r="AY6" s="343"/>
      <c r="AZ6" s="343"/>
    </row>
    <row r="7" spans="2:234">
      <c r="AL7" s="416"/>
      <c r="AM7" s="417"/>
      <c r="AN7" s="418" t="s">
        <v>269</v>
      </c>
      <c r="AO7" s="419">
        <v>250.18700787401576</v>
      </c>
      <c r="AP7" s="418" t="s">
        <v>270</v>
      </c>
      <c r="AQ7" s="420">
        <v>1.91</v>
      </c>
      <c r="AR7" s="419"/>
      <c r="AS7" s="418" t="s">
        <v>269</v>
      </c>
      <c r="AT7" s="419">
        <v>308.63517060367457</v>
      </c>
      <c r="AU7" s="418" t="s">
        <v>270</v>
      </c>
      <c r="AV7" s="420">
        <v>2.0672000000000001</v>
      </c>
      <c r="AW7" s="419"/>
      <c r="AX7" s="421"/>
      <c r="AY7" s="421"/>
      <c r="AZ7" s="421"/>
      <c r="BA7" s="421"/>
      <c r="BB7" s="421"/>
      <c r="BC7" s="421"/>
      <c r="BD7" s="421"/>
      <c r="BE7" s="421"/>
      <c r="BF7" s="421"/>
      <c r="BG7" s="421"/>
      <c r="BH7" s="421"/>
      <c r="BI7" s="421"/>
      <c r="BJ7" s="421"/>
      <c r="BK7" s="421"/>
      <c r="BL7" s="421"/>
      <c r="BM7" s="421"/>
      <c r="BN7" s="421"/>
      <c r="BO7" s="421"/>
      <c r="BP7" s="421"/>
      <c r="BQ7" s="421"/>
      <c r="BR7" s="421"/>
      <c r="BS7" s="421"/>
      <c r="BT7" s="421"/>
      <c r="BU7" s="421"/>
      <c r="BV7" s="421"/>
      <c r="BW7" s="421"/>
      <c r="BX7" s="421"/>
      <c r="BY7" s="421"/>
      <c r="BZ7" s="421"/>
      <c r="CA7" s="421"/>
      <c r="CB7" s="421"/>
      <c r="CC7" s="421"/>
      <c r="CD7" s="421"/>
      <c r="CE7" s="421"/>
      <c r="CF7" s="421"/>
      <c r="CG7" s="421"/>
      <c r="CH7" s="421"/>
      <c r="CI7" s="421"/>
      <c r="CJ7" s="421"/>
      <c r="CK7" s="421"/>
      <c r="CL7" s="421"/>
      <c r="CM7" s="421"/>
      <c r="CN7" s="421"/>
      <c r="CO7" s="421"/>
      <c r="CP7" s="421"/>
      <c r="CQ7" s="421"/>
      <c r="CR7" s="421"/>
      <c r="CS7" s="421"/>
      <c r="CT7" s="421"/>
      <c r="CU7" s="421"/>
      <c r="CV7" s="421"/>
      <c r="CW7" s="421"/>
      <c r="CX7" s="421"/>
      <c r="CY7" s="421"/>
      <c r="CZ7" s="421"/>
      <c r="DA7" s="421"/>
      <c r="DB7" s="421"/>
      <c r="DC7" s="421"/>
      <c r="DD7" s="421"/>
      <c r="DE7" s="421"/>
      <c r="DF7" s="421"/>
      <c r="DG7" s="421"/>
      <c r="DH7" s="421"/>
      <c r="DI7" s="421"/>
      <c r="DJ7" s="421"/>
      <c r="DK7" s="421"/>
      <c r="DL7" s="421"/>
      <c r="DM7" s="421"/>
      <c r="DN7" s="421"/>
      <c r="DO7" s="421"/>
      <c r="DP7" s="421"/>
      <c r="DQ7" s="421"/>
      <c r="DR7" s="421"/>
      <c r="DS7" s="421"/>
      <c r="DT7" s="421"/>
      <c r="DU7" s="421"/>
      <c r="DV7" s="421"/>
      <c r="DW7" s="421"/>
      <c r="DX7" s="421"/>
      <c r="DY7" s="421"/>
      <c r="DZ7" s="421"/>
      <c r="EA7" s="421"/>
      <c r="EB7" s="421"/>
      <c r="EC7" s="421"/>
      <c r="ED7" s="421"/>
      <c r="EE7" s="421"/>
      <c r="EF7" s="421"/>
      <c r="EG7" s="421"/>
      <c r="EH7" s="421"/>
      <c r="EI7" s="421"/>
      <c r="EJ7" s="421"/>
      <c r="EK7" s="421"/>
      <c r="EL7" s="421"/>
      <c r="EM7" s="421"/>
      <c r="EN7" s="421"/>
      <c r="EO7" s="421"/>
      <c r="EP7" s="421"/>
      <c r="EQ7" s="421"/>
      <c r="ER7" s="421"/>
      <c r="ES7" s="421"/>
      <c r="ET7" s="421"/>
      <c r="EU7" s="421"/>
      <c r="EV7" s="421"/>
      <c r="EW7" s="421"/>
      <c r="EX7" s="421"/>
      <c r="EY7" s="421"/>
      <c r="EZ7" s="421"/>
      <c r="FA7" s="421"/>
      <c r="FB7" s="421"/>
      <c r="FC7" s="421"/>
      <c r="FD7" s="421"/>
      <c r="FE7" s="421"/>
      <c r="FF7" s="421"/>
      <c r="FG7" s="421"/>
      <c r="FH7" s="421"/>
      <c r="FI7" s="421"/>
      <c r="FJ7" s="421"/>
      <c r="FK7" s="421"/>
      <c r="FL7" s="421"/>
      <c r="FM7" s="421"/>
      <c r="FN7" s="421"/>
      <c r="FO7" s="421"/>
      <c r="FP7" s="421"/>
      <c r="FQ7" s="421"/>
      <c r="FR7" s="421"/>
      <c r="FS7" s="421"/>
      <c r="FT7" s="421"/>
      <c r="FU7" s="421"/>
      <c r="FV7" s="421"/>
      <c r="FW7" s="421"/>
      <c r="FX7" s="421"/>
      <c r="FY7" s="421"/>
      <c r="FZ7" s="421"/>
      <c r="GA7" s="421"/>
      <c r="GB7" s="421"/>
      <c r="GC7" s="421"/>
      <c r="GD7" s="421"/>
      <c r="GE7" s="421"/>
      <c r="GF7" s="421"/>
      <c r="GG7" s="421"/>
      <c r="GH7" s="421"/>
      <c r="GI7" s="421"/>
      <c r="GJ7" s="421"/>
      <c r="GK7" s="421"/>
      <c r="GL7" s="421"/>
      <c r="GM7" s="421"/>
      <c r="GN7" s="421"/>
      <c r="GO7" s="421"/>
      <c r="GP7" s="421"/>
      <c r="GQ7" s="421"/>
      <c r="GR7" s="421"/>
      <c r="GS7" s="421"/>
      <c r="GT7" s="421"/>
      <c r="GU7" s="421"/>
      <c r="GV7" s="421"/>
      <c r="GW7" s="421"/>
      <c r="GX7" s="421"/>
      <c r="GY7" s="421"/>
      <c r="GZ7" s="421"/>
      <c r="HA7" s="421"/>
      <c r="HB7" s="421"/>
      <c r="HC7" s="421"/>
      <c r="HD7" s="421"/>
      <c r="HE7" s="421"/>
      <c r="HF7" s="421"/>
      <c r="HG7" s="421"/>
      <c r="HH7" s="421"/>
      <c r="HI7" s="421"/>
      <c r="HJ7" s="421"/>
      <c r="HK7" s="421"/>
      <c r="HL7" s="421"/>
      <c r="HM7" s="421"/>
      <c r="HN7" s="421"/>
      <c r="HO7" s="421"/>
      <c r="HP7" s="421"/>
      <c r="HQ7" s="421"/>
      <c r="HR7" s="421"/>
      <c r="HS7" s="421"/>
      <c r="HT7" s="421"/>
      <c r="HU7" s="421"/>
      <c r="HV7" s="421"/>
      <c r="HW7" s="421"/>
      <c r="HX7" s="421"/>
      <c r="HY7" s="421"/>
      <c r="HZ7" s="421"/>
    </row>
    <row r="8" spans="2:234">
      <c r="AL8" s="422" t="s">
        <v>162</v>
      </c>
      <c r="AM8" s="423" t="s">
        <v>271</v>
      </c>
      <c r="AN8" s="424" t="s">
        <v>267</v>
      </c>
      <c r="AO8" s="425" t="s">
        <v>168</v>
      </c>
      <c r="AP8" s="425" t="s">
        <v>171</v>
      </c>
      <c r="AQ8" s="425" t="s">
        <v>172</v>
      </c>
      <c r="AR8" s="426" t="s">
        <v>226</v>
      </c>
      <c r="AS8" s="424" t="s">
        <v>267</v>
      </c>
      <c r="AT8" s="425" t="s">
        <v>168</v>
      </c>
      <c r="AU8" s="425" t="s">
        <v>171</v>
      </c>
      <c r="AV8" s="425" t="s">
        <v>172</v>
      </c>
      <c r="AW8" s="427" t="s">
        <v>226</v>
      </c>
      <c r="AX8" s="428"/>
      <c r="AY8" s="428"/>
      <c r="AZ8" s="428"/>
      <c r="BA8" s="428"/>
      <c r="BB8" s="421"/>
      <c r="BC8" s="429"/>
      <c r="BD8" s="429"/>
      <c r="BE8" s="429"/>
      <c r="BF8" s="429"/>
      <c r="BG8" s="421"/>
      <c r="BH8" s="429"/>
      <c r="BI8" s="429"/>
      <c r="BJ8" s="429"/>
      <c r="BK8" s="429"/>
      <c r="BL8" s="421"/>
      <c r="BM8" s="429"/>
      <c r="BN8" s="429"/>
      <c r="BO8" s="429"/>
      <c r="BP8" s="429"/>
      <c r="BQ8" s="421"/>
      <c r="BR8" s="429"/>
      <c r="BS8" s="429"/>
      <c r="BT8" s="429"/>
      <c r="BU8" s="429"/>
      <c r="BV8" s="421"/>
      <c r="BW8" s="429"/>
      <c r="BX8" s="429"/>
      <c r="BY8" s="429"/>
      <c r="BZ8" s="429"/>
      <c r="CA8" s="421"/>
      <c r="CB8" s="429"/>
      <c r="CC8" s="429"/>
      <c r="CD8" s="429"/>
      <c r="CE8" s="429"/>
      <c r="CF8" s="421"/>
      <c r="CG8" s="429"/>
      <c r="CH8" s="429"/>
      <c r="CI8" s="429"/>
      <c r="CJ8" s="429"/>
      <c r="CK8" s="421"/>
      <c r="CL8" s="421"/>
      <c r="CM8" s="421"/>
      <c r="CN8" s="421"/>
      <c r="CO8" s="421"/>
      <c r="CP8" s="421"/>
      <c r="CQ8" s="421"/>
      <c r="CR8" s="421"/>
      <c r="CS8" s="421"/>
      <c r="CT8" s="421"/>
      <c r="CU8" s="421"/>
      <c r="CV8" s="421"/>
      <c r="CW8" s="421"/>
      <c r="CX8" s="421"/>
      <c r="CY8" s="421"/>
      <c r="CZ8" s="421"/>
      <c r="DA8" s="421"/>
      <c r="DB8" s="421"/>
      <c r="DC8" s="421"/>
      <c r="DD8" s="421"/>
      <c r="DE8" s="421"/>
      <c r="DF8" s="421"/>
      <c r="DG8" s="421"/>
      <c r="DH8" s="421"/>
      <c r="DI8" s="421"/>
      <c r="DJ8" s="421"/>
      <c r="DK8" s="421"/>
      <c r="DL8" s="421"/>
      <c r="DM8" s="421"/>
      <c r="DN8" s="421"/>
      <c r="DO8" s="421"/>
      <c r="DP8" s="421"/>
      <c r="DQ8" s="421"/>
      <c r="DR8" s="421"/>
      <c r="DS8" s="421"/>
      <c r="DT8" s="421"/>
      <c r="DU8" s="421"/>
      <c r="DV8" s="421"/>
      <c r="DW8" s="421"/>
      <c r="DX8" s="421"/>
      <c r="DY8" s="421"/>
      <c r="DZ8" s="421"/>
      <c r="EA8" s="421"/>
      <c r="EB8" s="421"/>
      <c r="EC8" s="421"/>
      <c r="ED8" s="421"/>
      <c r="EE8" s="421"/>
      <c r="EF8" s="421"/>
      <c r="EG8" s="421"/>
      <c r="EH8" s="421"/>
      <c r="EI8" s="421"/>
      <c r="EJ8" s="421"/>
      <c r="EK8" s="421"/>
      <c r="EL8" s="421"/>
      <c r="EM8" s="421"/>
      <c r="EN8" s="421"/>
      <c r="EO8" s="421"/>
      <c r="EP8" s="421"/>
      <c r="EQ8" s="421"/>
      <c r="ER8" s="421"/>
      <c r="ES8" s="421"/>
      <c r="ET8" s="421"/>
      <c r="EU8" s="421"/>
      <c r="EV8" s="421"/>
      <c r="EW8" s="421"/>
      <c r="EX8" s="421"/>
      <c r="EY8" s="421"/>
      <c r="EZ8" s="421"/>
      <c r="FA8" s="421"/>
      <c r="FB8" s="421"/>
      <c r="FC8" s="421"/>
      <c r="FD8" s="421"/>
      <c r="FE8" s="421"/>
      <c r="FF8" s="421"/>
      <c r="FG8" s="421"/>
      <c r="FH8" s="421"/>
      <c r="FI8" s="421"/>
      <c r="FJ8" s="421"/>
      <c r="FK8" s="421"/>
      <c r="FL8" s="421"/>
      <c r="FM8" s="421"/>
      <c r="FN8" s="421"/>
      <c r="FO8" s="421"/>
      <c r="FP8" s="421"/>
      <c r="FQ8" s="421"/>
      <c r="FR8" s="421"/>
      <c r="FS8" s="421"/>
      <c r="FT8" s="421"/>
      <c r="FU8" s="421"/>
      <c r="FV8" s="421"/>
      <c r="FW8" s="421"/>
      <c r="FX8" s="421"/>
      <c r="FY8" s="421"/>
      <c r="FZ8" s="421"/>
      <c r="GA8" s="421"/>
      <c r="GB8" s="421"/>
      <c r="GC8" s="421"/>
      <c r="GD8" s="421"/>
      <c r="GE8" s="421"/>
      <c r="GF8" s="421"/>
      <c r="GG8" s="421"/>
      <c r="GH8" s="421"/>
      <c r="GI8" s="421"/>
      <c r="GJ8" s="421"/>
      <c r="GK8" s="421"/>
      <c r="GL8" s="421"/>
      <c r="GM8" s="421"/>
      <c r="GN8" s="421"/>
      <c r="GO8" s="421"/>
      <c r="GP8" s="421"/>
      <c r="GQ8" s="421"/>
      <c r="GR8" s="421"/>
      <c r="GS8" s="421"/>
      <c r="GT8" s="421"/>
      <c r="GU8" s="421"/>
      <c r="GV8" s="421"/>
      <c r="GW8" s="421"/>
      <c r="GX8" s="421"/>
      <c r="GY8" s="421"/>
      <c r="GZ8" s="421"/>
      <c r="HA8" s="421"/>
      <c r="HB8" s="421"/>
      <c r="HC8" s="421"/>
      <c r="HD8" s="421"/>
      <c r="HE8" s="421"/>
      <c r="HF8" s="421"/>
      <c r="HG8" s="421"/>
      <c r="HH8" s="421"/>
      <c r="HI8" s="421"/>
      <c r="HJ8" s="421"/>
      <c r="HK8" s="421"/>
      <c r="HL8" s="421"/>
      <c r="HM8" s="421"/>
      <c r="HN8" s="421"/>
      <c r="HO8" s="421"/>
      <c r="HP8" s="421"/>
      <c r="HQ8" s="421"/>
      <c r="HR8" s="421"/>
      <c r="HS8" s="421"/>
      <c r="HT8" s="421"/>
      <c r="HU8" s="421"/>
      <c r="HV8" s="421"/>
      <c r="HW8" s="421"/>
      <c r="HX8" s="421"/>
      <c r="HY8" s="421"/>
      <c r="HZ8" s="421"/>
    </row>
    <row r="9" spans="2:234">
      <c r="AL9" s="430" t="s">
        <v>161</v>
      </c>
      <c r="AM9" s="431" t="s">
        <v>161</v>
      </c>
      <c r="AN9" s="432"/>
      <c r="AO9" s="433" t="s">
        <v>170</v>
      </c>
      <c r="AP9" s="433" t="s">
        <v>268</v>
      </c>
      <c r="AQ9" s="433" t="s">
        <v>225</v>
      </c>
      <c r="AR9" s="434" t="s">
        <v>182</v>
      </c>
      <c r="AS9" s="432"/>
      <c r="AT9" s="433" t="s">
        <v>170</v>
      </c>
      <c r="AU9" s="433" t="s">
        <v>268</v>
      </c>
      <c r="AV9" s="433" t="s">
        <v>225</v>
      </c>
      <c r="AW9" s="435" t="s">
        <v>182</v>
      </c>
      <c r="AX9" s="429"/>
      <c r="AY9" s="429"/>
      <c r="AZ9" s="429"/>
      <c r="BA9" s="429"/>
      <c r="BB9" s="421"/>
      <c r="BC9" s="429"/>
      <c r="BD9" s="429"/>
      <c r="BE9" s="429"/>
      <c r="BF9" s="429"/>
      <c r="BG9" s="421"/>
      <c r="BH9" s="429"/>
      <c r="BI9" s="429"/>
      <c r="BJ9" s="429"/>
      <c r="BK9" s="429"/>
      <c r="BL9" s="421"/>
      <c r="BM9" s="429"/>
      <c r="BN9" s="429"/>
      <c r="BO9" s="429"/>
      <c r="BP9" s="429"/>
      <c r="BQ9" s="421"/>
      <c r="BR9" s="429"/>
      <c r="BS9" s="429"/>
      <c r="BT9" s="429"/>
      <c r="BU9" s="429"/>
      <c r="BV9" s="421"/>
      <c r="BW9" s="429"/>
      <c r="BX9" s="429"/>
      <c r="BY9" s="429"/>
      <c r="BZ9" s="429"/>
      <c r="CA9" s="421"/>
      <c r="CB9" s="429"/>
      <c r="CC9" s="429"/>
      <c r="CD9" s="429"/>
      <c r="CE9" s="429"/>
      <c r="CF9" s="421"/>
      <c r="CG9" s="429"/>
      <c r="CH9" s="429"/>
      <c r="CI9" s="429"/>
      <c r="CJ9" s="429"/>
      <c r="CK9" s="421"/>
      <c r="CL9" s="421"/>
      <c r="CM9" s="421"/>
      <c r="CN9" s="421"/>
      <c r="CO9" s="421"/>
      <c r="CP9" s="421"/>
      <c r="CQ9" s="421"/>
      <c r="CR9" s="421"/>
      <c r="CS9" s="421"/>
      <c r="CT9" s="421"/>
      <c r="CU9" s="421"/>
      <c r="CV9" s="421"/>
      <c r="CW9" s="421"/>
      <c r="CX9" s="421"/>
      <c r="CY9" s="421"/>
      <c r="CZ9" s="421"/>
      <c r="DA9" s="421"/>
      <c r="DB9" s="421"/>
      <c r="DC9" s="421"/>
      <c r="DD9" s="421"/>
      <c r="DE9" s="421"/>
      <c r="DF9" s="421"/>
      <c r="DG9" s="421"/>
      <c r="DH9" s="421"/>
      <c r="DI9" s="421"/>
      <c r="DJ9" s="421"/>
      <c r="DK9" s="421"/>
      <c r="DL9" s="421"/>
      <c r="DM9" s="421"/>
      <c r="DN9" s="421"/>
      <c r="DO9" s="421"/>
      <c r="DP9" s="421"/>
      <c r="DQ9" s="421"/>
      <c r="DR9" s="421"/>
      <c r="DS9" s="421"/>
      <c r="DT9" s="421"/>
      <c r="DU9" s="421"/>
      <c r="DV9" s="421"/>
      <c r="DW9" s="421"/>
      <c r="DX9" s="421"/>
      <c r="DY9" s="421"/>
      <c r="DZ9" s="421"/>
      <c r="EA9" s="421"/>
      <c r="EB9" s="421"/>
      <c r="EC9" s="421"/>
      <c r="ED9" s="421"/>
      <c r="EE9" s="421"/>
      <c r="EF9" s="421"/>
      <c r="EG9" s="421"/>
      <c r="EH9" s="421"/>
      <c r="EI9" s="421"/>
      <c r="EJ9" s="421"/>
      <c r="EK9" s="421"/>
      <c r="EL9" s="421"/>
      <c r="EM9" s="421"/>
      <c r="EN9" s="421"/>
      <c r="EO9" s="421"/>
      <c r="EP9" s="421"/>
      <c r="EQ9" s="421"/>
      <c r="ER9" s="421"/>
      <c r="ES9" s="421"/>
      <c r="ET9" s="421"/>
      <c r="EU9" s="421"/>
      <c r="EV9" s="421"/>
      <c r="EW9" s="421"/>
      <c r="EX9" s="421"/>
      <c r="EY9" s="421"/>
      <c r="EZ9" s="421"/>
      <c r="FA9" s="421"/>
      <c r="FB9" s="421"/>
      <c r="FC9" s="421"/>
      <c r="FD9" s="421"/>
      <c r="FE9" s="421"/>
      <c r="FF9" s="421"/>
      <c r="FG9" s="421"/>
      <c r="FH9" s="421"/>
      <c r="FI9" s="421"/>
      <c r="FJ9" s="421"/>
      <c r="FK9" s="421"/>
      <c r="FL9" s="421"/>
      <c r="FM9" s="421"/>
      <c r="FN9" s="421"/>
      <c r="FO9" s="421"/>
      <c r="FP9" s="421"/>
      <c r="FQ9" s="421"/>
      <c r="FR9" s="421"/>
      <c r="FS9" s="421"/>
      <c r="FT9" s="421"/>
      <c r="FU9" s="421"/>
      <c r="FV9" s="421"/>
      <c r="FW9" s="421"/>
      <c r="FX9" s="421"/>
      <c r="FY9" s="421"/>
      <c r="FZ9" s="421"/>
      <c r="GA9" s="421"/>
      <c r="GB9" s="421"/>
      <c r="GC9" s="421"/>
      <c r="GD9" s="421"/>
      <c r="GE9" s="421"/>
      <c r="GF9" s="421"/>
      <c r="GG9" s="421"/>
      <c r="GH9" s="421"/>
      <c r="GI9" s="421"/>
      <c r="GJ9" s="421"/>
      <c r="GK9" s="421"/>
      <c r="GL9" s="421"/>
      <c r="GM9" s="421"/>
      <c r="GN9" s="421"/>
      <c r="GO9" s="421"/>
      <c r="GP9" s="421"/>
      <c r="GQ9" s="421"/>
      <c r="GR9" s="421"/>
      <c r="GS9" s="421"/>
      <c r="GT9" s="421"/>
      <c r="GU9" s="421"/>
      <c r="GV9" s="421"/>
      <c r="GW9" s="421"/>
      <c r="GX9" s="421"/>
      <c r="GY9" s="421"/>
      <c r="GZ9" s="421"/>
      <c r="HA9" s="421"/>
      <c r="HB9" s="421"/>
      <c r="HC9" s="421"/>
      <c r="HD9" s="421"/>
      <c r="HE9" s="421"/>
      <c r="HF9" s="421"/>
      <c r="HG9" s="421"/>
      <c r="HH9" s="421"/>
      <c r="HI9" s="421"/>
      <c r="HJ9" s="421"/>
      <c r="HK9" s="421"/>
      <c r="HL9" s="421"/>
      <c r="HM9" s="421"/>
      <c r="HN9" s="421"/>
      <c r="HO9" s="421"/>
      <c r="HP9" s="421"/>
      <c r="HQ9" s="421"/>
      <c r="HR9" s="421"/>
      <c r="HS9" s="421"/>
      <c r="HT9" s="421"/>
      <c r="HU9" s="421"/>
      <c r="HV9" s="421"/>
      <c r="HW9" s="421"/>
      <c r="HX9" s="421"/>
      <c r="HY9" s="421"/>
      <c r="HZ9" s="421"/>
    </row>
    <row r="10" spans="2:234">
      <c r="AH10" s="388"/>
      <c r="AI10" s="388"/>
      <c r="AJ10" s="436"/>
      <c r="AL10" s="437">
        <v>100</v>
      </c>
      <c r="AM10" s="438">
        <v>0.1512</v>
      </c>
      <c r="AN10" s="438">
        <v>0.99287000000000003</v>
      </c>
      <c r="AO10" s="438">
        <v>0.19954991498572835</v>
      </c>
      <c r="AP10" s="438">
        <v>0.2488820122396839</v>
      </c>
      <c r="AQ10" s="438">
        <v>1.4338228691481882E-2</v>
      </c>
      <c r="AR10" s="439">
        <v>5.0112775045357409</v>
      </c>
      <c r="AS10" s="438">
        <v>0.99495999999999996</v>
      </c>
      <c r="AT10" s="438">
        <v>0.21642743356430447</v>
      </c>
      <c r="AU10" s="438">
        <v>0.22947360954197035</v>
      </c>
      <c r="AV10" s="438">
        <v>1.5428793451645734E-2</v>
      </c>
      <c r="AW10" s="440">
        <v>4.6204863382205295</v>
      </c>
      <c r="AX10" s="438"/>
      <c r="AY10" s="438"/>
      <c r="AZ10" s="438"/>
      <c r="BA10" s="438"/>
      <c r="BC10" s="438"/>
      <c r="BD10" s="438"/>
      <c r="BE10" s="438"/>
      <c r="BF10" s="438"/>
      <c r="BH10" s="438"/>
      <c r="BI10" s="438"/>
      <c r="BJ10" s="438"/>
      <c r="BK10" s="438"/>
      <c r="BM10" s="438"/>
      <c r="BN10" s="438"/>
      <c r="BO10" s="438"/>
      <c r="BP10" s="438"/>
      <c r="BR10" s="438"/>
      <c r="BS10" s="438"/>
      <c r="BT10" s="438"/>
      <c r="BU10" s="438"/>
      <c r="BW10" s="438"/>
      <c r="BX10" s="438"/>
      <c r="BY10" s="438"/>
      <c r="BZ10" s="438"/>
      <c r="CB10" s="438"/>
      <c r="CC10" s="438"/>
      <c r="CD10" s="438"/>
      <c r="CE10" s="438"/>
      <c r="CG10" s="438"/>
      <c r="CH10" s="438"/>
      <c r="CI10" s="438"/>
      <c r="CJ10" s="438"/>
    </row>
    <row r="11" spans="2:234">
      <c r="AH11" s="388"/>
      <c r="AI11" s="388"/>
      <c r="AJ11" s="436"/>
      <c r="AL11" s="437">
        <v>1147.3699999999999</v>
      </c>
      <c r="AM11" s="438">
        <v>1.7350000000000001</v>
      </c>
      <c r="AN11" s="438">
        <v>0.93786000000000003</v>
      </c>
      <c r="AO11" s="438">
        <v>1.6428339975678032E-2</v>
      </c>
      <c r="AP11" s="438">
        <v>3.0230920748799619</v>
      </c>
      <c r="AQ11" s="438">
        <v>1.5635978579457054E-2</v>
      </c>
      <c r="AR11" s="439">
        <v>60.870422786507248</v>
      </c>
      <c r="AS11" s="438">
        <v>0.95823999999999998</v>
      </c>
      <c r="AT11" s="438">
        <v>1.8166760621580839E-2</v>
      </c>
      <c r="AU11" s="438">
        <v>2.7338051851086824</v>
      </c>
      <c r="AV11" s="438">
        <v>1.6531560784204959E-2</v>
      </c>
      <c r="AW11" s="440">
        <v>55.045586873207874</v>
      </c>
      <c r="AX11" s="438"/>
      <c r="AY11" s="438"/>
      <c r="AZ11" s="438"/>
      <c r="BA11" s="438"/>
      <c r="BC11" s="438"/>
      <c r="BD11" s="438"/>
      <c r="BE11" s="438"/>
      <c r="BF11" s="438"/>
      <c r="BH11" s="438"/>
      <c r="BI11" s="438"/>
      <c r="BJ11" s="438"/>
      <c r="BK11" s="438"/>
      <c r="BM11" s="438"/>
      <c r="BN11" s="438"/>
      <c r="BO11" s="438"/>
      <c r="BP11" s="438"/>
      <c r="BR11" s="438"/>
      <c r="BS11" s="438"/>
      <c r="BT11" s="438"/>
      <c r="BU11" s="438"/>
      <c r="BW11" s="438"/>
      <c r="BX11" s="438"/>
      <c r="BY11" s="438"/>
      <c r="BZ11" s="438"/>
      <c r="CB11" s="438"/>
      <c r="CC11" s="438"/>
      <c r="CD11" s="438"/>
      <c r="CE11" s="438"/>
      <c r="CG11" s="438"/>
      <c r="CH11" s="438"/>
      <c r="CI11" s="438"/>
      <c r="CJ11" s="438"/>
    </row>
    <row r="12" spans="2:234">
      <c r="AH12" s="388"/>
      <c r="AI12" s="388"/>
      <c r="AJ12" s="436"/>
      <c r="AL12" s="437">
        <v>2194.7399999999998</v>
      </c>
      <c r="AM12" s="438">
        <v>3.3187000000000002</v>
      </c>
      <c r="AN12" s="438">
        <v>0.92017000000000004</v>
      </c>
      <c r="AO12" s="438">
        <v>8.4264403285595358E-3</v>
      </c>
      <c r="AP12" s="438">
        <v>5.8938748092215851</v>
      </c>
      <c r="AQ12" s="438">
        <v>1.7778676950849923E-2</v>
      </c>
      <c r="AR12" s="439">
        <v>118.67407363115402</v>
      </c>
      <c r="AS12" s="438">
        <v>0.95</v>
      </c>
      <c r="AT12" s="438">
        <v>9.4155829673126627E-3</v>
      </c>
      <c r="AU12" s="438">
        <v>5.2747009459023255</v>
      </c>
      <c r="AV12" s="438">
        <v>1.8315599354740142E-2</v>
      </c>
      <c r="AW12" s="440">
        <v>106.20691288809425</v>
      </c>
      <c r="AX12" s="438"/>
      <c r="AY12" s="438"/>
      <c r="AZ12" s="438"/>
      <c r="BA12" s="438"/>
      <c r="BC12" s="438"/>
      <c r="BD12" s="438"/>
      <c r="BE12" s="438"/>
      <c r="BF12" s="438"/>
      <c r="BH12" s="438"/>
      <c r="BI12" s="438"/>
      <c r="BJ12" s="438"/>
      <c r="BK12" s="438"/>
      <c r="BM12" s="438"/>
      <c r="BN12" s="438"/>
      <c r="BO12" s="438"/>
      <c r="BP12" s="438"/>
      <c r="BR12" s="438"/>
      <c r="BS12" s="438"/>
      <c r="BT12" s="438"/>
      <c r="BU12" s="438"/>
      <c r="BW12" s="438"/>
      <c r="BX12" s="438"/>
      <c r="BY12" s="438"/>
      <c r="BZ12" s="438"/>
      <c r="CB12" s="438"/>
      <c r="CC12" s="438"/>
      <c r="CD12" s="438"/>
      <c r="CE12" s="438"/>
      <c r="CG12" s="438"/>
      <c r="CH12" s="438"/>
      <c r="CI12" s="438"/>
      <c r="CJ12" s="438"/>
    </row>
    <row r="13" spans="2:234">
      <c r="AH13" s="388"/>
      <c r="AI13" s="388"/>
      <c r="AJ13" s="436"/>
      <c r="AL13" s="437">
        <v>3242.11</v>
      </c>
      <c r="AM13" s="438">
        <v>4.9024000000000001</v>
      </c>
      <c r="AN13" s="438">
        <v>0.93423</v>
      </c>
      <c r="AO13" s="438">
        <v>5.791422140754573E-3</v>
      </c>
      <c r="AP13" s="438">
        <v>8.5755075656486461</v>
      </c>
      <c r="AQ13" s="438">
        <v>2.0471763987232282E-2</v>
      </c>
      <c r="AR13" s="439">
        <v>172.66916064759675</v>
      </c>
      <c r="AS13" s="438">
        <v>0.96531999999999996</v>
      </c>
      <c r="AT13" s="438">
        <v>6.4766472919506237E-3</v>
      </c>
      <c r="AU13" s="438">
        <v>7.6682243366302121</v>
      </c>
      <c r="AV13" s="438">
        <v>2.0540304185978173E-2</v>
      </c>
      <c r="AW13" s="440">
        <v>154.40087361910702</v>
      </c>
      <c r="AX13" s="438"/>
      <c r="AY13" s="438"/>
      <c r="AZ13" s="438"/>
      <c r="BA13" s="438"/>
      <c r="BC13" s="438"/>
      <c r="BD13" s="438"/>
      <c r="BE13" s="438"/>
      <c r="BF13" s="438"/>
      <c r="BH13" s="438"/>
      <c r="BI13" s="438"/>
      <c r="BJ13" s="438"/>
      <c r="BK13" s="438"/>
      <c r="BM13" s="438"/>
      <c r="BN13" s="438"/>
      <c r="BO13" s="438"/>
      <c r="BP13" s="438"/>
      <c r="BR13" s="438"/>
      <c r="BS13" s="438"/>
      <c r="BT13" s="438"/>
      <c r="BU13" s="438"/>
      <c r="BW13" s="438"/>
      <c r="BX13" s="438"/>
      <c r="BY13" s="438"/>
      <c r="BZ13" s="438"/>
      <c r="CB13" s="438"/>
      <c r="CC13" s="438"/>
      <c r="CD13" s="438"/>
      <c r="CE13" s="438"/>
      <c r="CG13" s="438"/>
      <c r="CH13" s="438"/>
      <c r="CI13" s="438"/>
      <c r="CJ13" s="438"/>
    </row>
    <row r="14" spans="2:234">
      <c r="AH14" s="388"/>
      <c r="AI14" s="388"/>
      <c r="AJ14" s="436"/>
      <c r="AL14" s="437">
        <v>4289.47</v>
      </c>
      <c r="AM14" s="438">
        <v>6.4862000000000002</v>
      </c>
      <c r="AN14" s="438">
        <v>0.97004000000000001</v>
      </c>
      <c r="AO14" s="438">
        <v>4.5451180413530155E-3</v>
      </c>
      <c r="AP14" s="438">
        <v>10.926973498167179</v>
      </c>
      <c r="AQ14" s="438">
        <v>2.3466909328889191E-2</v>
      </c>
      <c r="AR14" s="439">
        <v>220.01628800432971</v>
      </c>
      <c r="AS14" s="438">
        <v>0.99741000000000002</v>
      </c>
      <c r="AT14" s="438">
        <v>5.0579760846874442E-3</v>
      </c>
      <c r="AU14" s="438">
        <v>9.8190231729762942</v>
      </c>
      <c r="AV14" s="438">
        <v>2.3034916875383549E-2</v>
      </c>
      <c r="AW14" s="440">
        <v>197.70753820434376</v>
      </c>
      <c r="AX14" s="438"/>
      <c r="AY14" s="438"/>
      <c r="AZ14" s="438"/>
      <c r="BA14" s="438"/>
      <c r="BC14" s="438"/>
      <c r="BD14" s="438"/>
      <c r="BE14" s="438"/>
      <c r="BF14" s="438"/>
      <c r="BH14" s="438"/>
      <c r="BI14" s="438"/>
      <c r="BJ14" s="438"/>
      <c r="BK14" s="438"/>
      <c r="BM14" s="438"/>
      <c r="BN14" s="438"/>
      <c r="BO14" s="438"/>
      <c r="BP14" s="438"/>
      <c r="BR14" s="438"/>
      <c r="BS14" s="438"/>
      <c r="BT14" s="438"/>
      <c r="BU14" s="438"/>
      <c r="BW14" s="438"/>
      <c r="BX14" s="438"/>
      <c r="BY14" s="438"/>
      <c r="BZ14" s="438"/>
      <c r="CB14" s="438"/>
      <c r="CC14" s="438"/>
      <c r="CD14" s="438"/>
      <c r="CE14" s="438"/>
      <c r="CG14" s="438"/>
      <c r="CH14" s="438"/>
      <c r="CI14" s="438"/>
      <c r="CJ14" s="438"/>
    </row>
    <row r="15" spans="2:234">
      <c r="AH15" s="388"/>
      <c r="AI15" s="388"/>
      <c r="AJ15" s="436"/>
      <c r="AL15" s="437">
        <v>5336.84</v>
      </c>
      <c r="AM15" s="438">
        <v>8.0699000000000005</v>
      </c>
      <c r="AN15" s="438">
        <v>1.01922</v>
      </c>
      <c r="AO15" s="438">
        <v>3.8383353260130577E-3</v>
      </c>
      <c r="AP15" s="438">
        <v>12.93904262280626</v>
      </c>
      <c r="AQ15" s="438">
        <v>2.6588730314624998E-2</v>
      </c>
      <c r="AR15" s="439">
        <v>260.52960855786318</v>
      </c>
      <c r="AS15" s="438">
        <v>1.0405599999999999</v>
      </c>
      <c r="AT15" s="438">
        <v>4.2412085937354451E-3</v>
      </c>
      <c r="AU15" s="438">
        <v>11.709960330002067</v>
      </c>
      <c r="AV15" s="438">
        <v>2.5673999479795748E-2</v>
      </c>
      <c r="AW15" s="440">
        <v>235.78184800367242</v>
      </c>
      <c r="AX15" s="438"/>
      <c r="AY15" s="438"/>
      <c r="AZ15" s="438"/>
      <c r="BA15" s="438"/>
      <c r="BC15" s="438"/>
      <c r="BD15" s="438"/>
      <c r="BE15" s="438"/>
      <c r="BF15" s="438"/>
      <c r="BH15" s="438"/>
      <c r="BI15" s="438"/>
      <c r="BJ15" s="438"/>
      <c r="BK15" s="438"/>
      <c r="BM15" s="438"/>
      <c r="BN15" s="438"/>
      <c r="BO15" s="438"/>
      <c r="BP15" s="438"/>
      <c r="BR15" s="438"/>
      <c r="BS15" s="438"/>
      <c r="BT15" s="438"/>
      <c r="BU15" s="438"/>
      <c r="BW15" s="438"/>
      <c r="BX15" s="438"/>
      <c r="BY15" s="438"/>
      <c r="BZ15" s="438"/>
      <c r="CB15" s="438"/>
      <c r="CC15" s="438"/>
      <c r="CD15" s="438"/>
      <c r="CE15" s="438"/>
      <c r="CG15" s="438"/>
      <c r="CH15" s="438"/>
      <c r="CI15" s="438"/>
      <c r="CJ15" s="438"/>
    </row>
    <row r="16" spans="2:234">
      <c r="AH16" s="388"/>
      <c r="AI16" s="388"/>
      <c r="AJ16" s="436"/>
      <c r="AL16" s="437">
        <v>6384.21</v>
      </c>
      <c r="AM16" s="438">
        <v>9.6537000000000006</v>
      </c>
      <c r="AN16" s="438">
        <v>1.0763499999999999</v>
      </c>
      <c r="AO16" s="438">
        <v>3.3884845488608719E-3</v>
      </c>
      <c r="AP16" s="438">
        <v>14.656812999369262</v>
      </c>
      <c r="AQ16" s="438">
        <v>2.9735647092798936E-2</v>
      </c>
      <c r="AR16" s="439">
        <v>295.11717866211791</v>
      </c>
      <c r="AS16" s="438">
        <v>1.0907899999999999</v>
      </c>
      <c r="AT16" s="438">
        <v>3.7165559222081877E-3</v>
      </c>
      <c r="AU16" s="438">
        <v>13.363012806329008</v>
      </c>
      <c r="AV16" s="438">
        <v>2.837608058525393E-2</v>
      </c>
      <c r="AW16" s="440">
        <v>269.06631325645469</v>
      </c>
      <c r="AX16" s="438"/>
      <c r="AY16" s="438"/>
      <c r="AZ16" s="438"/>
      <c r="BA16" s="438"/>
      <c r="BC16" s="438"/>
      <c r="BD16" s="438"/>
      <c r="BE16" s="438"/>
      <c r="BF16" s="438"/>
      <c r="BH16" s="438"/>
      <c r="BI16" s="438"/>
      <c r="BJ16" s="438"/>
      <c r="BK16" s="438"/>
      <c r="BM16" s="438"/>
      <c r="BN16" s="438"/>
      <c r="BO16" s="438"/>
      <c r="BP16" s="438"/>
      <c r="BR16" s="438"/>
      <c r="BS16" s="438"/>
      <c r="BT16" s="438"/>
      <c r="BU16" s="438"/>
      <c r="BW16" s="438"/>
      <c r="BX16" s="438"/>
      <c r="BY16" s="438"/>
      <c r="BZ16" s="438"/>
      <c r="CB16" s="438"/>
      <c r="CC16" s="438"/>
      <c r="CD16" s="438"/>
      <c r="CE16" s="438"/>
      <c r="CG16" s="438"/>
      <c r="CH16" s="438"/>
      <c r="CI16" s="438"/>
      <c r="CJ16" s="438"/>
    </row>
    <row r="17" spans="34:88">
      <c r="AH17" s="388"/>
      <c r="AI17" s="388"/>
      <c r="AJ17" s="436"/>
      <c r="AL17" s="437">
        <v>7431.58</v>
      </c>
      <c r="AM17" s="438">
        <v>11.237399999999999</v>
      </c>
      <c r="AN17" s="438">
        <v>1.1382300000000001</v>
      </c>
      <c r="AO17" s="438">
        <v>3.0782793525226237E-3</v>
      </c>
      <c r="AP17" s="438">
        <v>16.133813308141242</v>
      </c>
      <c r="AQ17" s="438">
        <v>3.2853636666607282E-2</v>
      </c>
      <c r="AR17" s="439">
        <v>324.8568065079956</v>
      </c>
      <c r="AS17" s="438">
        <v>1.1455599999999999</v>
      </c>
      <c r="AT17" s="438">
        <v>3.3530758036433564E-3</v>
      </c>
      <c r="AU17" s="438">
        <v>14.811590101822935</v>
      </c>
      <c r="AV17" s="438">
        <v>3.1091128425236241E-2</v>
      </c>
      <c r="AW17" s="440">
        <v>298.23363936879343</v>
      </c>
      <c r="AX17" s="438"/>
      <c r="AY17" s="438"/>
      <c r="AZ17" s="438"/>
      <c r="BA17" s="438"/>
      <c r="BC17" s="438"/>
      <c r="BD17" s="438"/>
      <c r="BE17" s="438"/>
      <c r="BF17" s="438"/>
      <c r="BH17" s="438"/>
      <c r="BI17" s="438"/>
      <c r="BJ17" s="438"/>
      <c r="BK17" s="438"/>
      <c r="BM17" s="438"/>
      <c r="BN17" s="438"/>
      <c r="BO17" s="438"/>
      <c r="BP17" s="438"/>
      <c r="BR17" s="438"/>
      <c r="BS17" s="438"/>
      <c r="BT17" s="438"/>
      <c r="BU17" s="438"/>
      <c r="BW17" s="438"/>
      <c r="BX17" s="438"/>
      <c r="BY17" s="438"/>
      <c r="BZ17" s="438"/>
      <c r="CB17" s="438"/>
      <c r="CC17" s="438"/>
      <c r="CD17" s="438"/>
      <c r="CE17" s="438"/>
      <c r="CG17" s="438"/>
      <c r="CH17" s="438"/>
      <c r="CI17" s="438"/>
      <c r="CJ17" s="438"/>
    </row>
    <row r="18" spans="34:88">
      <c r="AH18" s="388"/>
      <c r="AI18" s="388"/>
      <c r="AJ18" s="436"/>
      <c r="AL18" s="437">
        <v>8478.9500000000007</v>
      </c>
      <c r="AM18" s="438">
        <v>12.821099999999999</v>
      </c>
      <c r="AN18" s="438">
        <v>1.2030099999999999</v>
      </c>
      <c r="AO18" s="438">
        <v>2.8515850013614069E-3</v>
      </c>
      <c r="AP18" s="438">
        <v>17.416413805022501</v>
      </c>
      <c r="AQ18" s="438">
        <v>3.5914346358496739E-2</v>
      </c>
      <c r="AR18" s="439">
        <v>350.68216431303256</v>
      </c>
      <c r="AS18" s="438">
        <v>1.2032700000000001</v>
      </c>
      <c r="AT18" s="438">
        <v>3.0869365500473078E-3</v>
      </c>
      <c r="AU18" s="438">
        <v>16.088566635146684</v>
      </c>
      <c r="AV18" s="438">
        <v>3.3789224215671876E-2</v>
      </c>
      <c r="AW18" s="440">
        <v>323.94575780466715</v>
      </c>
      <c r="AX18" s="438"/>
      <c r="AY18" s="438"/>
      <c r="AZ18" s="438"/>
      <c r="BA18" s="438"/>
      <c r="BC18" s="438"/>
      <c r="BD18" s="438"/>
      <c r="BE18" s="438"/>
      <c r="BF18" s="438"/>
      <c r="BH18" s="438"/>
      <c r="BI18" s="438"/>
      <c r="BJ18" s="438"/>
      <c r="BK18" s="438"/>
      <c r="BM18" s="438"/>
      <c r="BN18" s="438"/>
      <c r="BO18" s="438"/>
      <c r="BP18" s="438"/>
      <c r="BR18" s="438"/>
      <c r="BS18" s="438"/>
      <c r="BT18" s="438"/>
      <c r="BU18" s="438"/>
      <c r="BW18" s="438"/>
      <c r="BX18" s="438"/>
      <c r="BY18" s="438"/>
      <c r="BZ18" s="438"/>
      <c r="CB18" s="438"/>
      <c r="CC18" s="438"/>
      <c r="CD18" s="438"/>
      <c r="CE18" s="438"/>
      <c r="CG18" s="438"/>
      <c r="CH18" s="438"/>
      <c r="CI18" s="438"/>
      <c r="CJ18" s="438"/>
    </row>
    <row r="19" spans="34:88">
      <c r="AH19" s="388"/>
      <c r="AI19" s="388"/>
      <c r="AJ19" s="436"/>
      <c r="AL19" s="437">
        <v>9526.32</v>
      </c>
      <c r="AM19" s="438">
        <v>14.4049</v>
      </c>
      <c r="AN19" s="438">
        <v>1.2695799999999999</v>
      </c>
      <c r="AO19" s="438">
        <v>2.6785148900335502E-3</v>
      </c>
      <c r="AP19" s="438">
        <v>18.541761544317509</v>
      </c>
      <c r="AQ19" s="438">
        <v>3.8903896870225656E-2</v>
      </c>
      <c r="AR19" s="439">
        <v>373.34121371543853</v>
      </c>
      <c r="AS19" s="438">
        <v>1.26292</v>
      </c>
      <c r="AT19" s="438">
        <v>2.8837483781086332E-3</v>
      </c>
      <c r="AU19" s="438">
        <v>17.222162918555103</v>
      </c>
      <c r="AV19" s="438">
        <v>3.6452179324553344E-2</v>
      </c>
      <c r="AW19" s="440">
        <v>346.77089290844128</v>
      </c>
      <c r="AX19" s="438"/>
      <c r="AY19" s="438"/>
      <c r="AZ19" s="438"/>
      <c r="BA19" s="438"/>
      <c r="BC19" s="438"/>
      <c r="BD19" s="438"/>
      <c r="BE19" s="438"/>
      <c r="BF19" s="438"/>
      <c r="BH19" s="438"/>
      <c r="BI19" s="438"/>
      <c r="BJ19" s="438"/>
      <c r="BK19" s="438"/>
      <c r="BM19" s="438"/>
      <c r="BN19" s="438"/>
      <c r="BO19" s="438"/>
      <c r="BP19" s="438"/>
      <c r="BR19" s="438"/>
      <c r="BS19" s="438"/>
      <c r="BT19" s="438"/>
      <c r="BU19" s="438"/>
      <c r="BW19" s="438"/>
      <c r="BX19" s="438"/>
      <c r="BY19" s="438"/>
      <c r="BZ19" s="438"/>
      <c r="CB19" s="438"/>
      <c r="CC19" s="438"/>
      <c r="CD19" s="438"/>
      <c r="CE19" s="438"/>
      <c r="CG19" s="438"/>
      <c r="CH19" s="438"/>
      <c r="CI19" s="438"/>
      <c r="CJ19" s="438"/>
    </row>
    <row r="20" spans="34:88">
      <c r="AL20" s="437">
        <v>10573.68</v>
      </c>
      <c r="AM20" s="438">
        <v>15.9886</v>
      </c>
      <c r="AN20" s="438">
        <v>1.33727</v>
      </c>
      <c r="AO20" s="438">
        <v>2.5418627549308359E-3</v>
      </c>
      <c r="AP20" s="438">
        <v>19.538578268069109</v>
      </c>
      <c r="AQ20" s="438">
        <v>4.1815593773367021E-2</v>
      </c>
      <c r="AR20" s="439">
        <v>393.41227139826833</v>
      </c>
      <c r="AS20" s="438">
        <v>1.32386</v>
      </c>
      <c r="AT20" s="438">
        <v>2.7234699368467053E-3</v>
      </c>
      <c r="AU20" s="438">
        <v>18.235701342607243</v>
      </c>
      <c r="AV20" s="438">
        <v>3.9069310680878939E-2</v>
      </c>
      <c r="AW20" s="440">
        <v>367.17864459257532</v>
      </c>
      <c r="AX20" s="438"/>
      <c r="AY20" s="438"/>
      <c r="AZ20" s="438"/>
      <c r="BA20" s="438"/>
      <c r="BC20" s="438"/>
      <c r="BD20" s="438"/>
      <c r="BE20" s="438"/>
      <c r="BF20" s="438"/>
      <c r="BH20" s="438"/>
      <c r="BI20" s="438"/>
      <c r="BJ20" s="438"/>
      <c r="BK20" s="438"/>
      <c r="BM20" s="438"/>
      <c r="BN20" s="438"/>
      <c r="BO20" s="438"/>
      <c r="BP20" s="438"/>
      <c r="BR20" s="438"/>
      <c r="BS20" s="438"/>
      <c r="BT20" s="438"/>
      <c r="BU20" s="438"/>
      <c r="BW20" s="438"/>
      <c r="BX20" s="438"/>
      <c r="BY20" s="438"/>
      <c r="BZ20" s="438"/>
      <c r="CB20" s="438"/>
      <c r="CC20" s="438"/>
      <c r="CD20" s="438"/>
      <c r="CE20" s="438"/>
      <c r="CG20" s="438"/>
      <c r="CH20" s="438"/>
      <c r="CI20" s="438"/>
      <c r="CJ20" s="438"/>
    </row>
    <row r="21" spans="34:88">
      <c r="AL21" s="437">
        <v>11621.05</v>
      </c>
      <c r="AM21" s="438">
        <v>17.572399999999998</v>
      </c>
      <c r="AN21" s="438">
        <v>1.4056500000000001</v>
      </c>
      <c r="AO21" s="438">
        <v>2.431033736503373E-3</v>
      </c>
      <c r="AP21" s="438">
        <v>20.429327507128573</v>
      </c>
      <c r="AQ21" s="438">
        <v>4.4647557251540293E-2</v>
      </c>
      <c r="AR21" s="439">
        <v>411.34764400198299</v>
      </c>
      <c r="AS21" s="438">
        <v>1.38565</v>
      </c>
      <c r="AT21" s="438">
        <v>2.5936708708214477E-3</v>
      </c>
      <c r="AU21" s="438">
        <v>19.14829863057243</v>
      </c>
      <c r="AV21" s="438">
        <v>4.1635095887970028E-2</v>
      </c>
      <c r="AW21" s="440">
        <v>385.55393101333925</v>
      </c>
      <c r="AX21" s="438"/>
      <c r="AY21" s="438"/>
      <c r="AZ21" s="438"/>
      <c r="BA21" s="438"/>
      <c r="BC21" s="438"/>
      <c r="BD21" s="438"/>
      <c r="BE21" s="438"/>
      <c r="BF21" s="438"/>
      <c r="BH21" s="438"/>
      <c r="BI21" s="438"/>
      <c r="BJ21" s="438"/>
      <c r="BK21" s="438"/>
      <c r="BM21" s="438"/>
      <c r="BN21" s="438"/>
      <c r="BO21" s="438"/>
      <c r="BP21" s="438"/>
      <c r="BR21" s="438"/>
      <c r="BS21" s="438"/>
      <c r="BT21" s="438"/>
      <c r="BU21" s="438"/>
      <c r="BW21" s="438"/>
      <c r="BX21" s="438"/>
      <c r="BY21" s="438"/>
      <c r="BZ21" s="438"/>
      <c r="CB21" s="438"/>
      <c r="CC21" s="438"/>
      <c r="CD21" s="438"/>
      <c r="CE21" s="438"/>
      <c r="CG21" s="438"/>
      <c r="CH21" s="438"/>
      <c r="CI21" s="438"/>
      <c r="CJ21" s="438"/>
    </row>
    <row r="22" spans="34:88">
      <c r="AL22" s="437">
        <v>12668.42</v>
      </c>
      <c r="AM22" s="438">
        <v>19.156099999999999</v>
      </c>
      <c r="AN22" s="438">
        <v>1.47445</v>
      </c>
      <c r="AO22" s="438">
        <v>2.3391967676634927E-3</v>
      </c>
      <c r="AP22" s="438">
        <v>21.231383811081958</v>
      </c>
      <c r="AQ22" s="438">
        <v>4.7399706034694698E-2</v>
      </c>
      <c r="AR22" s="439">
        <v>427.49717074842329</v>
      </c>
      <c r="AS22" s="438">
        <v>1.4480200000000001</v>
      </c>
      <c r="AT22" s="438">
        <v>2.4863301439778745E-3</v>
      </c>
      <c r="AU22" s="438">
        <v>19.974975770694709</v>
      </c>
      <c r="AV22" s="438">
        <v>4.41455690491988E-2</v>
      </c>
      <c r="AW22" s="440">
        <v>402.19920207382518</v>
      </c>
      <c r="AX22" s="438"/>
      <c r="AY22" s="438"/>
      <c r="AZ22" s="438"/>
      <c r="BA22" s="438"/>
      <c r="BC22" s="438"/>
      <c r="BD22" s="438"/>
      <c r="BE22" s="438"/>
      <c r="BF22" s="438"/>
      <c r="BH22" s="438"/>
      <c r="BI22" s="438"/>
      <c r="BJ22" s="438"/>
      <c r="BK22" s="438"/>
      <c r="BM22" s="438"/>
      <c r="BN22" s="438"/>
      <c r="BO22" s="438"/>
      <c r="BP22" s="438"/>
      <c r="BR22" s="438"/>
      <c r="BS22" s="438"/>
      <c r="BT22" s="438"/>
      <c r="BU22" s="438"/>
      <c r="BW22" s="438"/>
      <c r="BX22" s="438"/>
      <c r="BY22" s="438"/>
      <c r="BZ22" s="438"/>
      <c r="CB22" s="438"/>
      <c r="CC22" s="438"/>
      <c r="CD22" s="438"/>
      <c r="CE22" s="438"/>
      <c r="CG22" s="438"/>
      <c r="CH22" s="438"/>
      <c r="CI22" s="438"/>
      <c r="CJ22" s="438"/>
    </row>
    <row r="23" spans="34:88">
      <c r="AL23" s="437">
        <v>13715.79</v>
      </c>
      <c r="AM23" s="438">
        <v>20.739799999999999</v>
      </c>
      <c r="AN23" s="438">
        <v>1.54349</v>
      </c>
      <c r="AO23" s="438">
        <v>2.261737254461613E-3</v>
      </c>
      <c r="AP23" s="438">
        <v>21.958511885470134</v>
      </c>
      <c r="AQ23" s="438">
        <v>5.0073481129926913E-2</v>
      </c>
      <c r="AR23" s="439">
        <v>442.13800609569097</v>
      </c>
      <c r="AS23" s="438">
        <v>1.51078</v>
      </c>
      <c r="AT23" s="438">
        <v>2.3960015134500256E-3</v>
      </c>
      <c r="AU23" s="438">
        <v>20.728027134003639</v>
      </c>
      <c r="AV23" s="438">
        <v>4.6598891874430913E-2</v>
      </c>
      <c r="AW23" s="440">
        <v>417.36200682114361</v>
      </c>
      <c r="AX23" s="438"/>
      <c r="AY23" s="438"/>
      <c r="AZ23" s="438"/>
      <c r="BA23" s="438"/>
      <c r="BC23" s="438"/>
      <c r="BD23" s="438"/>
      <c r="BE23" s="438"/>
      <c r="BF23" s="438"/>
      <c r="BH23" s="438"/>
      <c r="BI23" s="438"/>
      <c r="BJ23" s="438"/>
      <c r="BK23" s="438"/>
      <c r="BM23" s="438"/>
      <c r="BN23" s="438"/>
      <c r="BO23" s="438"/>
      <c r="BP23" s="438"/>
      <c r="BR23" s="438"/>
      <c r="BS23" s="438"/>
      <c r="BT23" s="438"/>
      <c r="BU23" s="438"/>
      <c r="BW23" s="438"/>
      <c r="BX23" s="438"/>
      <c r="BY23" s="438"/>
      <c r="BZ23" s="438"/>
      <c r="CB23" s="438"/>
      <c r="CC23" s="438"/>
      <c r="CD23" s="438"/>
      <c r="CE23" s="438"/>
      <c r="CG23" s="438"/>
      <c r="CH23" s="438"/>
      <c r="CI23" s="438"/>
      <c r="CJ23" s="438"/>
    </row>
    <row r="24" spans="34:88">
      <c r="AL24" s="437">
        <v>14763.16</v>
      </c>
      <c r="AM24" s="438">
        <v>22.323599999999999</v>
      </c>
      <c r="AN24" s="438">
        <v>1.61266</v>
      </c>
      <c r="AO24" s="438">
        <v>2.1954454261379351E-3</v>
      </c>
      <c r="AP24" s="438">
        <v>22.621552689320009</v>
      </c>
      <c r="AQ24" s="438">
        <v>5.2670465677422541E-2</v>
      </c>
      <c r="AR24" s="439">
        <v>455.4884344172134</v>
      </c>
      <c r="AS24" s="438">
        <v>1.57378</v>
      </c>
      <c r="AT24" s="438">
        <v>2.3188432045600006E-3</v>
      </c>
      <c r="AU24" s="438">
        <v>21.417741521393513</v>
      </c>
      <c r="AV24" s="438">
        <v>4.8995291071550991E-2</v>
      </c>
      <c r="AW24" s="440">
        <v>431.24951183999934</v>
      </c>
      <c r="AX24" s="438"/>
      <c r="AY24" s="438"/>
      <c r="AZ24" s="438"/>
      <c r="BA24" s="438"/>
      <c r="BC24" s="438"/>
      <c r="BD24" s="438"/>
      <c r="BE24" s="438"/>
      <c r="BF24" s="438"/>
      <c r="BH24" s="438"/>
      <c r="BI24" s="438"/>
      <c r="BJ24" s="438"/>
      <c r="BK24" s="438"/>
      <c r="BM24" s="438"/>
      <c r="BN24" s="438"/>
      <c r="BO24" s="438"/>
      <c r="BP24" s="438"/>
      <c r="BR24" s="438"/>
      <c r="BS24" s="438"/>
      <c r="BT24" s="438"/>
      <c r="BU24" s="438"/>
      <c r="BW24" s="438"/>
      <c r="BX24" s="438"/>
      <c r="BY24" s="438"/>
      <c r="BZ24" s="438"/>
      <c r="CB24" s="438"/>
      <c r="CC24" s="438"/>
      <c r="CD24" s="438"/>
      <c r="CE24" s="438"/>
      <c r="CG24" s="438"/>
      <c r="CH24" s="438"/>
      <c r="CI24" s="438"/>
      <c r="CJ24" s="438"/>
    </row>
    <row r="25" spans="34:88">
      <c r="AL25" s="437">
        <v>15810.53</v>
      </c>
      <c r="AM25" s="438">
        <v>23.907299999999999</v>
      </c>
      <c r="AN25" s="438">
        <v>1.68187</v>
      </c>
      <c r="AO25" s="438">
        <v>2.1379874620905122E-3</v>
      </c>
      <c r="AP25" s="438">
        <v>23.229502167119527</v>
      </c>
      <c r="AQ25" s="438">
        <v>5.5193644485191033E-2</v>
      </c>
      <c r="AR25" s="439">
        <v>467.72959043557984</v>
      </c>
      <c r="AS25" s="438">
        <v>1.63693</v>
      </c>
      <c r="AT25" s="438">
        <v>2.2521139864255359E-3</v>
      </c>
      <c r="AU25" s="438">
        <v>22.052340460231871</v>
      </c>
      <c r="AV25" s="438">
        <v>5.1334875561090947E-2</v>
      </c>
      <c r="AW25" s="440">
        <v>444.02725884543679</v>
      </c>
      <c r="AX25" s="438"/>
      <c r="AY25" s="438"/>
      <c r="AZ25" s="438"/>
      <c r="BA25" s="438"/>
      <c r="BC25" s="438"/>
      <c r="BD25" s="438"/>
      <c r="BE25" s="438"/>
      <c r="BF25" s="438"/>
      <c r="BH25" s="438"/>
      <c r="BI25" s="438"/>
      <c r="BJ25" s="438"/>
      <c r="BK25" s="438"/>
      <c r="BM25" s="438"/>
      <c r="BN25" s="438"/>
      <c r="BO25" s="438"/>
      <c r="BP25" s="438"/>
      <c r="BR25" s="438"/>
      <c r="BS25" s="438"/>
      <c r="BT25" s="438"/>
      <c r="BU25" s="438"/>
      <c r="BW25" s="438"/>
      <c r="BX25" s="438"/>
      <c r="BY25" s="438"/>
      <c r="BZ25" s="438"/>
      <c r="CB25" s="438"/>
      <c r="CC25" s="438"/>
      <c r="CD25" s="438"/>
      <c r="CE25" s="438"/>
      <c r="CG25" s="438"/>
      <c r="CH25" s="438"/>
      <c r="CI25" s="438"/>
      <c r="CJ25" s="438"/>
    </row>
    <row r="26" spans="34:88">
      <c r="AL26" s="437">
        <v>16857.89</v>
      </c>
      <c r="AM26" s="438">
        <v>25.491099999999999</v>
      </c>
      <c r="AN26" s="438">
        <v>1.7510699999999999</v>
      </c>
      <c r="AO26" s="438">
        <v>2.0876584636479452E-3</v>
      </c>
      <c r="AP26" s="438">
        <v>23.789515981039862</v>
      </c>
      <c r="AQ26" s="438">
        <v>5.7645342855151362E-2</v>
      </c>
      <c r="AR26" s="439">
        <v>479.0055545065614</v>
      </c>
      <c r="AS26" s="438">
        <v>1.7001599999999999</v>
      </c>
      <c r="AT26" s="438">
        <v>2.1937809795766422E-3</v>
      </c>
      <c r="AU26" s="438">
        <v>22.638715918436951</v>
      </c>
      <c r="AV26" s="438">
        <v>5.3618536518587452E-2</v>
      </c>
      <c r="AW26" s="440">
        <v>455.8340186689835</v>
      </c>
      <c r="AX26" s="438"/>
      <c r="AY26" s="438"/>
      <c r="AZ26" s="438"/>
      <c r="BA26" s="438"/>
      <c r="BC26" s="438"/>
      <c r="BD26" s="438"/>
      <c r="BE26" s="438"/>
      <c r="BF26" s="438"/>
      <c r="BH26" s="438"/>
      <c r="BI26" s="438"/>
      <c r="BJ26" s="438"/>
      <c r="BK26" s="438"/>
      <c r="BM26" s="438"/>
      <c r="BN26" s="438"/>
      <c r="BO26" s="438"/>
      <c r="BP26" s="438"/>
      <c r="BR26" s="438"/>
      <c r="BS26" s="438"/>
      <c r="BT26" s="438"/>
      <c r="BU26" s="438"/>
      <c r="BW26" s="438"/>
      <c r="BX26" s="438"/>
      <c r="BY26" s="438"/>
      <c r="BZ26" s="438"/>
      <c r="CB26" s="438"/>
      <c r="CC26" s="438"/>
      <c r="CD26" s="438"/>
      <c r="CE26" s="438"/>
      <c r="CG26" s="438"/>
      <c r="CH26" s="438"/>
      <c r="CI26" s="438"/>
      <c r="CJ26" s="438"/>
    </row>
    <row r="27" spans="34:88">
      <c r="AL27" s="437">
        <v>17905.259999999998</v>
      </c>
      <c r="AM27" s="438">
        <v>27.0748</v>
      </c>
      <c r="AN27" s="438">
        <v>1.8202199999999999</v>
      </c>
      <c r="AO27" s="438">
        <v>2.0431601468992957E-3</v>
      </c>
      <c r="AP27" s="438">
        <v>24.3076317141741</v>
      </c>
      <c r="AQ27" s="438">
        <v>6.0028566301873511E-2</v>
      </c>
      <c r="AR27" s="439">
        <v>489.43789429213473</v>
      </c>
      <c r="AS27" s="438">
        <v>1.7634399999999999</v>
      </c>
      <c r="AT27" s="438">
        <v>2.1423318482142358E-3</v>
      </c>
      <c r="AU27" s="438">
        <v>23.182395586988179</v>
      </c>
      <c r="AV27" s="438">
        <v>5.5846508469796323E-2</v>
      </c>
      <c r="AW27" s="440">
        <v>466.7810922166708</v>
      </c>
      <c r="AX27" s="438"/>
      <c r="AY27" s="438"/>
      <c r="AZ27" s="438"/>
      <c r="BA27" s="438"/>
      <c r="BC27" s="438"/>
      <c r="BD27" s="438"/>
      <c r="BE27" s="438"/>
      <c r="BF27" s="438"/>
      <c r="BH27" s="438"/>
      <c r="BI27" s="438"/>
      <c r="BJ27" s="438"/>
      <c r="BK27" s="438"/>
      <c r="BM27" s="438"/>
      <c r="BN27" s="438"/>
      <c r="BO27" s="438"/>
      <c r="BP27" s="438"/>
      <c r="BR27" s="438"/>
      <c r="BS27" s="438"/>
      <c r="BT27" s="438"/>
      <c r="BU27" s="438"/>
      <c r="BW27" s="438"/>
      <c r="BX27" s="438"/>
      <c r="BY27" s="438"/>
      <c r="BZ27" s="438"/>
      <c r="CB27" s="438"/>
      <c r="CC27" s="438"/>
      <c r="CD27" s="438"/>
      <c r="CE27" s="438"/>
      <c r="CG27" s="438"/>
      <c r="CH27" s="438"/>
      <c r="CI27" s="438"/>
      <c r="CJ27" s="438"/>
    </row>
    <row r="28" spans="34:88">
      <c r="AK28" s="441"/>
      <c r="AL28" s="437">
        <v>18952.63</v>
      </c>
      <c r="AM28" s="438">
        <v>28.6585</v>
      </c>
      <c r="AN28" s="438">
        <v>1.88931</v>
      </c>
      <c r="AO28" s="438">
        <v>2.0035163810223026E-3</v>
      </c>
      <c r="AP28" s="438">
        <v>24.788609094658092</v>
      </c>
      <c r="AQ28" s="438">
        <v>6.2344976549901683E-2</v>
      </c>
      <c r="AR28" s="439">
        <v>499.12244764864153</v>
      </c>
      <c r="AS28" s="438">
        <v>1.8267100000000001</v>
      </c>
      <c r="AT28" s="438">
        <v>2.0965576564078076E-3</v>
      </c>
      <c r="AU28" s="438">
        <v>23.688537366055421</v>
      </c>
      <c r="AV28" s="438">
        <v>5.8021412672897496E-2</v>
      </c>
      <c r="AW28" s="440">
        <v>476.97233459983943</v>
      </c>
      <c r="AX28" s="438"/>
      <c r="AY28" s="438"/>
      <c r="AZ28" s="438"/>
      <c r="BA28" s="438"/>
      <c r="BC28" s="438"/>
      <c r="BD28" s="438"/>
      <c r="BE28" s="438"/>
      <c r="BF28" s="438"/>
      <c r="BH28" s="438"/>
      <c r="BI28" s="438"/>
      <c r="BJ28" s="438"/>
      <c r="BK28" s="438"/>
      <c r="BM28" s="438"/>
      <c r="BN28" s="438"/>
      <c r="BO28" s="438"/>
      <c r="BP28" s="438"/>
      <c r="BR28" s="438"/>
      <c r="BS28" s="438"/>
      <c r="BT28" s="438"/>
      <c r="BU28" s="438"/>
      <c r="BW28" s="438"/>
      <c r="BX28" s="438"/>
      <c r="BY28" s="438"/>
      <c r="BZ28" s="438"/>
      <c r="CB28" s="438"/>
      <c r="CC28" s="438"/>
      <c r="CD28" s="438"/>
      <c r="CE28" s="438"/>
      <c r="CG28" s="438"/>
      <c r="CH28" s="438"/>
      <c r="CI28" s="438"/>
      <c r="CJ28" s="438"/>
    </row>
    <row r="29" spans="34:88">
      <c r="AL29" s="437">
        <v>20000</v>
      </c>
      <c r="AM29" s="438">
        <v>30.2423</v>
      </c>
      <c r="AN29" s="438">
        <v>1.9582999999999999</v>
      </c>
      <c r="AO29" s="438">
        <v>1.9679242927903543E-3</v>
      </c>
      <c r="AP29" s="438">
        <v>25.236938517327776</v>
      </c>
      <c r="AQ29" s="438">
        <v>6.4598682900116874E-2</v>
      </c>
      <c r="AR29" s="439">
        <v>508.1496293651025</v>
      </c>
      <c r="AS29" s="438">
        <v>1.8899600000000001</v>
      </c>
      <c r="AT29" s="438">
        <v>2.0555559637532809E-3</v>
      </c>
      <c r="AU29" s="438">
        <v>24.161047064475309</v>
      </c>
      <c r="AV29" s="438">
        <v>6.0143860643449121E-2</v>
      </c>
      <c r="AW29" s="440">
        <v>486.48638987871675</v>
      </c>
      <c r="AX29" s="438"/>
      <c r="AY29" s="438"/>
      <c r="AZ29" s="438"/>
      <c r="BA29" s="438"/>
      <c r="BC29" s="438"/>
      <c r="BD29" s="438"/>
      <c r="BE29" s="438"/>
      <c r="BF29" s="438"/>
      <c r="BH29" s="438"/>
      <c r="BI29" s="438"/>
      <c r="BJ29" s="438"/>
      <c r="BK29" s="438"/>
      <c r="BM29" s="438"/>
      <c r="BN29" s="438"/>
      <c r="BO29" s="438"/>
      <c r="BP29" s="438"/>
      <c r="BR29" s="438"/>
      <c r="BS29" s="438"/>
      <c r="BT29" s="438"/>
      <c r="BU29" s="438"/>
      <c r="BW29" s="438"/>
      <c r="BX29" s="438"/>
      <c r="BY29" s="438"/>
      <c r="BZ29" s="438"/>
      <c r="CB29" s="438"/>
      <c r="CC29" s="438"/>
      <c r="CD29" s="438"/>
      <c r="CE29" s="438"/>
      <c r="CG29" s="438"/>
      <c r="CH29" s="438"/>
      <c r="CI29" s="438"/>
      <c r="CJ29" s="438"/>
    </row>
    <row r="30" spans="34:88">
      <c r="AL30" s="437"/>
      <c r="AM30" s="438"/>
      <c r="AN30" s="438"/>
      <c r="AO30" s="438"/>
      <c r="AP30" s="438"/>
      <c r="AQ30" s="438"/>
      <c r="AR30" s="440"/>
      <c r="AS30" s="438"/>
      <c r="AT30" s="438"/>
      <c r="AU30" s="438"/>
      <c r="AV30" s="438"/>
      <c r="AW30" s="440"/>
      <c r="AX30" s="438"/>
      <c r="AY30" s="438"/>
      <c r="AZ30" s="438"/>
      <c r="BA30" s="438"/>
      <c r="BC30" s="438"/>
      <c r="BD30" s="438"/>
      <c r="BE30" s="438"/>
      <c r="BF30" s="438"/>
      <c r="BH30" s="438"/>
      <c r="BI30" s="438"/>
      <c r="BJ30" s="438"/>
      <c r="BK30" s="438"/>
      <c r="BM30" s="438"/>
      <c r="BN30" s="438"/>
      <c r="BO30" s="438"/>
      <c r="BP30" s="438"/>
      <c r="BR30" s="438"/>
      <c r="BS30" s="438"/>
      <c r="BT30" s="438"/>
      <c r="BU30" s="438"/>
      <c r="BW30" s="438"/>
      <c r="BX30" s="438"/>
      <c r="BY30" s="438"/>
      <c r="BZ30" s="438"/>
      <c r="CB30" s="438"/>
      <c r="CC30" s="438"/>
      <c r="CD30" s="438"/>
      <c r="CE30" s="438"/>
      <c r="CG30" s="438"/>
      <c r="CH30" s="438"/>
      <c r="CI30" s="438"/>
      <c r="CJ30" s="438"/>
    </row>
    <row r="31" spans="34:88">
      <c r="AL31" s="437"/>
      <c r="AM31" s="438"/>
      <c r="AN31" s="438"/>
      <c r="AO31" s="438"/>
      <c r="AP31" s="438"/>
      <c r="AQ31" s="438"/>
      <c r="AS31" s="438"/>
      <c r="AT31" s="438"/>
      <c r="AU31" s="438"/>
      <c r="AV31" s="438"/>
      <c r="AX31" s="438"/>
      <c r="AY31" s="438"/>
      <c r="AZ31" s="438"/>
      <c r="BA31" s="438"/>
      <c r="BC31" s="438"/>
      <c r="BD31" s="438"/>
      <c r="BE31" s="438"/>
      <c r="BF31" s="438"/>
      <c r="BH31" s="438"/>
      <c r="BI31" s="438"/>
      <c r="BJ31" s="438"/>
      <c r="BK31" s="438"/>
      <c r="BM31" s="438"/>
      <c r="BN31" s="438"/>
      <c r="BO31" s="438"/>
      <c r="BP31" s="438"/>
      <c r="BR31" s="438"/>
      <c r="BS31" s="438"/>
      <c r="BT31" s="438"/>
      <c r="BU31" s="438"/>
      <c r="BW31" s="438"/>
      <c r="BX31" s="438"/>
      <c r="BY31" s="438"/>
      <c r="BZ31" s="438"/>
      <c r="CB31" s="438"/>
      <c r="CC31" s="438"/>
      <c r="CD31" s="438"/>
      <c r="CE31" s="438"/>
      <c r="CG31" s="438"/>
      <c r="CH31" s="438"/>
      <c r="CI31" s="438"/>
      <c r="CJ31" s="438"/>
    </row>
    <row r="32" spans="34:88">
      <c r="AL32" s="437"/>
      <c r="AM32" s="438"/>
      <c r="AN32" s="438"/>
      <c r="AO32" s="438"/>
      <c r="AP32" s="438"/>
      <c r="AQ32" s="438"/>
      <c r="AS32" s="438"/>
      <c r="AT32" s="438"/>
      <c r="AU32" s="438"/>
      <c r="AV32" s="438"/>
      <c r="AX32" s="438"/>
      <c r="AY32" s="438"/>
      <c r="AZ32" s="438"/>
      <c r="BA32" s="438"/>
      <c r="BC32" s="438"/>
      <c r="BD32" s="438"/>
      <c r="BE32" s="438"/>
      <c r="BF32" s="438"/>
      <c r="BH32" s="438"/>
      <c r="BI32" s="438"/>
      <c r="BJ32" s="438"/>
      <c r="BK32" s="438"/>
      <c r="BM32" s="438"/>
      <c r="BN32" s="438"/>
      <c r="BO32" s="438"/>
      <c r="BP32" s="438"/>
      <c r="BR32" s="438"/>
      <c r="BS32" s="438"/>
      <c r="BT32" s="438"/>
      <c r="BU32" s="438"/>
      <c r="BW32" s="438"/>
      <c r="BX32" s="438"/>
      <c r="BY32" s="438"/>
      <c r="BZ32" s="438"/>
      <c r="CB32" s="438"/>
      <c r="CC32" s="438"/>
      <c r="CD32" s="438"/>
      <c r="CE32" s="438"/>
      <c r="CG32" s="438"/>
      <c r="CH32" s="438"/>
      <c r="CI32" s="438"/>
      <c r="CJ32" s="438"/>
    </row>
    <row r="33" spans="38:88">
      <c r="AL33" s="437"/>
      <c r="AM33" s="438"/>
      <c r="AN33" s="438"/>
      <c r="AO33" s="438"/>
      <c r="AP33" s="438"/>
      <c r="AQ33" s="438"/>
      <c r="AS33" s="438"/>
      <c r="AT33" s="438"/>
      <c r="AU33" s="438"/>
      <c r="AV33" s="438"/>
      <c r="AX33" s="438"/>
      <c r="AY33" s="438"/>
      <c r="AZ33" s="438"/>
      <c r="BA33" s="438"/>
      <c r="BC33" s="438"/>
      <c r="BD33" s="438"/>
      <c r="BE33" s="438"/>
      <c r="BF33" s="438"/>
      <c r="BH33" s="438"/>
      <c r="BI33" s="438"/>
      <c r="BJ33" s="438"/>
      <c r="BK33" s="438"/>
      <c r="BM33" s="438"/>
      <c r="BN33" s="438"/>
      <c r="BO33" s="438"/>
      <c r="BP33" s="438"/>
      <c r="BR33" s="438"/>
      <c r="BS33" s="438"/>
      <c r="BT33" s="438"/>
      <c r="BU33" s="438"/>
      <c r="BW33" s="438"/>
      <c r="BX33" s="438"/>
      <c r="BY33" s="438"/>
      <c r="BZ33" s="438"/>
      <c r="CB33" s="438"/>
      <c r="CC33" s="438"/>
      <c r="CD33" s="438"/>
      <c r="CE33" s="438"/>
      <c r="CG33" s="438"/>
      <c r="CH33" s="438"/>
      <c r="CI33" s="438"/>
      <c r="CJ33" s="438"/>
    </row>
    <row r="34" spans="38:88">
      <c r="AL34" s="437"/>
      <c r="AM34" s="438"/>
      <c r="AN34" s="438"/>
      <c r="AO34" s="438"/>
      <c r="AP34" s="438"/>
      <c r="AQ34" s="438"/>
      <c r="AS34" s="438"/>
      <c r="AT34" s="438"/>
      <c r="AU34" s="438"/>
      <c r="AV34" s="438"/>
      <c r="AX34" s="438"/>
      <c r="AY34" s="438"/>
      <c r="AZ34" s="438"/>
      <c r="BA34" s="438"/>
      <c r="BC34" s="438"/>
      <c r="BD34" s="438"/>
      <c r="BE34" s="438"/>
      <c r="BF34" s="438"/>
      <c r="BH34" s="438"/>
      <c r="BI34" s="438"/>
      <c r="BJ34" s="438"/>
      <c r="BK34" s="438"/>
      <c r="BM34" s="438"/>
      <c r="BN34" s="438"/>
      <c r="BO34" s="438"/>
      <c r="BP34" s="438"/>
      <c r="BR34" s="438"/>
      <c r="BS34" s="438"/>
      <c r="BT34" s="438"/>
      <c r="BU34" s="438"/>
      <c r="BW34" s="438"/>
      <c r="BX34" s="438"/>
      <c r="BY34" s="438"/>
      <c r="BZ34" s="438"/>
      <c r="CB34" s="438"/>
      <c r="CC34" s="438"/>
      <c r="CD34" s="438"/>
      <c r="CE34" s="438"/>
      <c r="CG34" s="438"/>
      <c r="CH34" s="438"/>
      <c r="CI34" s="438"/>
      <c r="CJ34" s="438"/>
    </row>
    <row r="35" spans="38:88">
      <c r="AL35" s="437"/>
      <c r="AM35" s="438"/>
      <c r="AN35" s="438"/>
      <c r="AO35" s="438"/>
      <c r="AP35" s="438"/>
      <c r="AQ35" s="438"/>
      <c r="AS35" s="438"/>
      <c r="AT35" s="438"/>
      <c r="AU35" s="438"/>
      <c r="AV35" s="438"/>
      <c r="AX35" s="438"/>
      <c r="AY35" s="438"/>
      <c r="AZ35" s="438"/>
      <c r="BA35" s="438"/>
      <c r="BC35" s="438"/>
      <c r="BD35" s="438"/>
      <c r="BE35" s="438"/>
      <c r="BF35" s="438"/>
      <c r="BH35" s="438"/>
      <c r="BI35" s="438"/>
      <c r="BJ35" s="438"/>
      <c r="BK35" s="438"/>
      <c r="BM35" s="438"/>
      <c r="BN35" s="438"/>
      <c r="BO35" s="438"/>
      <c r="BP35" s="438"/>
      <c r="BR35" s="438"/>
      <c r="BS35" s="438"/>
      <c r="BT35" s="438"/>
      <c r="BU35" s="438"/>
      <c r="BW35" s="438"/>
      <c r="BX35" s="438"/>
      <c r="BY35" s="438"/>
      <c r="BZ35" s="438"/>
      <c r="CB35" s="438"/>
      <c r="CC35" s="438"/>
      <c r="CD35" s="438"/>
      <c r="CE35" s="438"/>
      <c r="CG35" s="438"/>
      <c r="CH35" s="438"/>
      <c r="CI35" s="438"/>
      <c r="CJ35" s="438"/>
    </row>
    <row r="36" spans="38:88">
      <c r="AL36" s="437"/>
      <c r="AM36" s="438"/>
      <c r="AN36" s="438"/>
      <c r="AO36" s="438"/>
      <c r="AP36" s="438"/>
      <c r="AQ36" s="438"/>
      <c r="AS36" s="438"/>
      <c r="AT36" s="438"/>
      <c r="AU36" s="438"/>
      <c r="AV36" s="438"/>
      <c r="AX36" s="438"/>
      <c r="AY36" s="438"/>
      <c r="AZ36" s="438"/>
      <c r="BA36" s="438"/>
      <c r="BC36" s="438"/>
      <c r="BD36" s="438"/>
      <c r="BE36" s="438"/>
      <c r="BF36" s="438"/>
      <c r="BH36" s="438"/>
      <c r="BI36" s="438"/>
      <c r="BJ36" s="438"/>
      <c r="BK36" s="438"/>
      <c r="BM36" s="438"/>
      <c r="BN36" s="438"/>
      <c r="BO36" s="438"/>
      <c r="BP36" s="438"/>
      <c r="BR36" s="438"/>
      <c r="BS36" s="438"/>
      <c r="BT36" s="438"/>
      <c r="BU36" s="438"/>
      <c r="BW36" s="438"/>
      <c r="BX36" s="438"/>
      <c r="BY36" s="438"/>
      <c r="BZ36" s="438"/>
      <c r="CB36" s="438"/>
      <c r="CC36" s="438"/>
      <c r="CD36" s="438"/>
      <c r="CE36" s="438"/>
      <c r="CG36" s="438"/>
      <c r="CH36" s="438"/>
      <c r="CI36" s="438"/>
      <c r="CJ36" s="438"/>
    </row>
    <row r="37" spans="38:88">
      <c r="AL37" s="437"/>
      <c r="AM37" s="438"/>
      <c r="AN37" s="438"/>
      <c r="AO37" s="438"/>
      <c r="AP37" s="438"/>
      <c r="AQ37" s="438"/>
      <c r="AS37" s="438"/>
      <c r="AT37" s="438"/>
      <c r="AU37" s="438"/>
      <c r="AV37" s="438"/>
      <c r="AX37" s="438"/>
      <c r="AY37" s="438"/>
      <c r="AZ37" s="438"/>
      <c r="BA37" s="438"/>
      <c r="BC37" s="438"/>
      <c r="BD37" s="438"/>
      <c r="BE37" s="438"/>
      <c r="BF37" s="438"/>
      <c r="BH37" s="438"/>
      <c r="BI37" s="438"/>
      <c r="BJ37" s="438"/>
      <c r="BK37" s="438"/>
      <c r="BM37" s="438"/>
      <c r="BN37" s="438"/>
      <c r="BO37" s="438"/>
      <c r="BP37" s="438"/>
      <c r="BR37" s="438"/>
      <c r="BS37" s="438"/>
      <c r="BT37" s="438"/>
      <c r="BU37" s="438"/>
      <c r="BW37" s="438"/>
      <c r="BX37" s="438"/>
      <c r="BY37" s="438"/>
      <c r="BZ37" s="438"/>
      <c r="CB37" s="438"/>
      <c r="CC37" s="438"/>
      <c r="CD37" s="438"/>
      <c r="CE37" s="438"/>
      <c r="CG37" s="438"/>
      <c r="CH37" s="438"/>
      <c r="CI37" s="438"/>
      <c r="CJ37" s="438"/>
    </row>
    <row r="38" spans="38:88">
      <c r="AL38" s="437"/>
      <c r="AM38" s="438"/>
      <c r="AN38" s="438"/>
      <c r="AO38" s="438"/>
      <c r="AP38" s="438"/>
      <c r="AQ38" s="438"/>
      <c r="AS38" s="438"/>
      <c r="AT38" s="438"/>
      <c r="AU38" s="438"/>
      <c r="AV38" s="438"/>
      <c r="AX38" s="438"/>
      <c r="AY38" s="438"/>
      <c r="AZ38" s="438"/>
      <c r="BA38" s="438"/>
      <c r="BC38" s="438"/>
      <c r="BD38" s="438"/>
      <c r="BE38" s="438"/>
      <c r="BF38" s="438"/>
      <c r="BH38" s="438"/>
      <c r="BI38" s="438"/>
      <c r="BJ38" s="438"/>
      <c r="BK38" s="438"/>
      <c r="BM38" s="438"/>
      <c r="BN38" s="438"/>
      <c r="BO38" s="438"/>
      <c r="BP38" s="438"/>
      <c r="BR38" s="438"/>
      <c r="BS38" s="438"/>
      <c r="BT38" s="438"/>
      <c r="BU38" s="438"/>
      <c r="BW38" s="438"/>
      <c r="BX38" s="438"/>
      <c r="BY38" s="438"/>
      <c r="BZ38" s="438"/>
      <c r="CB38" s="438"/>
      <c r="CC38" s="438"/>
      <c r="CD38" s="438"/>
      <c r="CE38" s="438"/>
      <c r="CG38" s="438"/>
      <c r="CH38" s="438"/>
      <c r="CI38" s="438"/>
      <c r="CJ38" s="438"/>
    </row>
    <row r="39" spans="38:88">
      <c r="AL39" s="437"/>
      <c r="AM39" s="438"/>
      <c r="AN39" s="438"/>
      <c r="AO39" s="438"/>
      <c r="AP39" s="438"/>
      <c r="AQ39" s="438"/>
      <c r="AS39" s="438"/>
      <c r="AT39" s="438"/>
      <c r="AU39" s="438"/>
      <c r="AV39" s="438"/>
      <c r="AX39" s="438"/>
      <c r="AY39" s="438"/>
      <c r="AZ39" s="438"/>
      <c r="BA39" s="438"/>
      <c r="BC39" s="438"/>
      <c r="BD39" s="438"/>
      <c r="BE39" s="438"/>
      <c r="BF39" s="438"/>
      <c r="BH39" s="438"/>
      <c r="BI39" s="438"/>
      <c r="BJ39" s="438"/>
      <c r="BK39" s="438"/>
      <c r="BM39" s="438"/>
      <c r="BN39" s="438"/>
      <c r="BO39" s="438"/>
      <c r="BP39" s="438"/>
      <c r="BR39" s="438"/>
      <c r="BS39" s="438"/>
      <c r="BT39" s="438"/>
      <c r="BU39" s="438"/>
      <c r="BW39" s="438"/>
      <c r="BX39" s="438"/>
      <c r="BY39" s="438"/>
      <c r="BZ39" s="438"/>
      <c r="CB39" s="438"/>
      <c r="CC39" s="438"/>
      <c r="CD39" s="438"/>
      <c r="CE39" s="438"/>
      <c r="CG39" s="438"/>
      <c r="CH39" s="438"/>
      <c r="CI39" s="438"/>
      <c r="CJ39" s="438"/>
    </row>
    <row r="40" spans="38:88">
      <c r="AL40" s="437"/>
      <c r="AM40" s="438"/>
      <c r="AN40" s="438"/>
      <c r="AO40" s="438"/>
      <c r="AP40" s="438"/>
      <c r="AQ40" s="438"/>
      <c r="AS40" s="438"/>
      <c r="AT40" s="438"/>
      <c r="AU40" s="438"/>
      <c r="AV40" s="438"/>
      <c r="AX40" s="438"/>
      <c r="AY40" s="438"/>
      <c r="AZ40" s="438"/>
      <c r="BA40" s="438"/>
      <c r="BC40" s="438"/>
      <c r="BD40" s="438"/>
      <c r="BE40" s="438"/>
      <c r="BF40" s="438"/>
      <c r="BH40" s="438"/>
      <c r="BI40" s="438"/>
      <c r="BJ40" s="438"/>
      <c r="BK40" s="438"/>
      <c r="BM40" s="438"/>
      <c r="BN40" s="438"/>
      <c r="BO40" s="438"/>
      <c r="BP40" s="438"/>
      <c r="BR40" s="438"/>
      <c r="BS40" s="438"/>
      <c r="BT40" s="438"/>
      <c r="BU40" s="438"/>
      <c r="BW40" s="438"/>
      <c r="BX40" s="438"/>
      <c r="BY40" s="438"/>
      <c r="BZ40" s="438"/>
      <c r="CB40" s="438"/>
      <c r="CC40" s="438"/>
      <c r="CD40" s="438"/>
      <c r="CE40" s="438"/>
      <c r="CG40" s="438"/>
      <c r="CH40" s="438"/>
      <c r="CI40" s="438"/>
      <c r="CJ40" s="438"/>
    </row>
    <row r="41" spans="38:88">
      <c r="AL41" s="437"/>
      <c r="AM41" s="438"/>
      <c r="AN41" s="438"/>
      <c r="AO41" s="438"/>
      <c r="AP41" s="438"/>
      <c r="AQ41" s="438"/>
      <c r="AS41" s="438"/>
      <c r="AT41" s="438"/>
      <c r="AU41" s="438"/>
      <c r="AV41" s="438"/>
      <c r="AX41" s="438"/>
      <c r="AY41" s="438"/>
      <c r="AZ41" s="438"/>
      <c r="BA41" s="438"/>
      <c r="BC41" s="438"/>
      <c r="BD41" s="438"/>
      <c r="BE41" s="438"/>
      <c r="BF41" s="438"/>
      <c r="BH41" s="438"/>
      <c r="BI41" s="438"/>
      <c r="BJ41" s="438"/>
      <c r="BK41" s="438"/>
      <c r="BM41" s="438"/>
      <c r="BN41" s="438"/>
      <c r="BO41" s="438"/>
      <c r="BP41" s="438"/>
      <c r="BR41" s="438"/>
      <c r="BS41" s="438"/>
      <c r="BT41" s="438"/>
      <c r="BU41" s="438"/>
      <c r="BW41" s="438"/>
      <c r="BX41" s="438"/>
      <c r="BY41" s="438"/>
      <c r="BZ41" s="438"/>
      <c r="CB41" s="438"/>
      <c r="CC41" s="438"/>
      <c r="CD41" s="438"/>
      <c r="CE41" s="438"/>
      <c r="CG41" s="438"/>
      <c r="CH41" s="438"/>
      <c r="CI41" s="438"/>
      <c r="CJ41" s="438"/>
    </row>
    <row r="42" spans="38:88">
      <c r="AL42" s="437"/>
      <c r="AM42" s="438"/>
      <c r="AN42" s="438"/>
      <c r="AO42" s="438"/>
      <c r="AP42" s="438"/>
      <c r="AQ42" s="438"/>
      <c r="AS42" s="438"/>
      <c r="AT42" s="438"/>
      <c r="AU42" s="438"/>
      <c r="AV42" s="438"/>
      <c r="AX42" s="438"/>
      <c r="AY42" s="438"/>
      <c r="AZ42" s="438"/>
      <c r="BA42" s="438"/>
      <c r="BC42" s="438"/>
      <c r="BD42" s="438"/>
      <c r="BE42" s="438"/>
      <c r="BF42" s="438"/>
      <c r="BH42" s="438"/>
      <c r="BI42" s="438"/>
      <c r="BJ42" s="438"/>
      <c r="BK42" s="438"/>
      <c r="BM42" s="438"/>
      <c r="BN42" s="438"/>
      <c r="BO42" s="438"/>
      <c r="BP42" s="438"/>
      <c r="BR42" s="438"/>
      <c r="BS42" s="438"/>
      <c r="BT42" s="438"/>
      <c r="BU42" s="438"/>
      <c r="BW42" s="438"/>
      <c r="BX42" s="438"/>
      <c r="BY42" s="438"/>
      <c r="BZ42" s="438"/>
      <c r="CB42" s="438"/>
      <c r="CC42" s="438"/>
      <c r="CD42" s="438"/>
      <c r="CE42" s="438"/>
      <c r="CG42" s="438"/>
      <c r="CH42" s="438"/>
      <c r="CI42" s="438"/>
      <c r="CJ42" s="438"/>
    </row>
    <row r="43" spans="38:88">
      <c r="AL43" s="437"/>
      <c r="AM43" s="438"/>
      <c r="AN43" s="438"/>
      <c r="AO43" s="438"/>
      <c r="AP43" s="438"/>
      <c r="AQ43" s="438"/>
      <c r="AS43" s="438"/>
      <c r="AT43" s="438"/>
      <c r="AU43" s="438"/>
      <c r="AV43" s="438"/>
      <c r="AX43" s="438"/>
      <c r="AY43" s="438"/>
      <c r="AZ43" s="438"/>
      <c r="BA43" s="438"/>
      <c r="BC43" s="438"/>
      <c r="BD43" s="438"/>
      <c r="BE43" s="438"/>
      <c r="BF43" s="438"/>
      <c r="BH43" s="438"/>
      <c r="BI43" s="438"/>
      <c r="BJ43" s="438"/>
      <c r="BK43" s="438"/>
      <c r="BM43" s="438"/>
      <c r="BN43" s="438"/>
      <c r="BO43" s="438"/>
      <c r="BP43" s="438"/>
      <c r="BR43" s="438"/>
      <c r="BS43" s="438"/>
      <c r="BT43" s="438"/>
      <c r="BU43" s="438"/>
      <c r="BW43" s="438"/>
      <c r="BX43" s="438"/>
      <c r="BY43" s="438"/>
      <c r="BZ43" s="438"/>
      <c r="CB43" s="438"/>
      <c r="CC43" s="438"/>
      <c r="CD43" s="438"/>
      <c r="CE43" s="438"/>
      <c r="CG43" s="438"/>
      <c r="CH43" s="438"/>
      <c r="CI43" s="438"/>
      <c r="CJ43" s="438"/>
    </row>
    <row r="44" spans="38:88">
      <c r="AL44" s="437"/>
      <c r="AM44" s="438"/>
      <c r="AN44" s="438"/>
      <c r="AO44" s="438"/>
      <c r="AP44" s="438"/>
      <c r="AQ44" s="438"/>
      <c r="AS44" s="438"/>
      <c r="AT44" s="438"/>
      <c r="AU44" s="438"/>
      <c r="AV44" s="438"/>
      <c r="AX44" s="438"/>
      <c r="AY44" s="438"/>
      <c r="AZ44" s="438"/>
      <c r="BA44" s="438"/>
      <c r="BC44" s="438"/>
      <c r="BD44" s="438"/>
      <c r="BE44" s="438"/>
      <c r="BF44" s="438"/>
      <c r="BH44" s="438"/>
      <c r="BI44" s="438"/>
      <c r="BJ44" s="438"/>
      <c r="BK44" s="438"/>
      <c r="BM44" s="438"/>
      <c r="BN44" s="438"/>
      <c r="BO44" s="438"/>
      <c r="BP44" s="438"/>
      <c r="BR44" s="438"/>
      <c r="BS44" s="438"/>
      <c r="BT44" s="438"/>
      <c r="BU44" s="438"/>
      <c r="BW44" s="438"/>
      <c r="BX44" s="438"/>
      <c r="BY44" s="438"/>
      <c r="BZ44" s="438"/>
      <c r="CB44" s="438"/>
      <c r="CC44" s="438"/>
      <c r="CD44" s="438"/>
      <c r="CE44" s="438"/>
      <c r="CG44" s="438"/>
      <c r="CH44" s="438"/>
      <c r="CI44" s="438"/>
      <c r="CJ44" s="438"/>
    </row>
    <row r="45" spans="38:88">
      <c r="AL45" s="437"/>
      <c r="AM45" s="438"/>
      <c r="AN45" s="438"/>
      <c r="AO45" s="438"/>
      <c r="AP45" s="438"/>
      <c r="AQ45" s="438"/>
      <c r="AS45" s="438"/>
      <c r="AT45" s="438"/>
      <c r="AU45" s="438"/>
      <c r="AV45" s="438"/>
      <c r="AX45" s="438"/>
      <c r="AY45" s="438"/>
      <c r="AZ45" s="438"/>
      <c r="BA45" s="438"/>
      <c r="BC45" s="438"/>
      <c r="BD45" s="438"/>
      <c r="BE45" s="438"/>
      <c r="BF45" s="438"/>
      <c r="BH45" s="438"/>
      <c r="BI45" s="438"/>
      <c r="BJ45" s="438"/>
      <c r="BK45" s="438"/>
      <c r="BM45" s="438"/>
      <c r="BN45" s="438"/>
      <c r="BO45" s="438"/>
      <c r="BP45" s="438"/>
      <c r="BR45" s="438"/>
      <c r="BS45" s="438"/>
      <c r="BT45" s="438"/>
      <c r="BU45" s="438"/>
      <c r="BW45" s="438"/>
      <c r="BX45" s="438"/>
      <c r="BY45" s="438"/>
      <c r="BZ45" s="438"/>
      <c r="CB45" s="438"/>
      <c r="CC45" s="438"/>
      <c r="CD45" s="438"/>
      <c r="CE45" s="438"/>
      <c r="CG45" s="438"/>
      <c r="CH45" s="438"/>
      <c r="CI45" s="438"/>
      <c r="CJ45" s="438"/>
    </row>
    <row r="46" spans="38:88">
      <c r="AL46" s="437"/>
      <c r="AM46" s="438"/>
      <c r="AN46" s="438"/>
      <c r="AO46" s="438"/>
      <c r="AP46" s="438"/>
      <c r="AQ46" s="438"/>
      <c r="AS46" s="438"/>
      <c r="AT46" s="438"/>
      <c r="AU46" s="438"/>
      <c r="AV46" s="438"/>
      <c r="AX46" s="438"/>
      <c r="AY46" s="438"/>
      <c r="AZ46" s="438"/>
      <c r="BA46" s="438"/>
      <c r="BC46" s="438"/>
      <c r="BD46" s="438"/>
      <c r="BE46" s="438"/>
      <c r="BF46" s="438"/>
      <c r="BH46" s="438"/>
      <c r="BI46" s="438"/>
      <c r="BJ46" s="438"/>
      <c r="BK46" s="438"/>
      <c r="BM46" s="438"/>
      <c r="BN46" s="438"/>
      <c r="BO46" s="438"/>
      <c r="BP46" s="438"/>
      <c r="BR46" s="438"/>
      <c r="BS46" s="438"/>
      <c r="BT46" s="438"/>
      <c r="BU46" s="438"/>
      <c r="BW46" s="438"/>
      <c r="BX46" s="438"/>
      <c r="BY46" s="438"/>
      <c r="BZ46" s="438"/>
      <c r="CB46" s="438"/>
      <c r="CC46" s="438"/>
      <c r="CD46" s="438"/>
      <c r="CE46" s="438"/>
      <c r="CG46" s="438"/>
      <c r="CH46" s="438"/>
      <c r="CI46" s="438"/>
      <c r="CJ46" s="438"/>
    </row>
    <row r="47" spans="38:88">
      <c r="AL47" s="437"/>
      <c r="AM47" s="438"/>
      <c r="AN47" s="438"/>
      <c r="AO47" s="438"/>
      <c r="AP47" s="438"/>
      <c r="AQ47" s="438"/>
      <c r="AS47" s="438"/>
      <c r="AT47" s="438"/>
      <c r="AU47" s="438"/>
      <c r="AV47" s="438"/>
      <c r="AX47" s="438"/>
      <c r="AY47" s="438"/>
      <c r="AZ47" s="438"/>
      <c r="BA47" s="438"/>
      <c r="BC47" s="438"/>
      <c r="BD47" s="438"/>
      <c r="BE47" s="438"/>
      <c r="BF47" s="438"/>
      <c r="BH47" s="438"/>
      <c r="BI47" s="438"/>
      <c r="BJ47" s="438"/>
      <c r="BK47" s="438"/>
      <c r="BM47" s="438"/>
      <c r="BN47" s="438"/>
      <c r="BO47" s="438"/>
      <c r="BP47" s="438"/>
      <c r="BR47" s="438"/>
      <c r="BS47" s="438"/>
      <c r="BT47" s="438"/>
      <c r="BU47" s="438"/>
      <c r="BW47" s="438"/>
      <c r="BX47" s="438"/>
      <c r="BY47" s="438"/>
      <c r="BZ47" s="438"/>
      <c r="CB47" s="438"/>
      <c r="CC47" s="438"/>
      <c r="CD47" s="438"/>
      <c r="CE47" s="438"/>
      <c r="CG47" s="438"/>
      <c r="CH47" s="438"/>
      <c r="CI47" s="438"/>
      <c r="CJ47" s="438"/>
    </row>
    <row r="48" spans="38:88">
      <c r="AL48" s="437"/>
      <c r="AM48" s="438"/>
      <c r="AN48" s="438"/>
      <c r="AO48" s="438"/>
      <c r="AP48" s="438"/>
      <c r="AQ48" s="438"/>
      <c r="AS48" s="438"/>
      <c r="AT48" s="438"/>
      <c r="AU48" s="438"/>
      <c r="AV48" s="438"/>
      <c r="AX48" s="438"/>
      <c r="AY48" s="438"/>
      <c r="AZ48" s="438"/>
      <c r="BA48" s="438"/>
      <c r="BC48" s="438"/>
      <c r="BD48" s="438"/>
      <c r="BE48" s="438"/>
      <c r="BF48" s="438"/>
      <c r="BH48" s="438"/>
      <c r="BI48" s="438"/>
      <c r="BJ48" s="438"/>
      <c r="BK48" s="438"/>
      <c r="BM48" s="438"/>
      <c r="BN48" s="438"/>
      <c r="BO48" s="438"/>
      <c r="BP48" s="438"/>
      <c r="BR48" s="438"/>
      <c r="BS48" s="438"/>
      <c r="BT48" s="438"/>
      <c r="BU48" s="438"/>
      <c r="BW48" s="438"/>
      <c r="BX48" s="438"/>
      <c r="BY48" s="438"/>
      <c r="BZ48" s="438"/>
      <c r="CB48" s="438"/>
      <c r="CC48" s="438"/>
      <c r="CD48" s="438"/>
      <c r="CE48" s="438"/>
      <c r="CG48" s="438"/>
      <c r="CH48" s="438"/>
      <c r="CI48" s="438"/>
      <c r="CJ48" s="438"/>
    </row>
    <row r="49" spans="38:88">
      <c r="AL49" s="437"/>
      <c r="AM49" s="438"/>
      <c r="AN49" s="438"/>
      <c r="AO49" s="438"/>
      <c r="AP49" s="438"/>
      <c r="AQ49" s="438"/>
      <c r="AS49" s="438"/>
      <c r="AT49" s="438"/>
      <c r="AU49" s="438"/>
      <c r="AV49" s="438"/>
      <c r="AX49" s="438"/>
      <c r="AY49" s="438"/>
      <c r="AZ49" s="438"/>
      <c r="BA49" s="438"/>
      <c r="BC49" s="438"/>
      <c r="BD49" s="438"/>
      <c r="BE49" s="438"/>
      <c r="BF49" s="438"/>
      <c r="BH49" s="438"/>
      <c r="BI49" s="438"/>
      <c r="BJ49" s="438"/>
      <c r="BK49" s="438"/>
      <c r="BM49" s="438"/>
      <c r="BN49" s="438"/>
      <c r="BO49" s="438"/>
      <c r="BP49" s="438"/>
      <c r="BR49" s="438"/>
      <c r="BS49" s="438"/>
      <c r="BT49" s="438"/>
      <c r="BU49" s="438"/>
      <c r="BW49" s="438"/>
      <c r="BX49" s="438"/>
      <c r="BY49" s="438"/>
      <c r="BZ49" s="438"/>
      <c r="CB49" s="438"/>
      <c r="CC49" s="438"/>
      <c r="CD49" s="438"/>
      <c r="CE49" s="438"/>
      <c r="CG49" s="438"/>
      <c r="CH49" s="438"/>
      <c r="CI49" s="438"/>
      <c r="CJ49" s="438"/>
    </row>
    <row r="50" spans="38:88">
      <c r="AL50" s="437"/>
      <c r="AM50" s="438"/>
      <c r="AN50" s="438"/>
      <c r="AO50" s="438"/>
      <c r="AP50" s="438"/>
      <c r="AQ50" s="438"/>
      <c r="AS50" s="438"/>
      <c r="AT50" s="438"/>
      <c r="AU50" s="438"/>
      <c r="AV50" s="438"/>
      <c r="AX50" s="438"/>
      <c r="AY50" s="438"/>
      <c r="AZ50" s="438"/>
      <c r="BA50" s="438"/>
      <c r="BC50" s="438"/>
      <c r="BD50" s="438"/>
      <c r="BE50" s="438"/>
      <c r="BF50" s="438"/>
      <c r="BH50" s="438"/>
      <c r="BI50" s="438"/>
      <c r="BJ50" s="438"/>
      <c r="BK50" s="438"/>
      <c r="BM50" s="438"/>
      <c r="BN50" s="438"/>
      <c r="BO50" s="438"/>
      <c r="BP50" s="438"/>
      <c r="BR50" s="438"/>
      <c r="BS50" s="438"/>
      <c r="BT50" s="438"/>
      <c r="BU50" s="438"/>
      <c r="BW50" s="438"/>
      <c r="BX50" s="438"/>
      <c r="BY50" s="438"/>
      <c r="BZ50" s="438"/>
      <c r="CB50" s="438"/>
      <c r="CC50" s="438"/>
      <c r="CD50" s="438"/>
      <c r="CE50" s="438"/>
      <c r="CG50" s="438"/>
      <c r="CH50" s="438"/>
      <c r="CI50" s="438"/>
      <c r="CJ50" s="438"/>
    </row>
    <row r="51" spans="38:88">
      <c r="AL51" s="437"/>
      <c r="AM51" s="438"/>
      <c r="AN51" s="438"/>
      <c r="AO51" s="438"/>
      <c r="AP51" s="438"/>
      <c r="AQ51" s="438"/>
      <c r="AS51" s="438"/>
      <c r="AT51" s="438"/>
      <c r="AU51" s="438"/>
      <c r="AV51" s="438"/>
      <c r="AX51" s="438"/>
      <c r="AY51" s="438"/>
      <c r="AZ51" s="438"/>
      <c r="BA51" s="438"/>
      <c r="BC51" s="438"/>
      <c r="BD51" s="438"/>
      <c r="BE51" s="438"/>
      <c r="BF51" s="438"/>
      <c r="BH51" s="438"/>
      <c r="BI51" s="438"/>
      <c r="BJ51" s="438"/>
      <c r="BK51" s="438"/>
      <c r="BM51" s="438"/>
      <c r="BN51" s="438"/>
      <c r="BO51" s="438"/>
      <c r="BP51" s="438"/>
      <c r="BR51" s="438"/>
      <c r="BS51" s="438"/>
      <c r="BT51" s="438"/>
      <c r="BU51" s="438"/>
      <c r="BW51" s="438"/>
      <c r="BX51" s="438"/>
      <c r="BY51" s="438"/>
      <c r="BZ51" s="438"/>
      <c r="CB51" s="438"/>
      <c r="CC51" s="438"/>
      <c r="CD51" s="438"/>
      <c r="CE51" s="438"/>
      <c r="CG51" s="438"/>
      <c r="CH51" s="438"/>
      <c r="CI51" s="438"/>
      <c r="CJ51" s="438"/>
    </row>
    <row r="52" spans="38:88">
      <c r="AL52" s="437"/>
      <c r="AM52" s="438"/>
      <c r="AN52" s="438"/>
      <c r="AO52" s="438"/>
      <c r="AP52" s="438"/>
      <c r="AQ52" s="438"/>
      <c r="AS52" s="438"/>
      <c r="AT52" s="438"/>
      <c r="AU52" s="438"/>
      <c r="AV52" s="438"/>
      <c r="AX52" s="438"/>
      <c r="AY52" s="438"/>
      <c r="AZ52" s="438"/>
      <c r="BA52" s="438"/>
      <c r="BC52" s="438"/>
      <c r="BD52" s="438"/>
      <c r="BE52" s="438"/>
      <c r="BF52" s="438"/>
      <c r="BH52" s="438"/>
      <c r="BI52" s="438"/>
      <c r="BJ52" s="438"/>
      <c r="BK52" s="438"/>
      <c r="BM52" s="438"/>
      <c r="BN52" s="438"/>
      <c r="BO52" s="438"/>
      <c r="BP52" s="438"/>
      <c r="BR52" s="438"/>
      <c r="BS52" s="438"/>
      <c r="BT52" s="438"/>
      <c r="BU52" s="438"/>
      <c r="BW52" s="438"/>
      <c r="BX52" s="438"/>
      <c r="BY52" s="438"/>
      <c r="BZ52" s="438"/>
      <c r="CB52" s="438"/>
      <c r="CC52" s="438"/>
      <c r="CD52" s="438"/>
      <c r="CE52" s="438"/>
      <c r="CG52" s="438"/>
      <c r="CH52" s="438"/>
      <c r="CI52" s="438"/>
      <c r="CJ52" s="438"/>
    </row>
    <row r="53" spans="38:88">
      <c r="AL53" s="437"/>
      <c r="AM53" s="438"/>
      <c r="AN53" s="438"/>
      <c r="AO53" s="438"/>
      <c r="AP53" s="438"/>
      <c r="AQ53" s="438"/>
      <c r="AS53" s="438"/>
      <c r="AT53" s="438"/>
      <c r="AU53" s="438"/>
      <c r="AV53" s="438"/>
      <c r="AX53" s="438"/>
      <c r="AY53" s="438"/>
      <c r="AZ53" s="438"/>
      <c r="BA53" s="438"/>
      <c r="BC53" s="438"/>
      <c r="BD53" s="438"/>
      <c r="BE53" s="438"/>
      <c r="BF53" s="438"/>
      <c r="BH53" s="438"/>
      <c r="BI53" s="438"/>
      <c r="BJ53" s="438"/>
      <c r="BK53" s="438"/>
      <c r="BM53" s="438"/>
      <c r="BN53" s="438"/>
      <c r="BO53" s="438"/>
      <c r="BP53" s="438"/>
      <c r="BR53" s="438"/>
      <c r="BS53" s="438"/>
      <c r="BT53" s="438"/>
      <c r="BU53" s="438"/>
      <c r="BW53" s="438"/>
      <c r="BX53" s="438"/>
      <c r="BY53" s="438"/>
      <c r="BZ53" s="438"/>
      <c r="CB53" s="438"/>
      <c r="CC53" s="438"/>
      <c r="CD53" s="438"/>
      <c r="CE53" s="438"/>
      <c r="CG53" s="438"/>
      <c r="CH53" s="438"/>
      <c r="CI53" s="438"/>
      <c r="CJ53" s="438"/>
    </row>
    <row r="54" spans="38:88">
      <c r="AL54" s="437"/>
      <c r="AM54" s="438"/>
      <c r="AN54" s="438"/>
      <c r="AO54" s="438"/>
      <c r="AP54" s="438"/>
      <c r="AQ54" s="438"/>
      <c r="AS54" s="438"/>
      <c r="AT54" s="438"/>
      <c r="AU54" s="438"/>
      <c r="AV54" s="438"/>
      <c r="AX54" s="438"/>
      <c r="AY54" s="438"/>
      <c r="AZ54" s="438"/>
      <c r="BA54" s="438"/>
      <c r="BC54" s="438"/>
      <c r="BD54" s="438"/>
      <c r="BE54" s="438"/>
      <c r="BF54" s="438"/>
      <c r="BH54" s="438"/>
      <c r="BI54" s="438"/>
      <c r="BJ54" s="438"/>
      <c r="BK54" s="438"/>
      <c r="BM54" s="438"/>
      <c r="BN54" s="438"/>
      <c r="BO54" s="438"/>
      <c r="BP54" s="438"/>
      <c r="BR54" s="438"/>
      <c r="BS54" s="438"/>
      <c r="BT54" s="438"/>
      <c r="BU54" s="438"/>
      <c r="BW54" s="438"/>
      <c r="BX54" s="438"/>
      <c r="BY54" s="438"/>
      <c r="BZ54" s="438"/>
      <c r="CB54" s="438"/>
      <c r="CC54" s="438"/>
      <c r="CD54" s="438"/>
      <c r="CE54" s="438"/>
      <c r="CG54" s="438"/>
      <c r="CH54" s="438"/>
      <c r="CI54" s="438"/>
      <c r="CJ54" s="438"/>
    </row>
    <row r="55" spans="38:88">
      <c r="AL55" s="437"/>
      <c r="AM55" s="438"/>
      <c r="AN55" s="438"/>
      <c r="AO55" s="438"/>
      <c r="AP55" s="438"/>
      <c r="AQ55" s="438"/>
      <c r="AS55" s="438"/>
      <c r="AT55" s="438"/>
      <c r="AU55" s="438"/>
      <c r="AV55" s="438"/>
      <c r="AX55" s="438"/>
      <c r="AY55" s="438"/>
      <c r="AZ55" s="438"/>
      <c r="BA55" s="438"/>
      <c r="BC55" s="438"/>
      <c r="BD55" s="438"/>
      <c r="BE55" s="438"/>
      <c r="BF55" s="438"/>
      <c r="BH55" s="438"/>
      <c r="BI55" s="438"/>
      <c r="BJ55" s="438"/>
      <c r="BK55" s="438"/>
      <c r="BM55" s="438"/>
      <c r="BN55" s="438"/>
      <c r="BO55" s="438"/>
      <c r="BP55" s="438"/>
      <c r="BR55" s="438"/>
      <c r="BS55" s="438"/>
      <c r="BT55" s="438"/>
      <c r="BU55" s="438"/>
      <c r="BW55" s="438"/>
      <c r="BX55" s="438"/>
      <c r="BY55" s="438"/>
      <c r="BZ55" s="438"/>
      <c r="CB55" s="438"/>
      <c r="CC55" s="438"/>
      <c r="CD55" s="438"/>
      <c r="CE55" s="438"/>
      <c r="CG55" s="438"/>
      <c r="CH55" s="438"/>
      <c r="CI55" s="438"/>
      <c r="CJ55" s="438"/>
    </row>
    <row r="56" spans="38:88">
      <c r="AL56" s="437"/>
      <c r="AM56" s="438"/>
      <c r="AN56" s="438"/>
      <c r="AO56" s="438"/>
      <c r="AP56" s="438"/>
      <c r="AQ56" s="438"/>
      <c r="AS56" s="438"/>
      <c r="AT56" s="438"/>
      <c r="AU56" s="438"/>
      <c r="AV56" s="438"/>
      <c r="AX56" s="438"/>
      <c r="AY56" s="438"/>
      <c r="AZ56" s="438"/>
      <c r="BA56" s="438"/>
      <c r="BC56" s="438"/>
      <c r="BD56" s="438"/>
      <c r="BE56" s="438"/>
      <c r="BF56" s="438"/>
      <c r="BH56" s="438"/>
      <c r="BI56" s="438"/>
      <c r="BJ56" s="438"/>
      <c r="BK56" s="438"/>
      <c r="BM56" s="438"/>
      <c r="BN56" s="438"/>
      <c r="BO56" s="438"/>
      <c r="BP56" s="438"/>
      <c r="BR56" s="438"/>
      <c r="BS56" s="438"/>
      <c r="BT56" s="438"/>
      <c r="BU56" s="438"/>
      <c r="BW56" s="438"/>
      <c r="BX56" s="438"/>
      <c r="BY56" s="438"/>
      <c r="BZ56" s="438"/>
      <c r="CB56" s="438"/>
      <c r="CC56" s="438"/>
      <c r="CD56" s="438"/>
      <c r="CE56" s="438"/>
      <c r="CG56" s="438"/>
      <c r="CH56" s="438"/>
      <c r="CI56" s="438"/>
      <c r="CJ56" s="438"/>
    </row>
    <row r="57" spans="38:88">
      <c r="AL57" s="437"/>
      <c r="AM57" s="438"/>
      <c r="AN57" s="438"/>
      <c r="AO57" s="438"/>
      <c r="AP57" s="438"/>
      <c r="AQ57" s="438"/>
      <c r="AS57" s="438"/>
      <c r="AT57" s="438"/>
      <c r="AU57" s="438"/>
      <c r="AV57" s="438"/>
      <c r="AX57" s="438"/>
      <c r="AY57" s="438"/>
      <c r="AZ57" s="438"/>
      <c r="BA57" s="438"/>
      <c r="BC57" s="438"/>
      <c r="BD57" s="438"/>
      <c r="BE57" s="438"/>
      <c r="BF57" s="438"/>
      <c r="BH57" s="438"/>
      <c r="BI57" s="438"/>
      <c r="BJ57" s="438"/>
      <c r="BK57" s="438"/>
      <c r="BM57" s="438"/>
      <c r="BN57" s="438"/>
      <c r="BO57" s="438"/>
      <c r="BP57" s="438"/>
      <c r="BR57" s="438"/>
      <c r="BS57" s="438"/>
      <c r="BT57" s="438"/>
      <c r="BU57" s="438"/>
      <c r="BW57" s="438"/>
      <c r="BX57" s="438"/>
      <c r="BY57" s="438"/>
      <c r="BZ57" s="438"/>
      <c r="CB57" s="438"/>
      <c r="CC57" s="438"/>
      <c r="CD57" s="438"/>
      <c r="CE57" s="438"/>
      <c r="CG57" s="438"/>
      <c r="CH57" s="438"/>
      <c r="CI57" s="438"/>
      <c r="CJ57" s="438"/>
    </row>
    <row r="58" spans="38:88">
      <c r="AL58" s="437"/>
      <c r="AM58" s="438"/>
      <c r="AN58" s="438"/>
      <c r="AO58" s="438"/>
      <c r="AP58" s="438"/>
      <c r="AQ58" s="438"/>
      <c r="AS58" s="438"/>
      <c r="AT58" s="438"/>
      <c r="AU58" s="438"/>
      <c r="AV58" s="438"/>
      <c r="AX58" s="438"/>
      <c r="AY58" s="438"/>
      <c r="AZ58" s="438"/>
      <c r="BA58" s="438"/>
      <c r="BC58" s="438"/>
      <c r="BD58" s="438"/>
      <c r="BE58" s="438"/>
      <c r="BF58" s="438"/>
      <c r="BH58" s="438"/>
      <c r="BI58" s="438"/>
      <c r="BJ58" s="438"/>
      <c r="BK58" s="438"/>
      <c r="BM58" s="438"/>
      <c r="BN58" s="438"/>
      <c r="BO58" s="438"/>
      <c r="BP58" s="438"/>
      <c r="BR58" s="438"/>
      <c r="BS58" s="438"/>
      <c r="BT58" s="438"/>
      <c r="BU58" s="438"/>
      <c r="BW58" s="438"/>
      <c r="BX58" s="438"/>
      <c r="BY58" s="438"/>
      <c r="BZ58" s="438"/>
      <c r="CB58" s="438"/>
      <c r="CC58" s="438"/>
      <c r="CD58" s="438"/>
      <c r="CE58" s="438"/>
      <c r="CG58" s="438"/>
      <c r="CH58" s="438"/>
      <c r="CI58" s="438"/>
      <c r="CJ58" s="438"/>
    </row>
    <row r="59" spans="38:88">
      <c r="AL59" s="437"/>
      <c r="AM59" s="438"/>
      <c r="AN59" s="438"/>
      <c r="AO59" s="438"/>
      <c r="AP59" s="438"/>
      <c r="AQ59" s="438"/>
      <c r="AS59" s="438"/>
      <c r="AT59" s="438"/>
      <c r="AU59" s="438"/>
      <c r="AV59" s="438"/>
      <c r="AX59" s="438"/>
      <c r="AY59" s="438"/>
      <c r="AZ59" s="438"/>
      <c r="BA59" s="438"/>
      <c r="BC59" s="438"/>
      <c r="BD59" s="438"/>
      <c r="BE59" s="438"/>
      <c r="BF59" s="438"/>
      <c r="BH59" s="438"/>
      <c r="BI59" s="438"/>
      <c r="BJ59" s="438"/>
      <c r="BK59" s="438"/>
      <c r="BM59" s="438"/>
      <c r="BN59" s="438"/>
      <c r="BO59" s="438"/>
      <c r="BP59" s="438"/>
      <c r="BR59" s="438"/>
      <c r="BS59" s="438"/>
      <c r="BT59" s="438"/>
      <c r="BU59" s="438"/>
      <c r="BW59" s="438"/>
      <c r="BX59" s="438"/>
      <c r="BY59" s="438"/>
      <c r="BZ59" s="438"/>
      <c r="CB59" s="438"/>
      <c r="CC59" s="438"/>
      <c r="CD59" s="438"/>
      <c r="CE59" s="438"/>
      <c r="CG59" s="438"/>
      <c r="CH59" s="438"/>
      <c r="CI59" s="438"/>
      <c r="CJ59" s="438"/>
    </row>
    <row r="60" spans="38:88">
      <c r="AL60" s="437"/>
      <c r="AM60" s="438"/>
      <c r="AN60" s="438"/>
      <c r="AO60" s="438"/>
      <c r="AP60" s="438"/>
      <c r="AQ60" s="438"/>
      <c r="AS60" s="438"/>
      <c r="AT60" s="438"/>
      <c r="AU60" s="438"/>
      <c r="AV60" s="438"/>
      <c r="AX60" s="438"/>
      <c r="AY60" s="438"/>
      <c r="AZ60" s="438"/>
      <c r="BA60" s="438"/>
      <c r="BC60" s="438"/>
      <c r="BD60" s="438"/>
      <c r="BE60" s="438"/>
      <c r="BF60" s="438"/>
      <c r="BH60" s="438"/>
      <c r="BI60" s="438"/>
      <c r="BJ60" s="438"/>
      <c r="BK60" s="438"/>
      <c r="BM60" s="438"/>
      <c r="BN60" s="438"/>
      <c r="BO60" s="438"/>
      <c r="BP60" s="438"/>
      <c r="BR60" s="438"/>
      <c r="BS60" s="438"/>
      <c r="BT60" s="438"/>
      <c r="BU60" s="438"/>
      <c r="BW60" s="438"/>
      <c r="BX60" s="438"/>
      <c r="BY60" s="438"/>
      <c r="BZ60" s="438"/>
      <c r="CB60" s="438"/>
      <c r="CC60" s="438"/>
      <c r="CD60" s="438"/>
      <c r="CE60" s="438"/>
      <c r="CG60" s="438"/>
      <c r="CH60" s="438"/>
      <c r="CI60" s="438"/>
      <c r="CJ60" s="438"/>
    </row>
    <row r="61" spans="38:88">
      <c r="AL61" s="437"/>
      <c r="AM61" s="438"/>
      <c r="AN61" s="438"/>
      <c r="AO61" s="438"/>
      <c r="AP61" s="438"/>
      <c r="AQ61" s="438"/>
      <c r="AS61" s="438"/>
      <c r="AT61" s="438"/>
      <c r="AU61" s="438"/>
      <c r="AV61" s="438"/>
      <c r="AX61" s="438"/>
      <c r="AY61" s="438"/>
      <c r="AZ61" s="438"/>
      <c r="BA61" s="438"/>
    </row>
    <row r="62" spans="38:88">
      <c r="AL62" s="437"/>
      <c r="AM62" s="438"/>
      <c r="AN62" s="438"/>
      <c r="AO62" s="438"/>
      <c r="AP62" s="438"/>
      <c r="AQ62" s="438"/>
      <c r="AS62" s="438"/>
      <c r="AT62" s="438"/>
      <c r="AU62" s="438"/>
      <c r="AV62" s="438"/>
      <c r="AX62" s="438"/>
      <c r="AY62" s="438"/>
      <c r="AZ62" s="438"/>
      <c r="BA62" s="438"/>
    </row>
    <row r="63" spans="38:88">
      <c r="AL63" s="437"/>
      <c r="AM63" s="438"/>
      <c r="AN63" s="438"/>
      <c r="AO63" s="438"/>
      <c r="AP63" s="438"/>
      <c r="AQ63" s="438"/>
      <c r="AS63" s="438"/>
      <c r="AT63" s="438"/>
      <c r="AU63" s="438"/>
      <c r="AV63" s="438"/>
      <c r="AX63" s="438"/>
      <c r="AY63" s="438"/>
      <c r="AZ63" s="438"/>
      <c r="BA63" s="438"/>
    </row>
    <row r="64" spans="38:88">
      <c r="AL64" s="437"/>
      <c r="AM64" s="438"/>
      <c r="AN64" s="438"/>
      <c r="AO64" s="438"/>
      <c r="AP64" s="438"/>
      <c r="AQ64" s="438"/>
      <c r="AS64" s="438"/>
      <c r="AT64" s="438"/>
      <c r="AU64" s="438"/>
      <c r="AV64" s="438"/>
      <c r="AX64" s="438"/>
      <c r="AY64" s="438"/>
      <c r="AZ64" s="438"/>
      <c r="BA64" s="438"/>
    </row>
    <row r="65" spans="38:53">
      <c r="AL65" s="437"/>
      <c r="AM65" s="438"/>
      <c r="AN65" s="438"/>
      <c r="AO65" s="438"/>
      <c r="AP65" s="438"/>
      <c r="AQ65" s="438"/>
      <c r="AS65" s="438"/>
      <c r="AT65" s="438"/>
      <c r="AU65" s="438"/>
      <c r="AV65" s="438"/>
      <c r="AX65" s="438"/>
      <c r="AY65" s="438"/>
      <c r="AZ65" s="438"/>
      <c r="BA65" s="438"/>
    </row>
    <row r="66" spans="38:53">
      <c r="AL66" s="437"/>
      <c r="AM66" s="438"/>
      <c r="AN66" s="438"/>
      <c r="AO66" s="438"/>
      <c r="AP66" s="438"/>
      <c r="AQ66" s="438"/>
      <c r="AS66" s="438"/>
      <c r="AT66" s="438"/>
      <c r="AU66" s="438"/>
      <c r="AV66" s="438"/>
      <c r="AX66" s="438"/>
      <c r="AY66" s="438"/>
      <c r="AZ66" s="438"/>
      <c r="BA66" s="438"/>
    </row>
    <row r="67" spans="38:53">
      <c r="AL67" s="437"/>
      <c r="AM67" s="438"/>
      <c r="AN67" s="438"/>
      <c r="AO67" s="438"/>
      <c r="AP67" s="438"/>
      <c r="AQ67" s="438"/>
      <c r="AS67" s="438"/>
      <c r="AT67" s="438"/>
      <c r="AU67" s="438"/>
      <c r="AV67" s="438"/>
      <c r="AX67" s="438"/>
      <c r="AY67" s="438"/>
      <c r="AZ67" s="438"/>
      <c r="BA67" s="438"/>
    </row>
    <row r="68" spans="38:53">
      <c r="AL68" s="437"/>
      <c r="AM68" s="438"/>
      <c r="AN68" s="438"/>
      <c r="AO68" s="438"/>
      <c r="AP68" s="438"/>
      <c r="AQ68" s="438"/>
      <c r="AS68" s="438"/>
      <c r="AT68" s="438"/>
      <c r="AU68" s="438"/>
      <c r="AV68" s="438"/>
      <c r="AX68" s="438"/>
      <c r="AY68" s="438"/>
      <c r="AZ68" s="438"/>
      <c r="BA68" s="438"/>
    </row>
    <row r="69" spans="38:53">
      <c r="AL69" s="437"/>
      <c r="AM69" s="438"/>
      <c r="AN69" s="438"/>
      <c r="AO69" s="438"/>
      <c r="AP69" s="438"/>
      <c r="AQ69" s="438"/>
      <c r="AS69" s="438"/>
      <c r="AT69" s="438"/>
      <c r="AU69" s="438"/>
      <c r="AV69" s="438"/>
      <c r="AX69" s="438"/>
      <c r="AY69" s="438"/>
      <c r="AZ69" s="438"/>
      <c r="BA69" s="438"/>
    </row>
    <row r="70" spans="38:53">
      <c r="AL70" s="437"/>
      <c r="AM70" s="438"/>
      <c r="AN70" s="438"/>
      <c r="AO70" s="438"/>
      <c r="AP70" s="438"/>
      <c r="AQ70" s="438"/>
      <c r="AS70" s="438"/>
      <c r="AT70" s="438"/>
      <c r="AU70" s="438"/>
      <c r="AV70" s="438"/>
      <c r="AX70" s="438"/>
      <c r="AY70" s="438"/>
      <c r="AZ70" s="438"/>
      <c r="BA70" s="438"/>
    </row>
    <row r="71" spans="38:53">
      <c r="AL71" s="437"/>
      <c r="AM71" s="438"/>
      <c r="AN71" s="438"/>
      <c r="AO71" s="438"/>
      <c r="AP71" s="438"/>
      <c r="AQ71" s="438"/>
      <c r="AS71" s="438"/>
      <c r="AT71" s="438"/>
      <c r="AU71" s="438"/>
      <c r="AV71" s="438"/>
      <c r="AX71" s="438"/>
      <c r="AY71" s="438"/>
      <c r="AZ71" s="438"/>
      <c r="BA71" s="438"/>
    </row>
    <row r="72" spans="38:53">
      <c r="AL72" s="437"/>
      <c r="AM72" s="438"/>
      <c r="AN72" s="438"/>
      <c r="AO72" s="438"/>
      <c r="AP72" s="438"/>
      <c r="AQ72" s="438"/>
      <c r="AS72" s="438"/>
      <c r="AT72" s="438"/>
      <c r="AU72" s="438"/>
      <c r="AV72" s="438"/>
      <c r="AX72" s="438"/>
      <c r="AY72" s="438"/>
      <c r="AZ72" s="438"/>
      <c r="BA72" s="438"/>
    </row>
    <row r="73" spans="38:53">
      <c r="AL73" s="437"/>
      <c r="AM73" s="438"/>
      <c r="AN73" s="438"/>
      <c r="AO73" s="438"/>
      <c r="AP73" s="438"/>
      <c r="AQ73" s="438"/>
      <c r="AS73" s="438"/>
      <c r="AT73" s="438"/>
      <c r="AU73" s="438"/>
      <c r="AV73" s="438"/>
      <c r="AX73" s="438"/>
      <c r="AY73" s="438"/>
      <c r="AZ73" s="438"/>
      <c r="BA73" s="438"/>
    </row>
    <row r="74" spans="38:53">
      <c r="AL74" s="437"/>
      <c r="AM74" s="438"/>
      <c r="AN74" s="438"/>
      <c r="AO74" s="438"/>
      <c r="AP74" s="438"/>
      <c r="AQ74" s="438"/>
      <c r="AS74" s="438"/>
      <c r="AT74" s="438"/>
      <c r="AU74" s="438"/>
      <c r="AV74" s="438"/>
      <c r="AX74" s="438"/>
      <c r="AY74" s="438"/>
      <c r="AZ74" s="438"/>
      <c r="BA74" s="438"/>
    </row>
    <row r="75" spans="38:53">
      <c r="AL75" s="437"/>
      <c r="AM75" s="438"/>
      <c r="AN75" s="438"/>
      <c r="AO75" s="438"/>
      <c r="AP75" s="438"/>
      <c r="AQ75" s="438"/>
      <c r="AS75" s="438"/>
      <c r="AT75" s="438"/>
      <c r="AU75" s="438"/>
      <c r="AV75" s="438"/>
      <c r="AX75" s="438"/>
      <c r="AY75" s="438"/>
      <c r="AZ75" s="438"/>
      <c r="BA75" s="438"/>
    </row>
    <row r="76" spans="38:53">
      <c r="AL76" s="437"/>
      <c r="AM76" s="438"/>
      <c r="AN76" s="438"/>
      <c r="AO76" s="438"/>
      <c r="AP76" s="438"/>
      <c r="AQ76" s="438"/>
      <c r="AS76" s="438"/>
      <c r="AT76" s="438"/>
      <c r="AU76" s="438"/>
      <c r="AV76" s="438"/>
      <c r="AX76" s="438"/>
      <c r="AY76" s="438"/>
      <c r="AZ76" s="438"/>
      <c r="BA76" s="438"/>
    </row>
    <row r="77" spans="38:53">
      <c r="AL77" s="437"/>
      <c r="AM77" s="438"/>
      <c r="AN77" s="438"/>
      <c r="AO77" s="438"/>
      <c r="AP77" s="438"/>
      <c r="AQ77" s="438"/>
      <c r="AS77" s="438"/>
      <c r="AT77" s="438"/>
      <c r="AU77" s="438"/>
      <c r="AV77" s="438"/>
      <c r="AX77" s="438"/>
      <c r="AY77" s="438"/>
      <c r="AZ77" s="438"/>
      <c r="BA77" s="438"/>
    </row>
    <row r="78" spans="38:53">
      <c r="AL78" s="437"/>
      <c r="AM78" s="438"/>
      <c r="AN78" s="438"/>
      <c r="AO78" s="438"/>
      <c r="AP78" s="438"/>
      <c r="AQ78" s="438"/>
      <c r="AS78" s="438"/>
      <c r="AT78" s="438"/>
      <c r="AU78" s="438"/>
      <c r="AV78" s="438"/>
      <c r="AX78" s="438"/>
      <c r="AY78" s="438"/>
      <c r="AZ78" s="438"/>
      <c r="BA78" s="438"/>
    </row>
    <row r="79" spans="38:53">
      <c r="AL79" s="437"/>
      <c r="AM79" s="438"/>
      <c r="AN79" s="438"/>
      <c r="AO79" s="438"/>
      <c r="AP79" s="438"/>
      <c r="AQ79" s="438"/>
      <c r="AS79" s="438"/>
      <c r="AT79" s="438"/>
      <c r="AU79" s="438"/>
      <c r="AV79" s="438"/>
      <c r="AX79" s="438"/>
      <c r="AY79" s="438"/>
      <c r="AZ79" s="438"/>
      <c r="BA79" s="438"/>
    </row>
    <row r="80" spans="38:53">
      <c r="AL80" s="437"/>
      <c r="AM80" s="438"/>
      <c r="AN80" s="438"/>
      <c r="AO80" s="438"/>
      <c r="AP80" s="438"/>
      <c r="AQ80" s="438"/>
      <c r="AS80" s="438"/>
      <c r="AT80" s="438"/>
      <c r="AU80" s="438"/>
      <c r="AV80" s="438"/>
      <c r="AX80" s="438"/>
      <c r="AY80" s="438"/>
      <c r="AZ80" s="438"/>
      <c r="BA80" s="438"/>
    </row>
    <row r="81" spans="38:53">
      <c r="AL81" s="437"/>
      <c r="AM81" s="438"/>
      <c r="AN81" s="438"/>
      <c r="AO81" s="438"/>
      <c r="AP81" s="438"/>
      <c r="AQ81" s="438"/>
      <c r="AS81" s="438"/>
      <c r="AT81" s="438"/>
      <c r="AU81" s="438"/>
      <c r="AV81" s="438"/>
      <c r="AX81" s="438"/>
      <c r="AY81" s="438"/>
      <c r="AZ81" s="438"/>
      <c r="BA81" s="438"/>
    </row>
    <row r="82" spans="38:53">
      <c r="AL82" s="437"/>
      <c r="AM82" s="438"/>
      <c r="AN82" s="438"/>
      <c r="AO82" s="438"/>
      <c r="AP82" s="438"/>
      <c r="AQ82" s="438"/>
      <c r="AS82" s="438"/>
      <c r="AT82" s="438"/>
      <c r="AU82" s="438"/>
      <c r="AV82" s="438"/>
      <c r="AX82" s="438"/>
      <c r="AY82" s="438"/>
      <c r="AZ82" s="438"/>
      <c r="BA82" s="438"/>
    </row>
    <row r="83" spans="38:53">
      <c r="AL83" s="437"/>
      <c r="AM83" s="438"/>
      <c r="AN83" s="438"/>
      <c r="AO83" s="438"/>
      <c r="AP83" s="438"/>
      <c r="AQ83" s="438"/>
      <c r="AS83" s="438"/>
      <c r="AT83" s="438"/>
      <c r="AU83" s="438"/>
      <c r="AV83" s="438"/>
      <c r="AX83" s="438"/>
      <c r="AY83" s="438"/>
      <c r="AZ83" s="438"/>
      <c r="BA83" s="438"/>
    </row>
    <row r="84" spans="38:53">
      <c r="AL84" s="437"/>
      <c r="AM84" s="438"/>
      <c r="AN84" s="438"/>
      <c r="AO84" s="438"/>
      <c r="AP84" s="438"/>
      <c r="AQ84" s="438"/>
      <c r="AS84" s="438"/>
      <c r="AT84" s="438"/>
      <c r="AU84" s="438"/>
      <c r="AV84" s="438"/>
      <c r="AX84" s="438"/>
      <c r="AY84" s="438"/>
      <c r="AZ84" s="438"/>
      <c r="BA84" s="438"/>
    </row>
  </sheetData>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5</xdr:col>
                <xdr:colOff>85725</xdr:colOff>
                <xdr:row>0</xdr:row>
                <xdr:rowOff>57150</xdr:rowOff>
              </from>
              <to>
                <xdr:col>12</xdr:col>
                <xdr:colOff>171450</xdr:colOff>
                <xdr:row>2</xdr:row>
                <xdr:rowOff>114300</xdr:rowOff>
              </to>
            </anchor>
          </controlPr>
        </control>
      </mc:Choice>
      <mc:Fallback>
        <control shapeId="20481" r:id="rId4" name="CommandButton1"/>
      </mc:Fallback>
    </mc:AlternateContent>
    <mc:AlternateContent xmlns:mc="http://schemas.openxmlformats.org/markup-compatibility/2006">
      <mc:Choice Requires="x14">
        <control shapeId="20482" r:id="rId6" name="OptionButton1">
          <controlPr defaultSize="0" autoLine="0" r:id="rId7">
            <anchor moveWithCells="1">
              <from>
                <xdr:col>13</xdr:col>
                <xdr:colOff>104775</xdr:colOff>
                <xdr:row>0</xdr:row>
                <xdr:rowOff>133350</xdr:rowOff>
              </from>
              <to>
                <xdr:col>18</xdr:col>
                <xdr:colOff>38100</xdr:colOff>
                <xdr:row>2</xdr:row>
                <xdr:rowOff>66675</xdr:rowOff>
              </to>
            </anchor>
          </controlPr>
        </control>
      </mc:Choice>
      <mc:Fallback>
        <control shapeId="20482" r:id="rId6" name="OptionButton1"/>
      </mc:Fallback>
    </mc:AlternateContent>
    <mc:AlternateContent xmlns:mc="http://schemas.openxmlformats.org/markup-compatibility/2006">
      <mc:Choice Requires="x14">
        <control shapeId="20483" r:id="rId8" name="OptionButton2">
          <controlPr defaultSize="0" autoLine="0" r:id="rId9">
            <anchor moveWithCells="1">
              <from>
                <xdr:col>19</xdr:col>
                <xdr:colOff>9525</xdr:colOff>
                <xdr:row>0</xdr:row>
                <xdr:rowOff>133350</xdr:rowOff>
              </from>
              <to>
                <xdr:col>22</xdr:col>
                <xdr:colOff>228600</xdr:colOff>
                <xdr:row>2</xdr:row>
                <xdr:rowOff>66675</xdr:rowOff>
              </to>
            </anchor>
          </controlPr>
        </control>
      </mc:Choice>
      <mc:Fallback>
        <control shapeId="20483" r:id="rId8" name="Option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ervoir"/>
  <dimension ref="B1:R45"/>
  <sheetViews>
    <sheetView showGridLines="0" topLeftCell="A2" workbookViewId="0">
      <selection activeCell="H37" sqref="H37"/>
    </sheetView>
  </sheetViews>
  <sheetFormatPr defaultRowHeight="12"/>
  <cols>
    <col min="1" max="1" width="0.42578125" style="346" customWidth="1"/>
    <col min="2" max="2" width="25.28515625" style="346" customWidth="1"/>
    <col min="3" max="3" width="2.5703125" style="346" customWidth="1"/>
    <col min="4" max="5" width="9.140625" style="346"/>
    <col min="6" max="6" width="8.28515625" style="346" customWidth="1"/>
    <col min="7" max="7" width="1.5703125" style="346" customWidth="1"/>
    <col min="8" max="16384" width="9.140625" style="346"/>
  </cols>
  <sheetData>
    <row r="1" spans="2:6" ht="6.75" customHeight="1"/>
    <row r="3" spans="2:6">
      <c r="E3" s="442"/>
    </row>
    <row r="4" spans="2:6">
      <c r="B4" s="443" t="s">
        <v>231</v>
      </c>
      <c r="C4" s="444"/>
      <c r="D4" s="445" t="s">
        <v>175</v>
      </c>
      <c r="E4" s="445" t="s">
        <v>174</v>
      </c>
      <c r="F4" s="446" t="s">
        <v>180</v>
      </c>
    </row>
    <row r="5" spans="2:6" ht="14.25" customHeight="1">
      <c r="B5" s="447" t="s">
        <v>228</v>
      </c>
      <c r="C5" s="448" t="s">
        <v>173</v>
      </c>
      <c r="D5" s="449">
        <v>4500</v>
      </c>
      <c r="E5" s="449">
        <v>5700</v>
      </c>
      <c r="F5" s="450" t="s">
        <v>118</v>
      </c>
    </row>
    <row r="6" spans="2:6" ht="14.25" customHeight="1">
      <c r="B6" s="451" t="s">
        <v>230</v>
      </c>
      <c r="C6" s="421" t="s">
        <v>173</v>
      </c>
      <c r="D6" s="452">
        <v>300</v>
      </c>
      <c r="E6" s="452">
        <v>500</v>
      </c>
      <c r="F6" s="453" t="s">
        <v>118</v>
      </c>
    </row>
    <row r="7" spans="2:6" ht="14.25" customHeight="1">
      <c r="B7" s="451" t="s">
        <v>181</v>
      </c>
      <c r="C7" s="421" t="s">
        <v>173</v>
      </c>
      <c r="D7" s="454">
        <v>0.5</v>
      </c>
      <c r="E7" s="454">
        <v>0.75</v>
      </c>
      <c r="F7" s="453" t="s">
        <v>176</v>
      </c>
    </row>
    <row r="8" spans="2:6" ht="14.25" customHeight="1">
      <c r="B8" s="451" t="s">
        <v>219</v>
      </c>
      <c r="C8" s="421" t="s">
        <v>173</v>
      </c>
      <c r="D8" s="454">
        <v>0.12</v>
      </c>
      <c r="E8" s="454">
        <v>0.12</v>
      </c>
      <c r="F8" s="453" t="s">
        <v>176</v>
      </c>
    </row>
    <row r="9" spans="2:6" ht="14.25" customHeight="1">
      <c r="B9" s="455" t="s">
        <v>232</v>
      </c>
      <c r="C9" s="456" t="s">
        <v>173</v>
      </c>
      <c r="D9" s="457">
        <v>90</v>
      </c>
      <c r="E9" s="457">
        <v>90</v>
      </c>
      <c r="F9" s="458" t="s">
        <v>183</v>
      </c>
    </row>
    <row r="10" spans="2:6" ht="14.25" customHeight="1">
      <c r="B10" s="459"/>
      <c r="C10" s="460" t="s">
        <v>173</v>
      </c>
      <c r="D10" s="461">
        <f>+(D9-32)*5/9</f>
        <v>32.222222222222221</v>
      </c>
      <c r="E10" s="461">
        <f>+(E9-32)*5/9</f>
        <v>32.222222222222221</v>
      </c>
      <c r="F10" s="462" t="s">
        <v>227</v>
      </c>
    </row>
    <row r="11" spans="2:6" ht="14.25" customHeight="1">
      <c r="B11" s="451" t="s">
        <v>233</v>
      </c>
      <c r="C11" s="421" t="s">
        <v>173</v>
      </c>
      <c r="D11" s="463">
        <v>1.05</v>
      </c>
      <c r="E11" s="463">
        <v>1.1200000000000001</v>
      </c>
      <c r="F11" s="464" t="s">
        <v>186</v>
      </c>
    </row>
    <row r="12" spans="2:6" ht="14.25" customHeight="1">
      <c r="B12" s="459"/>
      <c r="C12" s="460" t="s">
        <v>173</v>
      </c>
      <c r="D12" s="461">
        <f>+(((D11*100)-32)*5/9)/(0.3048*100)</f>
        <v>1.3305628463108778</v>
      </c>
      <c r="E12" s="461">
        <f>+(((E11*100)-32)*5/9)/(0.3048*100)</f>
        <v>1.4581510644502773</v>
      </c>
      <c r="F12" s="462" t="s">
        <v>234</v>
      </c>
    </row>
    <row r="13" spans="2:6">
      <c r="D13" s="395"/>
      <c r="E13" s="395"/>
      <c r="F13" s="465"/>
    </row>
    <row r="14" spans="2:6">
      <c r="D14" s="395"/>
      <c r="E14" s="395"/>
      <c r="F14" s="465"/>
    </row>
    <row r="15" spans="2:6">
      <c r="B15" s="443" t="s">
        <v>235</v>
      </c>
      <c r="C15" s="444"/>
      <c r="D15" s="445" t="s">
        <v>175</v>
      </c>
      <c r="E15" s="445" t="s">
        <v>174</v>
      </c>
      <c r="F15" s="446" t="s">
        <v>180</v>
      </c>
    </row>
    <row r="16" spans="2:6">
      <c r="B16" s="466" t="s">
        <v>229</v>
      </c>
      <c r="C16" s="448" t="s">
        <v>173</v>
      </c>
      <c r="D16" s="467">
        <f>+D5+D6</f>
        <v>4800</v>
      </c>
      <c r="E16" s="467">
        <f>+E5+E6</f>
        <v>6200</v>
      </c>
      <c r="F16" s="468" t="s">
        <v>118</v>
      </c>
    </row>
    <row r="17" spans="2:6">
      <c r="B17" s="469" t="s">
        <v>177</v>
      </c>
      <c r="C17" s="421" t="s">
        <v>173</v>
      </c>
      <c r="D17" s="470">
        <f>14.7+(D16*$D$7/0.3048)</f>
        <v>7888.7157480314954</v>
      </c>
      <c r="E17" s="470">
        <f>14.7+(E16*$E$7/0.3048)</f>
        <v>15270.605511811023</v>
      </c>
      <c r="F17" s="471" t="s">
        <v>161</v>
      </c>
    </row>
    <row r="18" spans="2:6">
      <c r="B18" s="469" t="s">
        <v>178</v>
      </c>
      <c r="C18" s="421" t="s">
        <v>173</v>
      </c>
      <c r="D18" s="470">
        <f>+D17-$D$8*(D16-D5)/0.3048</f>
        <v>7770.6055118110226</v>
      </c>
      <c r="E18" s="470">
        <f>+E17-$E$8*(E16-E5)/0.3048</f>
        <v>15073.755118110235</v>
      </c>
      <c r="F18" s="471" t="s">
        <v>161</v>
      </c>
    </row>
    <row r="19" spans="2:6">
      <c r="B19" s="472" t="s">
        <v>179</v>
      </c>
      <c r="C19" s="473" t="s">
        <v>173</v>
      </c>
      <c r="D19" s="474">
        <f>+(D18+D17)/2</f>
        <v>7829.660629921259</v>
      </c>
      <c r="E19" s="474">
        <f>+(E18+E17)/2</f>
        <v>15172.180314960629</v>
      </c>
      <c r="F19" s="475" t="s">
        <v>161</v>
      </c>
    </row>
    <row r="20" spans="2:6">
      <c r="B20" s="476" t="s">
        <v>184</v>
      </c>
      <c r="C20" s="477" t="s">
        <v>173</v>
      </c>
      <c r="D20" s="478">
        <f>+D9+(D16/0.3048)*(D11/100)</f>
        <v>255.35433070866142</v>
      </c>
      <c r="E20" s="478">
        <f>+E9+(E16/0.3048)*(E11/100)</f>
        <v>317.82152230971133</v>
      </c>
      <c r="F20" s="479" t="s">
        <v>183</v>
      </c>
    </row>
    <row r="21" spans="2:6">
      <c r="B21" s="480" t="s">
        <v>185</v>
      </c>
      <c r="C21" s="421" t="s">
        <v>173</v>
      </c>
      <c r="D21" s="470">
        <f>+D9+(D5/0.3048)*(D11/100)</f>
        <v>245.01968503937007</v>
      </c>
      <c r="E21" s="470">
        <f>+E9+(E5/0.3048)*(E11/100)</f>
        <v>299.44881889763781</v>
      </c>
      <c r="F21" s="481" t="s">
        <v>183</v>
      </c>
    </row>
    <row r="22" spans="2:6">
      <c r="B22" s="482" t="s">
        <v>187</v>
      </c>
      <c r="C22" s="483" t="s">
        <v>173</v>
      </c>
      <c r="D22" s="484">
        <f>+(D21+D20)/2</f>
        <v>250.18700787401576</v>
      </c>
      <c r="E22" s="484">
        <f>+(E21+E20)/2</f>
        <v>308.63517060367457</v>
      </c>
      <c r="F22" s="481" t="s">
        <v>183</v>
      </c>
    </row>
    <row r="23" spans="2:6">
      <c r="B23" s="485" t="s">
        <v>187</v>
      </c>
      <c r="C23" s="486" t="s">
        <v>173</v>
      </c>
      <c r="D23" s="487">
        <f>+(D22-32)*5/9</f>
        <v>121.2150043744532</v>
      </c>
      <c r="E23" s="487">
        <f>+(E22-32)*5/9</f>
        <v>153.68620589093032</v>
      </c>
      <c r="F23" s="488" t="s">
        <v>227</v>
      </c>
    </row>
    <row r="24" spans="2:6">
      <c r="B24" s="489" t="s">
        <v>160</v>
      </c>
      <c r="C24" s="490" t="s">
        <v>173</v>
      </c>
      <c r="D24" s="491">
        <f>+Composition!T14</f>
        <v>371.82457039403465</v>
      </c>
      <c r="E24" s="491">
        <f>+D24</f>
        <v>371.82457039403465</v>
      </c>
      <c r="F24" s="492" t="s">
        <v>159</v>
      </c>
    </row>
    <row r="25" spans="2:6">
      <c r="B25" s="493" t="s">
        <v>272</v>
      </c>
      <c r="C25" s="494" t="s">
        <v>173</v>
      </c>
      <c r="D25" s="495">
        <f>+(D22+460)/D24</f>
        <v>1.9100055897903878</v>
      </c>
      <c r="E25" s="495">
        <f>+(E22+460)/E24</f>
        <v>2.0671984365883267</v>
      </c>
      <c r="F25" s="496"/>
    </row>
    <row r="26" spans="2:6" ht="19.5" customHeight="1">
      <c r="B26" s="497" t="s">
        <v>167</v>
      </c>
      <c r="C26" s="498" t="s">
        <v>173</v>
      </c>
      <c r="D26" s="499">
        <f>Factor_z_EOS(D19,D22)</f>
        <v>1.16259</v>
      </c>
      <c r="E26" s="499">
        <f>Factor_z_EOS(E19,E22)</f>
        <v>1.59843</v>
      </c>
      <c r="F26" s="500"/>
    </row>
    <row r="27" spans="2:6" ht="19.5" customHeight="1">
      <c r="B27" s="501" t="s">
        <v>113</v>
      </c>
      <c r="C27" s="407" t="s">
        <v>173</v>
      </c>
      <c r="D27" s="502">
        <f>Bg_EOS(D26,D22,D19)</f>
        <v>2.9843022291809493E-3</v>
      </c>
      <c r="E27" s="502">
        <f>Bg_EOS(E26,E22,E19)</f>
        <v>2.2916712413036935E-3</v>
      </c>
      <c r="F27" s="503" t="s">
        <v>170</v>
      </c>
    </row>
    <row r="28" spans="2:6" ht="19.5" customHeight="1">
      <c r="B28" s="504" t="s">
        <v>26</v>
      </c>
      <c r="C28" s="505" t="s">
        <v>173</v>
      </c>
      <c r="D28" s="506">
        <f>1/D27</f>
        <v>335.08670476530557</v>
      </c>
      <c r="E28" s="506">
        <f>1/E27</f>
        <v>436.36276529399424</v>
      </c>
      <c r="F28" s="507" t="s">
        <v>182</v>
      </c>
    </row>
    <row r="29" spans="2:6">
      <c r="F29" s="508"/>
    </row>
    <row r="30" spans="2:6">
      <c r="E30" s="509"/>
      <c r="F30" s="509"/>
    </row>
    <row r="32" spans="2:6">
      <c r="E32" s="510"/>
      <c r="F32" s="510"/>
    </row>
    <row r="33" spans="4:18">
      <c r="E33" s="511"/>
      <c r="F33" s="465"/>
    </row>
    <row r="34" spans="4:18">
      <c r="E34" s="512"/>
      <c r="F34" s="513"/>
      <c r="R34" s="514"/>
    </row>
    <row r="35" spans="4:18">
      <c r="D35" s="515"/>
      <c r="E35" s="516"/>
      <c r="F35" s="516"/>
    </row>
    <row r="36" spans="4:18">
      <c r="D36" s="515"/>
      <c r="E36" s="516"/>
      <c r="F36" s="516"/>
    </row>
    <row r="37" spans="4:18">
      <c r="D37" s="515"/>
      <c r="E37" s="516"/>
      <c r="F37" s="516"/>
    </row>
    <row r="38" spans="4:18">
      <c r="D38" s="515"/>
      <c r="E38" s="516"/>
      <c r="F38" s="516"/>
    </row>
    <row r="39" spans="4:18">
      <c r="D39" s="515"/>
      <c r="E39" s="516"/>
      <c r="F39" s="516"/>
    </row>
    <row r="40" spans="4:18">
      <c r="D40" s="515"/>
      <c r="E40" s="516"/>
      <c r="F40" s="516"/>
    </row>
    <row r="41" spans="4:18">
      <c r="D41" s="515"/>
      <c r="E41" s="516"/>
      <c r="F41" s="516"/>
    </row>
    <row r="42" spans="4:18">
      <c r="D42" s="515"/>
      <c r="E42" s="516"/>
      <c r="F42" s="516"/>
    </row>
    <row r="43" spans="4:18">
      <c r="D43" s="515"/>
      <c r="E43" s="516"/>
      <c r="F43" s="516"/>
    </row>
    <row r="44" spans="4:18">
      <c r="D44" s="515"/>
      <c r="E44" s="516"/>
      <c r="F44" s="516"/>
    </row>
    <row r="45" spans="4:18">
      <c r="D45" s="515"/>
      <c r="E45" s="516"/>
      <c r="F45" s="51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1:AD111"/>
  <sheetViews>
    <sheetView showGridLines="0" zoomScaleNormal="100" workbookViewId="0">
      <selection activeCell="H2" sqref="H2"/>
    </sheetView>
  </sheetViews>
  <sheetFormatPr defaultColWidth="8.85546875" defaultRowHeight="11.25"/>
  <cols>
    <col min="1" max="1" width="0.7109375" style="4" customWidth="1"/>
    <col min="2" max="2" width="12.42578125" style="4" customWidth="1"/>
    <col min="3" max="3" width="11.140625" style="4" customWidth="1"/>
    <col min="4" max="4" width="11.7109375" style="4" bestFit="1" customWidth="1"/>
    <col min="5" max="5" width="9.140625" style="4" customWidth="1"/>
    <col min="6" max="6" width="9.5703125" style="4" bestFit="1" customWidth="1"/>
    <col min="7" max="7" width="8.85546875" style="4"/>
    <col min="8" max="8" width="8.85546875" style="4" customWidth="1"/>
    <col min="9" max="9" width="0.85546875" style="4" customWidth="1"/>
    <col min="10" max="29" width="8.7109375" style="4" customWidth="1"/>
    <col min="30" max="16384" width="8.85546875" style="4"/>
  </cols>
  <sheetData>
    <row r="1" spans="2:22" ht="12.75" customHeight="1">
      <c r="C1" s="5"/>
      <c r="D1" s="5"/>
      <c r="E1" s="5"/>
      <c r="F1" s="122"/>
      <c r="G1" s="5"/>
      <c r="H1" s="5"/>
      <c r="J1" s="104" t="s">
        <v>276</v>
      </c>
    </row>
    <row r="2" spans="2:22" ht="18" customHeight="1">
      <c r="B2" s="545" t="s">
        <v>9</v>
      </c>
      <c r="C2" s="517"/>
      <c r="D2" s="518"/>
      <c r="E2" s="518"/>
      <c r="F2" s="518"/>
      <c r="G2" s="519"/>
      <c r="H2" s="520"/>
    </row>
    <row r="3" spans="2:22" ht="18" customHeight="1">
      <c r="B3" s="521" t="s">
        <v>6</v>
      </c>
      <c r="C3" s="50" t="s">
        <v>0</v>
      </c>
      <c r="D3" s="20" t="s">
        <v>84</v>
      </c>
      <c r="E3" s="20" t="s">
        <v>86</v>
      </c>
      <c r="F3" s="20" t="s">
        <v>85</v>
      </c>
      <c r="G3" s="8" t="s">
        <v>4</v>
      </c>
      <c r="H3" s="522" t="s">
        <v>5</v>
      </c>
      <c r="R3" s="123"/>
      <c r="S3" s="123"/>
      <c r="T3" s="123"/>
      <c r="U3" s="123"/>
      <c r="V3" s="123"/>
    </row>
    <row r="4" spans="2:22" ht="18" customHeight="1">
      <c r="B4" s="524" t="s">
        <v>9</v>
      </c>
      <c r="C4" s="560">
        <v>3852</v>
      </c>
      <c r="D4" s="525">
        <v>15723</v>
      </c>
      <c r="E4" s="525">
        <v>3852</v>
      </c>
      <c r="F4" s="525">
        <v>250</v>
      </c>
      <c r="G4" s="534" t="s">
        <v>278</v>
      </c>
      <c r="H4" s="7" t="s">
        <v>20</v>
      </c>
    </row>
    <row r="5" spans="2:22" ht="18" customHeight="1"/>
    <row r="6" spans="2:22" ht="18" customHeight="1"/>
    <row r="7" spans="2:22" ht="18" customHeight="1"/>
    <row r="8" spans="2:22" ht="18" customHeight="1"/>
    <row r="9" spans="2:22" ht="18" customHeight="1"/>
    <row r="10" spans="2:22" ht="18" customHeight="1"/>
    <row r="11" spans="2:22" ht="18" customHeight="1">
      <c r="C11" s="51"/>
      <c r="D11" s="21"/>
      <c r="E11" s="546"/>
      <c r="F11" s="21"/>
      <c r="G11" s="535"/>
    </row>
    <row r="12" spans="2:22" ht="18" customHeight="1">
      <c r="B12" s="545" t="s">
        <v>112</v>
      </c>
      <c r="C12" s="517"/>
      <c r="D12" s="526"/>
      <c r="E12" s="526"/>
      <c r="F12" s="526"/>
      <c r="G12" s="536"/>
      <c r="H12" s="520"/>
    </row>
    <row r="13" spans="2:22" ht="18" customHeight="1">
      <c r="B13" s="548" t="s">
        <v>6</v>
      </c>
      <c r="C13" s="549" t="s">
        <v>0</v>
      </c>
      <c r="D13" s="550" t="s">
        <v>1</v>
      </c>
      <c r="E13" s="550" t="s">
        <v>2</v>
      </c>
      <c r="F13" s="550" t="s">
        <v>3</v>
      </c>
      <c r="G13" s="551" t="s">
        <v>4</v>
      </c>
      <c r="H13" s="552" t="s">
        <v>5</v>
      </c>
    </row>
    <row r="14" spans="2:22" ht="18" customHeight="1">
      <c r="B14" s="142" t="s">
        <v>191</v>
      </c>
      <c r="C14" s="558">
        <v>48.924280016202061</v>
      </c>
      <c r="D14" s="555">
        <v>95</v>
      </c>
      <c r="E14" s="555">
        <v>45</v>
      </c>
      <c r="F14" s="555">
        <v>15</v>
      </c>
      <c r="G14" s="538" t="s">
        <v>273</v>
      </c>
      <c r="H14" s="3" t="s">
        <v>19</v>
      </c>
    </row>
    <row r="15" spans="2:22" ht="18" customHeight="1">
      <c r="B15" s="523" t="s">
        <v>10</v>
      </c>
      <c r="C15" s="559">
        <v>5.867536700510362</v>
      </c>
      <c r="D15" s="556">
        <v>8</v>
      </c>
      <c r="E15" s="556">
        <v>4.5</v>
      </c>
      <c r="F15" s="556">
        <v>4</v>
      </c>
      <c r="G15" s="533" t="s">
        <v>273</v>
      </c>
      <c r="H15" s="6" t="s">
        <v>19</v>
      </c>
    </row>
    <row r="16" spans="2:22" ht="18" customHeight="1">
      <c r="B16" s="523" t="s">
        <v>117</v>
      </c>
      <c r="C16" s="559">
        <v>38.817761989261456</v>
      </c>
      <c r="D16" s="556">
        <v>70</v>
      </c>
      <c r="E16" s="556">
        <v>50</v>
      </c>
      <c r="F16" s="556">
        <v>15</v>
      </c>
      <c r="G16" s="533" t="s">
        <v>273</v>
      </c>
      <c r="H16" s="6" t="s">
        <v>19</v>
      </c>
    </row>
    <row r="17" spans="2:10" ht="18" customHeight="1">
      <c r="B17" s="524" t="s">
        <v>11</v>
      </c>
      <c r="C17" s="554">
        <f>100-C16</f>
        <v>61.182238010738544</v>
      </c>
      <c r="D17" s="557">
        <f>100-D16</f>
        <v>30</v>
      </c>
      <c r="E17" s="557">
        <f t="shared" ref="E17:F17" si="0">100-E16</f>
        <v>50</v>
      </c>
      <c r="F17" s="557">
        <f t="shared" si="0"/>
        <v>85</v>
      </c>
      <c r="G17" s="534" t="s">
        <v>273</v>
      </c>
      <c r="H17" s="7" t="s">
        <v>19</v>
      </c>
    </row>
    <row r="18" spans="2:10" ht="18" customHeight="1">
      <c r="B18" s="5"/>
      <c r="C18" s="5"/>
      <c r="D18" s="553"/>
      <c r="E18" s="553"/>
      <c r="F18" s="553"/>
      <c r="G18" s="542"/>
      <c r="H18" s="5"/>
    </row>
    <row r="19" spans="2:10" ht="18" customHeight="1">
      <c r="B19" s="545" t="s">
        <v>14</v>
      </c>
      <c r="C19" s="517"/>
      <c r="D19" s="518"/>
      <c r="E19" s="518"/>
      <c r="F19" s="518"/>
      <c r="G19" s="536"/>
      <c r="H19" s="520"/>
    </row>
    <row r="20" spans="2:10" ht="18" customHeight="1">
      <c r="B20" s="521" t="s">
        <v>6</v>
      </c>
      <c r="C20" s="124" t="s">
        <v>0</v>
      </c>
      <c r="D20" s="20" t="s">
        <v>84</v>
      </c>
      <c r="E20" s="20"/>
      <c r="F20" s="20" t="s">
        <v>85</v>
      </c>
      <c r="G20" s="537" t="s">
        <v>4</v>
      </c>
      <c r="H20" s="522" t="s">
        <v>5</v>
      </c>
    </row>
    <row r="21" spans="2:10" ht="18" customHeight="1">
      <c r="B21" s="523" t="s">
        <v>192</v>
      </c>
      <c r="C21" s="527">
        <f>1/C22</f>
        <v>2.6635870149470963E-3</v>
      </c>
      <c r="D21" s="528">
        <f>1/D22</f>
        <v>2.2916712413036935E-3</v>
      </c>
      <c r="E21" s="528"/>
      <c r="F21" s="528">
        <f>1/F22</f>
        <v>2.9843022291809493E-3</v>
      </c>
      <c r="G21" s="540" t="s">
        <v>170</v>
      </c>
      <c r="H21" s="6" t="s">
        <v>16</v>
      </c>
    </row>
    <row r="22" spans="2:10" ht="18" customHeight="1">
      <c r="B22" s="523" t="s">
        <v>197</v>
      </c>
      <c r="C22" s="561">
        <v>375.43357674758067</v>
      </c>
      <c r="D22" s="529">
        <f>+Reservoir!E28</f>
        <v>436.36276529399424</v>
      </c>
      <c r="E22" s="529"/>
      <c r="F22" s="529">
        <f>+Reservoir!D28</f>
        <v>335.08670476530557</v>
      </c>
      <c r="G22" s="540" t="s">
        <v>182</v>
      </c>
      <c r="H22" s="6" t="s">
        <v>16</v>
      </c>
    </row>
    <row r="23" spans="2:10" ht="18" customHeight="1">
      <c r="B23" s="524" t="s">
        <v>114</v>
      </c>
      <c r="C23" s="562">
        <v>1.25</v>
      </c>
      <c r="D23" s="530">
        <v>2</v>
      </c>
      <c r="E23" s="530"/>
      <c r="F23" s="530">
        <v>0.5</v>
      </c>
      <c r="G23" s="541" t="s">
        <v>274</v>
      </c>
      <c r="H23" s="7" t="s">
        <v>16</v>
      </c>
    </row>
    <row r="24" spans="2:10" ht="18" customHeight="1">
      <c r="G24" s="535"/>
    </row>
    <row r="25" spans="2:10" ht="18" customHeight="1">
      <c r="B25" s="545" t="s">
        <v>17</v>
      </c>
      <c r="C25" s="517"/>
      <c r="D25" s="518"/>
      <c r="E25" s="518"/>
      <c r="F25" s="518"/>
      <c r="G25" s="536"/>
      <c r="H25" s="520"/>
    </row>
    <row r="26" spans="2:10" ht="18" customHeight="1">
      <c r="B26" s="521" t="s">
        <v>6</v>
      </c>
      <c r="C26" s="124" t="s">
        <v>0</v>
      </c>
      <c r="D26" s="20" t="s">
        <v>84</v>
      </c>
      <c r="E26" s="20"/>
      <c r="F26" s="20" t="s">
        <v>85</v>
      </c>
      <c r="G26" s="537" t="s">
        <v>4</v>
      </c>
      <c r="H26" s="522" t="s">
        <v>5</v>
      </c>
    </row>
    <row r="27" spans="2:10" ht="18" customHeight="1">
      <c r="B27" s="523" t="s">
        <v>289</v>
      </c>
      <c r="C27" s="563">
        <v>0.5</v>
      </c>
      <c r="D27" s="531">
        <v>0.55000000000000004</v>
      </c>
      <c r="E27" s="531"/>
      <c r="F27" s="531">
        <v>0.45</v>
      </c>
      <c r="G27" s="542" t="s">
        <v>136</v>
      </c>
      <c r="H27" s="6" t="s">
        <v>16</v>
      </c>
    </row>
    <row r="28" spans="2:10" ht="18" customHeight="1">
      <c r="B28" s="523" t="s">
        <v>18</v>
      </c>
      <c r="C28" s="563">
        <v>0.97499999999999998</v>
      </c>
      <c r="D28" s="531">
        <v>0.98</v>
      </c>
      <c r="E28" s="531"/>
      <c r="F28" s="531">
        <v>0.97</v>
      </c>
      <c r="G28" s="542" t="s">
        <v>136</v>
      </c>
      <c r="H28" s="6" t="s">
        <v>16</v>
      </c>
    </row>
    <row r="29" spans="2:10" ht="18" customHeight="1">
      <c r="B29" s="523" t="s">
        <v>203</v>
      </c>
      <c r="C29" s="531">
        <v>0.99</v>
      </c>
      <c r="D29" s="531"/>
      <c r="E29" s="531"/>
      <c r="F29" s="531"/>
      <c r="G29" s="542" t="s">
        <v>136</v>
      </c>
      <c r="H29" s="6" t="s">
        <v>87</v>
      </c>
    </row>
    <row r="30" spans="2:10" ht="18" customHeight="1">
      <c r="B30" s="524" t="s">
        <v>288</v>
      </c>
      <c r="C30" s="564">
        <v>0.5</v>
      </c>
      <c r="D30" s="532">
        <v>0.55000000000000004</v>
      </c>
      <c r="E30" s="532"/>
      <c r="F30" s="532">
        <v>0.45</v>
      </c>
      <c r="G30" s="539" t="s">
        <v>136</v>
      </c>
      <c r="H30" s="7" t="s">
        <v>16</v>
      </c>
      <c r="J30" s="104"/>
    </row>
    <row r="31" spans="2:10" ht="17.25" customHeight="1"/>
    <row r="32" spans="2:10" ht="17.25" customHeight="1"/>
    <row r="33" spans="4:27" ht="17.25" customHeight="1"/>
    <row r="36" spans="4:27">
      <c r="U36" s="123"/>
      <c r="V36" s="123"/>
      <c r="W36" s="123"/>
      <c r="Z36" s="126"/>
      <c r="AA36" s="126"/>
    </row>
    <row r="39" spans="4:27">
      <c r="R39" s="125"/>
      <c r="S39" s="125"/>
    </row>
    <row r="40" spans="4:27">
      <c r="D40" s="228"/>
      <c r="E40" s="228"/>
      <c r="F40" s="228"/>
      <c r="T40" s="125"/>
    </row>
    <row r="41" spans="4:27">
      <c r="T41" s="125"/>
    </row>
    <row r="42" spans="4:27">
      <c r="D42" s="228"/>
      <c r="E42" s="228"/>
      <c r="F42" s="228"/>
    </row>
    <row r="44" spans="4:27">
      <c r="D44" s="228"/>
      <c r="E44" s="228"/>
      <c r="F44" s="228"/>
    </row>
    <row r="89" spans="10:30">
      <c r="J89" s="143"/>
      <c r="K89" s="143"/>
      <c r="L89" s="143"/>
      <c r="M89" s="143"/>
      <c r="N89" s="143"/>
      <c r="O89" s="143"/>
    </row>
    <row r="90" spans="10:30">
      <c r="Q90" s="144"/>
      <c r="R90" s="144"/>
      <c r="S90" s="144"/>
      <c r="T90" s="144"/>
      <c r="U90" s="144"/>
      <c r="V90" s="144"/>
      <c r="Y90" s="144"/>
      <c r="Z90" s="144"/>
      <c r="AA90" s="144"/>
      <c r="AB90" s="144"/>
      <c r="AC90" s="144"/>
      <c r="AD90" s="144"/>
    </row>
    <row r="111" spans="10:30">
      <c r="J111" s="144"/>
      <c r="K111" s="144"/>
      <c r="L111" s="144"/>
      <c r="M111" s="144"/>
      <c r="N111" s="144"/>
      <c r="O111" s="144"/>
      <c r="Q111" s="243"/>
      <c r="R111" s="243"/>
      <c r="S111" s="243"/>
      <c r="T111" s="243"/>
      <c r="U111" s="243"/>
      <c r="V111" s="243"/>
      <c r="Y111" s="144"/>
      <c r="Z111" s="144"/>
      <c r="AA111" s="144"/>
      <c r="AB111" s="144"/>
      <c r="AC111" s="144"/>
      <c r="AD111" s="144"/>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AM141"/>
  <sheetViews>
    <sheetView showGridLines="0" zoomScale="90" zoomScaleNormal="90" workbookViewId="0">
      <selection activeCell="M21" sqref="M21"/>
    </sheetView>
  </sheetViews>
  <sheetFormatPr defaultColWidth="8.85546875" defaultRowHeight="15"/>
  <cols>
    <col min="1" max="1" width="8.140625" style="11" customWidth="1"/>
    <col min="2" max="3" width="14.140625" style="11" customWidth="1"/>
    <col min="4" max="4" width="11.5703125" style="11" bestFit="1" customWidth="1"/>
    <col min="5" max="6" width="11.5703125" style="11" customWidth="1"/>
    <col min="7" max="7" width="10.140625" style="11" customWidth="1"/>
    <col min="8" max="8" width="12.5703125" style="12" customWidth="1"/>
    <col min="9" max="10" width="9.5703125" style="12" customWidth="1"/>
    <col min="11" max="13" width="9.85546875" style="12" customWidth="1"/>
    <col min="14" max="14" width="13.7109375" style="11" customWidth="1"/>
    <col min="15" max="15" width="12.140625" style="11" customWidth="1"/>
    <col min="16" max="16" width="10.85546875" style="11" customWidth="1"/>
    <col min="17" max="17" width="12.7109375" style="11" customWidth="1"/>
    <col min="18" max="19" width="8.85546875" style="11"/>
    <col min="20" max="20" width="12" style="11" customWidth="1"/>
    <col min="21" max="21" width="8.85546875" style="11" customWidth="1"/>
    <col min="22" max="22" width="10.85546875" style="11" customWidth="1"/>
    <col min="23" max="23" width="10.85546875" customWidth="1"/>
    <col min="24" max="31" width="14.7109375" customWidth="1"/>
    <col min="32" max="34" width="18.7109375" customWidth="1"/>
    <col min="35" max="35" width="10.7109375" customWidth="1"/>
    <col min="36" max="36" width="12.5703125" bestFit="1" customWidth="1"/>
    <col min="40" max="16384" width="8.85546875" style="11"/>
  </cols>
  <sheetData>
    <row r="1" spans="1:23">
      <c r="B1" s="13" t="s">
        <v>46</v>
      </c>
      <c r="N1" s="12"/>
      <c r="O1" s="12"/>
      <c r="P1" s="12"/>
      <c r="Q1" s="12"/>
    </row>
    <row r="2" spans="1:23">
      <c r="H2"/>
      <c r="I2"/>
      <c r="J2"/>
      <c r="K2"/>
      <c r="L2"/>
    </row>
    <row r="3" spans="1:23">
      <c r="B3" s="132" t="s">
        <v>277</v>
      </c>
      <c r="D3" s="11" t="s">
        <v>124</v>
      </c>
      <c r="H3"/>
      <c r="I3"/>
      <c r="J3"/>
      <c r="K3"/>
      <c r="L3"/>
    </row>
    <row r="4" spans="1:23">
      <c r="B4" s="15" t="s">
        <v>22</v>
      </c>
      <c r="C4" s="16" t="s">
        <v>23</v>
      </c>
      <c r="D4" s="17" t="s">
        <v>24</v>
      </c>
      <c r="E4" s="568"/>
      <c r="F4" s="568"/>
      <c r="N4" s="12"/>
      <c r="O4" s="12"/>
    </row>
    <row r="5" spans="1:23">
      <c r="A5" s="11">
        <v>99</v>
      </c>
      <c r="B5" s="18">
        <v>0.99</v>
      </c>
      <c r="C5" s="12">
        <v>0</v>
      </c>
      <c r="D5" s="544">
        <f>_xlfn.NORM.S.INV(B5)</f>
        <v>2.3263478740408408</v>
      </c>
      <c r="E5" s="544"/>
      <c r="F5" s="544"/>
      <c r="H5" s="592" t="s">
        <v>124</v>
      </c>
      <c r="I5" s="593"/>
      <c r="J5" s="593"/>
      <c r="K5" s="594">
        <f>+D16</f>
        <v>-2.3263478740408408</v>
      </c>
      <c r="L5" s="594">
        <f>+D10</f>
        <v>0</v>
      </c>
      <c r="M5" s="595">
        <f>+D5</f>
        <v>2.3263478740408408</v>
      </c>
      <c r="N5" s="594">
        <f>+D14</f>
        <v>-1.2815515655446006</v>
      </c>
      <c r="O5" s="595">
        <f>+D6</f>
        <v>1.2815515655446006</v>
      </c>
      <c r="P5" s="595">
        <f>+N5</f>
        <v>-1.2815515655446006</v>
      </c>
      <c r="Q5" s="596">
        <f>+O5</f>
        <v>1.2815515655446006</v>
      </c>
      <c r="R5" s="682" t="s">
        <v>280</v>
      </c>
      <c r="S5" s="683"/>
      <c r="T5" s="684" t="s">
        <v>281</v>
      </c>
      <c r="U5" s="685"/>
      <c r="V5" s="685"/>
      <c r="W5" s="686"/>
    </row>
    <row r="6" spans="1:23">
      <c r="A6" s="11">
        <v>90</v>
      </c>
      <c r="B6" s="18">
        <v>0.9</v>
      </c>
      <c r="C6" s="12">
        <v>0</v>
      </c>
      <c r="D6" s="544">
        <f t="shared" ref="D6:D15" si="0">_xlfn.NORM.S.INV(B6)</f>
        <v>1.2815515655446006</v>
      </c>
      <c r="E6" s="544"/>
      <c r="F6" s="544"/>
      <c r="H6" s="597" t="s">
        <v>6</v>
      </c>
      <c r="I6" s="598" t="s">
        <v>29</v>
      </c>
      <c r="J6" s="598" t="s">
        <v>30</v>
      </c>
      <c r="K6" s="599" t="s">
        <v>27</v>
      </c>
      <c r="L6" s="599" t="s">
        <v>2</v>
      </c>
      <c r="M6" s="599" t="s">
        <v>28</v>
      </c>
      <c r="N6" s="599" t="s">
        <v>1</v>
      </c>
      <c r="O6" s="599" t="s">
        <v>3</v>
      </c>
      <c r="P6" s="599" t="s">
        <v>121</v>
      </c>
      <c r="Q6" s="600" t="s">
        <v>120</v>
      </c>
      <c r="R6" s="601" t="s">
        <v>282</v>
      </c>
      <c r="S6" s="602" t="s">
        <v>290</v>
      </c>
      <c r="T6" s="603" t="s">
        <v>282</v>
      </c>
      <c r="U6" s="604" t="s">
        <v>290</v>
      </c>
      <c r="V6" s="604" t="s">
        <v>93</v>
      </c>
      <c r="W6" s="605" t="s">
        <v>94</v>
      </c>
    </row>
    <row r="7" spans="1:23">
      <c r="A7" s="11">
        <v>80</v>
      </c>
      <c r="B7" s="18">
        <v>0.8</v>
      </c>
      <c r="C7" s="12">
        <v>0</v>
      </c>
      <c r="D7" s="544">
        <f t="shared" si="0"/>
        <v>0.84162123357291474</v>
      </c>
      <c r="E7" s="544"/>
      <c r="F7" s="544"/>
      <c r="H7" s="255" t="s">
        <v>191</v>
      </c>
      <c r="I7" s="606">
        <f>INDEX(LINEST($N$5:$O$5,LN(N7:O7)),1)</f>
        <v>-1.3885936010586251</v>
      </c>
      <c r="J7" s="606">
        <f>INDEX(LINEST($N$5:$O$5,LN(N7:O7)),1,2)</f>
        <v>5.0419327461406516</v>
      </c>
      <c r="K7" s="607">
        <f>+ROUND(EXP((K$5-J7)/I7),3)</f>
        <v>201.601</v>
      </c>
      <c r="L7" s="607">
        <f>+ROUND(EXP((L$5-J7)/I7),3)</f>
        <v>37.749000000000002</v>
      </c>
      <c r="M7" s="607">
        <f>+ROUND(EXP((M$5-J7)/I7),3)</f>
        <v>7.0679999999999996</v>
      </c>
      <c r="N7" s="608">
        <f>+Input_Data!D14</f>
        <v>95</v>
      </c>
      <c r="O7" s="608">
        <f>+Input_Data!F14</f>
        <v>15</v>
      </c>
      <c r="P7" s="609">
        <f>+LN(N7)</f>
        <v>4.5538768916005408</v>
      </c>
      <c r="Q7" s="609">
        <f>+LN(O7)</f>
        <v>2.7080502011022101</v>
      </c>
      <c r="R7" s="611">
        <f>+((Q7*$P$5)-(P7*$Q$5))/($P$5-$Q$5)</f>
        <v>3.6309635463513752</v>
      </c>
      <c r="S7" s="631">
        <f>ABS(+((P7-R7)/$P$5))</f>
        <v>0.72015310976345281</v>
      </c>
      <c r="T7" s="610">
        <f>+EXP(R7+0.5*(S7^2))</f>
        <v>48.92428001620204</v>
      </c>
      <c r="U7" s="610">
        <f>+(P7-T7)/$P$5</f>
        <v>34.62240952102939</v>
      </c>
      <c r="V7" s="610">
        <f>EXP(R7)</f>
        <v>37.749172176353738</v>
      </c>
      <c r="W7" s="612">
        <f>EXP(R7-S7^2)</f>
        <v>22.473639505630917</v>
      </c>
    </row>
    <row r="8" spans="1:23">
      <c r="A8" s="11">
        <v>70</v>
      </c>
      <c r="B8" s="18">
        <v>0.7</v>
      </c>
      <c r="C8" s="12">
        <v>0</v>
      </c>
      <c r="D8" s="544">
        <f t="shared" si="0"/>
        <v>0.52440051270804078</v>
      </c>
      <c r="E8" s="544"/>
      <c r="F8" s="544"/>
      <c r="H8" s="613" t="s">
        <v>279</v>
      </c>
      <c r="I8" s="614">
        <f t="shared" ref="I8:I10" si="1">INDEX(LINEST($N$5:$O$5,LN(N8:O8)),1)</f>
        <v>-3.6977761765093664</v>
      </c>
      <c r="J8" s="614">
        <f t="shared" ref="J8:J10" si="2">INDEX(LINEST($N$5:$O$5,LN(N8:O8)),1,2)</f>
        <v>6.4077578277230041</v>
      </c>
      <c r="K8" s="615">
        <f t="shared" ref="K8:K10" si="3">+ROUND(EXP((K$5-J8)/I8),3)</f>
        <v>10.612</v>
      </c>
      <c r="L8" s="615">
        <f>+ROUND(EXP((L$5-J8)/I8),3)</f>
        <v>5.657</v>
      </c>
      <c r="M8" s="615">
        <f t="shared" ref="M8:M10" si="4">+ROUND(EXP((M$5-J8)/I8),3)</f>
        <v>3.0150000000000001</v>
      </c>
      <c r="N8" s="616">
        <f>+Input_Data!D15</f>
        <v>8</v>
      </c>
      <c r="O8" s="616">
        <f>+Input_Data!F15</f>
        <v>4</v>
      </c>
      <c r="P8" s="617">
        <f>+LN(N8)</f>
        <v>2.0794415416798357</v>
      </c>
      <c r="Q8" s="617">
        <f>+LN(O8)</f>
        <v>1.3862943611198906</v>
      </c>
      <c r="R8" s="629">
        <f>+((Q8*$P$5)-(P8*$Q$5))/($P$5-$Q$5)</f>
        <v>1.732867951399863</v>
      </c>
      <c r="S8" s="632">
        <f>ABS(+((P8-R8)/$P$5))</f>
        <v>0.27043280941465264</v>
      </c>
      <c r="T8" s="618">
        <f>+EXP(R8+0.5*(S8^2))</f>
        <v>5.8675367005103602</v>
      </c>
      <c r="U8" s="618">
        <f t="shared" ref="U8:U10" si="5">+(P8-T8)/$P$5</f>
        <v>2.9558663581521651</v>
      </c>
      <c r="V8" s="619">
        <f t="shared" ref="V8:V10" si="6">EXP(R8)</f>
        <v>5.6568542494923788</v>
      </c>
      <c r="W8" s="620">
        <f t="shared" ref="W8:W10" si="7">EXP(R8-S8^2)</f>
        <v>5.2579123008892834</v>
      </c>
    </row>
    <row r="9" spans="1:23">
      <c r="A9" s="11">
        <v>60</v>
      </c>
      <c r="B9" s="18">
        <v>0.6</v>
      </c>
      <c r="C9" s="12">
        <v>0</v>
      </c>
      <c r="D9" s="544">
        <f t="shared" si="0"/>
        <v>0.25334710313579978</v>
      </c>
      <c r="E9" s="544"/>
      <c r="F9" s="544"/>
      <c r="H9" s="613" t="s">
        <v>128</v>
      </c>
      <c r="I9" s="614">
        <f>INDEX(LINEST($N$5:$O$5,LN(N9:O9)),1)</f>
        <v>-1.6638718441478868</v>
      </c>
      <c r="J9" s="614">
        <f>INDEX(LINEST($N$5:$O$5,LN(N9:O9)),1,2)</f>
        <v>5.7874000476975898</v>
      </c>
      <c r="K9" s="615">
        <f t="shared" si="3"/>
        <v>131.161</v>
      </c>
      <c r="L9" s="615">
        <f t="shared" ref="L9:L10" si="8">+ROUND(EXP((L$5-J9)/I9),3)</f>
        <v>32.404000000000003</v>
      </c>
      <c r="M9" s="615">
        <f t="shared" si="4"/>
        <v>8.0050000000000008</v>
      </c>
      <c r="N9" s="616">
        <f>+Input_Data!D16</f>
        <v>70</v>
      </c>
      <c r="O9" s="616">
        <f>+Input_Data!F16</f>
        <v>15</v>
      </c>
      <c r="P9" s="617">
        <f t="shared" ref="P9:P10" si="9">+LN(N9)</f>
        <v>4.2484952420493594</v>
      </c>
      <c r="Q9" s="617">
        <f t="shared" ref="Q9:Q10" si="10">+LN(O9)</f>
        <v>2.7080502011022101</v>
      </c>
      <c r="R9" s="629">
        <f t="shared" ref="R9:R10" si="11">+((Q9*$P$5)-(P9*$Q$5))/($P$5-$Q$5)</f>
        <v>3.4782727215757849</v>
      </c>
      <c r="S9" s="632">
        <f t="shared" ref="S9:S10" si="12">ABS(+((P9-R9)/$P$5))</f>
        <v>0.60100782612384795</v>
      </c>
      <c r="T9" s="618">
        <f t="shared" ref="T9:T10" si="13">+EXP(R9+0.5*(S9^2))</f>
        <v>38.817761989261477</v>
      </c>
      <c r="U9" s="618">
        <f t="shared" si="5"/>
        <v>26.974542169531638</v>
      </c>
      <c r="V9" s="619">
        <f t="shared" si="6"/>
        <v>32.403703492039313</v>
      </c>
      <c r="W9" s="620">
        <f t="shared" si="7"/>
        <v>22.579949325843732</v>
      </c>
    </row>
    <row r="10" spans="1:23">
      <c r="A10" s="11">
        <v>50</v>
      </c>
      <c r="B10" s="18">
        <v>0.5</v>
      </c>
      <c r="C10" s="12">
        <v>0</v>
      </c>
      <c r="D10" s="544">
        <f t="shared" si="0"/>
        <v>0</v>
      </c>
      <c r="E10" s="544"/>
      <c r="F10" s="544"/>
      <c r="H10" s="621" t="s">
        <v>25</v>
      </c>
      <c r="I10" s="622">
        <f t="shared" si="1"/>
        <v>2.4610817560327489</v>
      </c>
      <c r="J10" s="622">
        <f t="shared" si="2"/>
        <v>-9.6521763902196867</v>
      </c>
      <c r="K10" s="623">
        <f t="shared" si="3"/>
        <v>19.622</v>
      </c>
      <c r="L10" s="623">
        <f t="shared" si="8"/>
        <v>50.497999999999998</v>
      </c>
      <c r="M10" s="623">
        <f t="shared" si="4"/>
        <v>129.95400000000001</v>
      </c>
      <c r="N10" s="624">
        <f>+Input_Data!D17</f>
        <v>30</v>
      </c>
      <c r="O10" s="624">
        <f>+Input_Data!F17</f>
        <v>85</v>
      </c>
      <c r="P10" s="625">
        <f t="shared" si="9"/>
        <v>3.4011973816621555</v>
      </c>
      <c r="Q10" s="625">
        <f t="shared" si="10"/>
        <v>4.4426512564903167</v>
      </c>
      <c r="R10" s="630">
        <f t="shared" si="11"/>
        <v>3.9219243190762358</v>
      </c>
      <c r="S10" s="633">
        <f t="shared" si="12"/>
        <v>0.40632538823577913</v>
      </c>
      <c r="T10" s="626">
        <f t="shared" si="13"/>
        <v>54.842995713781477</v>
      </c>
      <c r="U10" s="626">
        <f t="shared" si="5"/>
        <v>40.140248519971898</v>
      </c>
      <c r="V10" s="627">
        <f t="shared" si="6"/>
        <v>50.497524691810384</v>
      </c>
      <c r="W10" s="628">
        <f t="shared" si="7"/>
        <v>42.812238070879509</v>
      </c>
    </row>
    <row r="11" spans="1:23" ht="21.75" customHeight="1">
      <c r="A11" s="11">
        <v>40</v>
      </c>
      <c r="B11" s="18">
        <v>0.4</v>
      </c>
      <c r="C11" s="12">
        <v>0</v>
      </c>
      <c r="D11" s="544">
        <f t="shared" si="0"/>
        <v>-0.25334710313579978</v>
      </c>
      <c r="E11" s="544"/>
      <c r="F11" s="544"/>
      <c r="R11" s="12"/>
      <c r="S11" s="12"/>
      <c r="T11" s="544"/>
      <c r="U11" s="12"/>
    </row>
    <row r="12" spans="1:23" ht="21.75" customHeight="1">
      <c r="A12" s="11">
        <v>30</v>
      </c>
      <c r="B12" s="18">
        <v>0.3</v>
      </c>
      <c r="C12" s="12">
        <v>0</v>
      </c>
      <c r="D12" s="544">
        <f t="shared" si="0"/>
        <v>-0.52440051270804089</v>
      </c>
      <c r="E12" s="544"/>
      <c r="F12" s="544"/>
      <c r="R12" s="12"/>
      <c r="S12" s="12"/>
      <c r="T12" s="12"/>
      <c r="U12" s="12"/>
    </row>
    <row r="13" spans="1:23" ht="21.75" customHeight="1">
      <c r="A13" s="11">
        <v>20</v>
      </c>
      <c r="B13" s="18">
        <v>0.2</v>
      </c>
      <c r="C13" s="12">
        <v>0</v>
      </c>
      <c r="D13" s="544">
        <f t="shared" si="0"/>
        <v>-0.84162123357291452</v>
      </c>
      <c r="E13" s="544"/>
      <c r="F13" s="544"/>
      <c r="M13" s="4"/>
      <c r="N13" s="4"/>
      <c r="O13" s="22"/>
      <c r="P13" s="22"/>
      <c r="Q13" s="22"/>
      <c r="R13" s="12"/>
      <c r="S13" s="12"/>
      <c r="T13" s="12"/>
      <c r="U13" s="12"/>
    </row>
    <row r="14" spans="1:23" ht="21.75" customHeight="1">
      <c r="A14" s="11">
        <v>10</v>
      </c>
      <c r="B14" s="18">
        <v>0.1</v>
      </c>
      <c r="C14" s="12">
        <v>0</v>
      </c>
      <c r="D14" s="544">
        <f t="shared" si="0"/>
        <v>-1.2815515655446006</v>
      </c>
      <c r="E14" s="544"/>
      <c r="F14" s="544"/>
      <c r="M14"/>
      <c r="N14"/>
      <c r="O14"/>
      <c r="P14"/>
      <c r="Q14"/>
      <c r="V14" s="127"/>
    </row>
    <row r="15" spans="1:23" ht="21.75" customHeight="1">
      <c r="A15" s="11">
        <v>5</v>
      </c>
      <c r="B15" s="18">
        <v>0.05</v>
      </c>
      <c r="C15" s="12">
        <v>0</v>
      </c>
      <c r="D15" s="544">
        <f t="shared" si="0"/>
        <v>-1.6448536269514726</v>
      </c>
      <c r="E15" s="544"/>
      <c r="F15" s="544"/>
      <c r="M15"/>
      <c r="N15"/>
      <c r="O15"/>
      <c r="P15"/>
      <c r="Q15"/>
      <c r="V15" s="127"/>
    </row>
    <row r="16" spans="1:23" ht="21.75" customHeight="1">
      <c r="A16" s="11">
        <v>1</v>
      </c>
      <c r="B16" s="18">
        <v>0.01</v>
      </c>
      <c r="C16" s="12">
        <v>0</v>
      </c>
      <c r="D16" s="544">
        <f>_xlfn.NORM.S.INV(B16)</f>
        <v>-2.3263478740408408</v>
      </c>
      <c r="E16" s="544"/>
      <c r="F16" s="544"/>
      <c r="M16"/>
      <c r="N16"/>
      <c r="O16"/>
      <c r="P16" s="573"/>
      <c r="Q16"/>
      <c r="V16" s="127"/>
    </row>
    <row r="17" spans="1:24" ht="21.75" customHeight="1">
      <c r="B17" s="11">
        <v>0.99999994957842397</v>
      </c>
      <c r="D17" s="544">
        <f>_xlfn.NORM.S.INV(B17)</f>
        <v>5.3251979624950598</v>
      </c>
      <c r="E17" s="12"/>
      <c r="F17" s="12"/>
      <c r="M17"/>
      <c r="N17"/>
      <c r="O17"/>
      <c r="P17" s="574"/>
      <c r="R17" s="565"/>
      <c r="T17" s="231"/>
      <c r="U17" s="231"/>
    </row>
    <row r="18" spans="1:24" ht="21.75" customHeight="1">
      <c r="H18" s="567"/>
      <c r="I18" s="11"/>
      <c r="M18"/>
      <c r="N18"/>
      <c r="O18"/>
      <c r="R18" s="131"/>
    </row>
    <row r="19" spans="1:24" ht="21.75" customHeight="1">
      <c r="G19" s="12"/>
      <c r="H19" s="14" t="s">
        <v>191</v>
      </c>
      <c r="M19"/>
      <c r="N19" s="14" t="s">
        <v>279</v>
      </c>
      <c r="O19" s="12"/>
      <c r="P19" s="12"/>
      <c r="Q19" s="12"/>
      <c r="R19" s="12"/>
      <c r="T19" s="14" t="s">
        <v>25</v>
      </c>
      <c r="U19" s="12"/>
      <c r="V19" s="12"/>
      <c r="W19" s="12"/>
      <c r="X19" s="12"/>
    </row>
    <row r="20" spans="1:24">
      <c r="G20" s="12"/>
      <c r="H20" s="572">
        <f>+MIN(H23:H500)</f>
        <v>1.9555775544574499</v>
      </c>
      <c r="M20"/>
      <c r="N20" s="572">
        <f>+MIN(N23:N500)</f>
        <v>1.34</v>
      </c>
      <c r="O20" s="566"/>
      <c r="P20" s="12"/>
      <c r="Q20" s="12"/>
      <c r="R20" s="12"/>
      <c r="T20" s="572">
        <f>+MIN(T23:T500)</f>
        <v>1.0229999999999999</v>
      </c>
      <c r="U20" s="12"/>
      <c r="V20" s="12"/>
      <c r="W20" s="12"/>
      <c r="X20" s="12"/>
    </row>
    <row r="21" spans="1:24">
      <c r="G21" s="12"/>
      <c r="H21" s="572">
        <f>+MAX(H23:H500)</f>
        <v>199.9233073744069</v>
      </c>
      <c r="I21" s="11">
        <f>+(K7-H23)/119</f>
        <v>1.6776926255927946</v>
      </c>
      <c r="M21"/>
      <c r="N21" s="572">
        <f>+MAX(N23:N500)</f>
        <v>10.53408403361343</v>
      </c>
      <c r="O21" s="11">
        <f>+(K8-N23)/119</f>
        <v>7.7915966386554625E-2</v>
      </c>
      <c r="P21" s="12"/>
      <c r="Q21" s="12"/>
      <c r="R21" s="12"/>
      <c r="T21" s="572">
        <f>+MAX(T23:T500)</f>
        <v>128.87054621848719</v>
      </c>
      <c r="U21" s="11">
        <f>+(M10-T23)/119</f>
        <v>1.0834537815126051</v>
      </c>
      <c r="V21" s="12"/>
      <c r="W21" s="12"/>
      <c r="X21" s="12"/>
    </row>
    <row r="22" spans="1:24">
      <c r="G22" s="12"/>
      <c r="H22" s="570" t="s">
        <v>119</v>
      </c>
      <c r="I22" s="571" t="s">
        <v>122</v>
      </c>
      <c r="J22" s="575" t="s">
        <v>287</v>
      </c>
      <c r="K22" s="571" t="s">
        <v>122</v>
      </c>
      <c r="L22" s="576" t="s">
        <v>287</v>
      </c>
      <c r="M22"/>
      <c r="N22" s="570" t="s">
        <v>119</v>
      </c>
      <c r="O22" s="571" t="s">
        <v>122</v>
      </c>
      <c r="P22" s="575" t="s">
        <v>287</v>
      </c>
      <c r="Q22" s="571" t="s">
        <v>122</v>
      </c>
      <c r="R22" s="576" t="s">
        <v>287</v>
      </c>
      <c r="T22" s="570" t="s">
        <v>119</v>
      </c>
      <c r="U22" s="571" t="s">
        <v>122</v>
      </c>
      <c r="V22" s="575" t="s">
        <v>287</v>
      </c>
      <c r="W22" s="571" t="s">
        <v>122</v>
      </c>
      <c r="X22" s="576" t="s">
        <v>287</v>
      </c>
    </row>
    <row r="23" spans="1:24">
      <c r="G23" s="12"/>
      <c r="H23" s="577">
        <f>LN(M7)</f>
        <v>1.9555775544574499</v>
      </c>
      <c r="I23" s="578">
        <f t="shared" ref="I23:I54" si="14">+_xlfn.LOGNORM.DIST(H23,$R$7,$S$7,FALSE)</f>
        <v>6.067713628611413E-5</v>
      </c>
      <c r="J23" s="578">
        <f>1-_xlfn.LOGNORM.DIST(H23,$R$7,$S$7,TRUE)</f>
        <v>0.99998027035353798</v>
      </c>
      <c r="K23" s="583"/>
      <c r="L23" s="584"/>
      <c r="N23" s="577">
        <f>+ROUND(EXP((D$17-J8)/I8),3)</f>
        <v>1.34</v>
      </c>
      <c r="O23" s="578">
        <f>+_xlfn.LOGNORM.DIST(N23,$R$8,$S$8,FALSE)</f>
        <v>7.6413810472924567E-7</v>
      </c>
      <c r="P23" s="578">
        <f>1-_xlfn.LOGNORM.DIST(N23,$R$8,$S$8,TRUE)</f>
        <v>0.9999999496707549</v>
      </c>
      <c r="Q23" s="583"/>
      <c r="R23" s="584"/>
      <c r="T23" s="577">
        <f>+ROUND(EXP((D$17-P10)/O10),3)</f>
        <v>1.0229999999999999</v>
      </c>
      <c r="U23" s="578">
        <f>+_xlfn.LOGNORM.DIST(T23,$R$10,$S$10,FALSE)</f>
        <v>9.675155167008216E-21</v>
      </c>
      <c r="V23" s="578">
        <f>1-_xlfn.LOGNORM.DIST(T23,$R$10,$S$10,TRUE)</f>
        <v>1</v>
      </c>
      <c r="W23" s="583"/>
      <c r="X23" s="584"/>
    </row>
    <row r="24" spans="1:24">
      <c r="A24" s="12"/>
      <c r="B24" s="12"/>
      <c r="C24" s="14"/>
      <c r="D24" s="14"/>
      <c r="E24" s="14"/>
      <c r="F24" s="14"/>
      <c r="G24" s="14"/>
      <c r="H24" s="579">
        <f t="shared" ref="H24:H55" si="15">+IF((H23+$I$21)&gt;($K$7),,H23+$I$21)</f>
        <v>3.6332701800502445</v>
      </c>
      <c r="I24" s="580">
        <f t="shared" si="14"/>
        <v>7.7431459106964138E-4</v>
      </c>
      <c r="J24" s="580">
        <f t="shared" ref="J24:J87" si="16">1-_xlfn.LOGNORM.DIST(H24,$R$7,$S$7,TRUE)</f>
        <v>0.99942391198412028</v>
      </c>
      <c r="K24" s="585"/>
      <c r="L24" s="586"/>
      <c r="N24" s="579">
        <f>+IF((N23+$O$21)&gt;($K$8),,N23+$O$21)</f>
        <v>1.4179159663865546</v>
      </c>
      <c r="O24" s="580">
        <f>+_xlfn.LOGNORM.DIST(N24,$R$8,$S$8,FALSE)</f>
        <v>2.1503575528967804E-6</v>
      </c>
      <c r="P24" s="580">
        <f>1-_xlfn.LOGNORM.DIST(N24,$R$8,$S$8,TRUE)</f>
        <v>0.99999984440281953</v>
      </c>
      <c r="Q24" s="585"/>
      <c r="R24" s="586"/>
      <c r="T24" s="579">
        <f>+IF((T23+$U$21)&gt;($M$10),,T23+$U$21)</f>
        <v>2.106453781512605</v>
      </c>
      <c r="U24" s="580">
        <f>+_xlfn.LOGNORM.DIST(T24,$R$10,$S$10,FALSE)</f>
        <v>2.4772687218956602E-14</v>
      </c>
      <c r="V24" s="580">
        <f>1-_xlfn.LOGNORM.DIST(T24,$R$10,$S$10,TRUE)</f>
        <v>0.99999999999999734</v>
      </c>
      <c r="W24" s="585"/>
      <c r="X24" s="586"/>
    </row>
    <row r="25" spans="1:24">
      <c r="A25"/>
      <c r="B25"/>
      <c r="C25"/>
      <c r="D25"/>
      <c r="E25"/>
      <c r="F25"/>
      <c r="G25"/>
      <c r="H25" s="579">
        <f t="shared" si="15"/>
        <v>5.3109628056430394</v>
      </c>
      <c r="I25" s="580">
        <f t="shared" si="14"/>
        <v>2.5578402855150131E-3</v>
      </c>
      <c r="J25" s="580">
        <f t="shared" si="16"/>
        <v>0.99676829845677961</v>
      </c>
      <c r="K25" s="585"/>
      <c r="L25" s="586"/>
      <c r="N25" s="579">
        <f t="shared" ref="N25:N88" si="17">+IF((N24+$O$21)&gt;($K$8),,N24+$O$21)</f>
        <v>1.4958319327731093</v>
      </c>
      <c r="O25" s="580">
        <f>+_xlfn.LOGNORM.DIST(N25,$R$8,$S$8,FALSE)</f>
        <v>5.4996183575543875E-6</v>
      </c>
      <c r="P25" s="580">
        <f t="shared" ref="P25:P87" si="18">1-_xlfn.LOGNORM.DIST(N25,$R$8,$S$8,TRUE)</f>
        <v>0.99999956445785787</v>
      </c>
      <c r="Q25" s="585"/>
      <c r="R25" s="586"/>
      <c r="T25" s="579">
        <f t="shared" ref="T25:T88" si="19">+IF((T24+$U$21)&gt;($M$10),,T24+$U$21)</f>
        <v>3.1899075630252103</v>
      </c>
      <c r="U25" s="580">
        <f>+_xlfn.LOGNORM.DIST(T25,$R$10,$S$10,FALSE)</f>
        <v>2.8524593350681858E-11</v>
      </c>
      <c r="V25" s="580">
        <f t="shared" ref="V25:V88" si="20">1-_xlfn.LOGNORM.DIST(T25,$R$10,$S$10,TRUE)</f>
        <v>0.9999999999946716</v>
      </c>
      <c r="W25" s="585"/>
      <c r="X25" s="586"/>
    </row>
    <row r="26" spans="1:24">
      <c r="A26"/>
      <c r="B26"/>
      <c r="C26"/>
      <c r="D26"/>
      <c r="E26"/>
      <c r="F26"/>
      <c r="G26"/>
      <c r="H26" s="579">
        <f t="shared" si="15"/>
        <v>6.9886554312358342</v>
      </c>
      <c r="I26" s="580">
        <f t="shared" si="14"/>
        <v>5.1043253859734848E-3</v>
      </c>
      <c r="J26" s="580">
        <f t="shared" si="16"/>
        <v>0.99041238186132052</v>
      </c>
      <c r="K26" s="585"/>
      <c r="L26" s="586"/>
      <c r="N26" s="579">
        <f t="shared" si="17"/>
        <v>1.5737478991596641</v>
      </c>
      <c r="O26" s="580">
        <f>+_xlfn.LOGNORM.DIST(N26,$R$8,$S$8,FALSE)</f>
        <v>1.2933642036274189E-5</v>
      </c>
      <c r="P26" s="580">
        <f t="shared" si="18"/>
        <v>0.99999888272116577</v>
      </c>
      <c r="Q26" s="585"/>
      <c r="R26" s="586"/>
      <c r="T26" s="579">
        <f t="shared" si="19"/>
        <v>4.2733613445378156</v>
      </c>
      <c r="U26" s="580">
        <f t="shared" ref="U26:U87" si="21">+_xlfn.LOGNORM.DIST(T26,$R$10,$S$10,FALSE)</f>
        <v>2.1887094634349275E-9</v>
      </c>
      <c r="V26" s="580">
        <f t="shared" si="20"/>
        <v>0.99999999939040518</v>
      </c>
      <c r="W26" s="585"/>
      <c r="X26" s="586"/>
    </row>
    <row r="27" spans="1:24">
      <c r="A27"/>
      <c r="B27"/>
      <c r="C27"/>
      <c r="D27"/>
      <c r="E27"/>
      <c r="F27"/>
      <c r="G27"/>
      <c r="H27" s="579">
        <f t="shared" si="15"/>
        <v>8.6663480568286282</v>
      </c>
      <c r="I27" s="580">
        <f t="shared" si="14"/>
        <v>7.9251880214143214E-3</v>
      </c>
      <c r="J27" s="580">
        <f t="shared" si="16"/>
        <v>0.97949049419797629</v>
      </c>
      <c r="K27" s="585"/>
      <c r="L27" s="586"/>
      <c r="N27" s="579">
        <f t="shared" si="17"/>
        <v>1.6516638655462188</v>
      </c>
      <c r="O27" s="580">
        <f t="shared" ref="O27:O87" si="22">+_xlfn.LOGNORM.DIST(N27,$R$8,$S$8,FALSE)</f>
        <v>2.8244885260816505E-5</v>
      </c>
      <c r="P27" s="580">
        <f t="shared" si="18"/>
        <v>0.99999734656649675</v>
      </c>
      <c r="Q27" s="585"/>
      <c r="R27" s="586"/>
      <c r="T27" s="579">
        <f t="shared" si="19"/>
        <v>5.3568151260504209</v>
      </c>
      <c r="U27" s="580">
        <f t="shared" si="21"/>
        <v>4.3933730167415614E-8</v>
      </c>
      <c r="V27" s="580">
        <f t="shared" si="20"/>
        <v>0.99999998320095507</v>
      </c>
      <c r="W27" s="585"/>
      <c r="X27" s="586"/>
    </row>
    <row r="28" spans="1:24">
      <c r="A28"/>
      <c r="B28"/>
      <c r="C28"/>
      <c r="D28"/>
      <c r="E28"/>
      <c r="F28"/>
      <c r="G28"/>
      <c r="H28" s="579">
        <f t="shared" si="15"/>
        <v>10.344040682421422</v>
      </c>
      <c r="I28" s="580">
        <f t="shared" si="14"/>
        <v>1.06440430333737E-2</v>
      </c>
      <c r="J28" s="580">
        <f t="shared" si="16"/>
        <v>0.96388042301590804</v>
      </c>
      <c r="K28" s="585"/>
      <c r="L28" s="586"/>
      <c r="N28" s="579">
        <f t="shared" si="17"/>
        <v>1.7295798319327735</v>
      </c>
      <c r="O28" s="580">
        <f t="shared" si="22"/>
        <v>5.775597073994171E-5</v>
      </c>
      <c r="P28" s="580">
        <f t="shared" si="18"/>
        <v>0.9999941155536749</v>
      </c>
      <c r="Q28" s="585"/>
      <c r="R28" s="586"/>
      <c r="T28" s="579">
        <f t="shared" si="19"/>
        <v>6.4402689075630262</v>
      </c>
      <c r="U28" s="580">
        <f t="shared" si="21"/>
        <v>4.0295974044791299E-7</v>
      </c>
      <c r="V28" s="580">
        <f t="shared" si="20"/>
        <v>0.9999997992430677</v>
      </c>
      <c r="W28" s="585"/>
      <c r="X28" s="586"/>
    </row>
    <row r="29" spans="1:24">
      <c r="A29"/>
      <c r="B29"/>
      <c r="C29"/>
      <c r="D29"/>
      <c r="E29"/>
      <c r="F29"/>
      <c r="G29"/>
      <c r="H29" s="579">
        <f t="shared" si="15"/>
        <v>12.021733308014216</v>
      </c>
      <c r="I29" s="580">
        <f t="shared" si="14"/>
        <v>1.3041009284164485E-2</v>
      </c>
      <c r="J29" s="580">
        <f t="shared" si="16"/>
        <v>0.94395791074382962</v>
      </c>
      <c r="K29" s="585"/>
      <c r="L29" s="586"/>
      <c r="N29" s="579">
        <f t="shared" si="17"/>
        <v>1.8074957983193283</v>
      </c>
      <c r="O29" s="580">
        <f t="shared" si="22"/>
        <v>1.1136970966573404E-4</v>
      </c>
      <c r="P29" s="580">
        <f t="shared" si="18"/>
        <v>0.99998772446383344</v>
      </c>
      <c r="Q29" s="585"/>
      <c r="R29" s="586"/>
      <c r="T29" s="579">
        <f t="shared" si="19"/>
        <v>7.5237226890756315</v>
      </c>
      <c r="U29" s="580">
        <f t="shared" si="21"/>
        <v>2.2296864182949636E-6</v>
      </c>
      <c r="V29" s="580">
        <f t="shared" si="20"/>
        <v>0.99999860404400687</v>
      </c>
      <c r="W29" s="585"/>
      <c r="X29" s="586"/>
    </row>
    <row r="30" spans="1:24">
      <c r="A30"/>
      <c r="B30"/>
      <c r="C30"/>
      <c r="D30"/>
      <c r="E30"/>
      <c r="F30"/>
      <c r="G30"/>
      <c r="H30" s="579">
        <f t="shared" si="15"/>
        <v>13.69942593360701</v>
      </c>
      <c r="I30" s="580">
        <f t="shared" si="14"/>
        <v>1.5017822018111663E-2</v>
      </c>
      <c r="J30" s="580">
        <f t="shared" si="16"/>
        <v>0.92035920064030585</v>
      </c>
      <c r="K30" s="585"/>
      <c r="L30" s="586"/>
      <c r="N30" s="579">
        <f t="shared" si="17"/>
        <v>1.885411764705883</v>
      </c>
      <c r="O30" s="580">
        <f t="shared" si="22"/>
        <v>2.0374636230453716E-4</v>
      </c>
      <c r="P30" s="580">
        <f t="shared" si="18"/>
        <v>0.99997575901614988</v>
      </c>
      <c r="Q30" s="585"/>
      <c r="R30" s="586"/>
      <c r="T30" s="579">
        <f t="shared" si="19"/>
        <v>8.6071764705882359</v>
      </c>
      <c r="U30" s="580">
        <f t="shared" si="21"/>
        <v>8.7051264021423072E-6</v>
      </c>
      <c r="V30" s="580">
        <f t="shared" si="20"/>
        <v>0.99999333025879045</v>
      </c>
      <c r="W30" s="585"/>
      <c r="X30" s="586"/>
    </row>
    <row r="31" spans="1:24">
      <c r="A31"/>
      <c r="B31"/>
      <c r="C31"/>
      <c r="D31"/>
      <c r="E31"/>
      <c r="F31"/>
      <c r="G31"/>
      <c r="H31" s="579">
        <f t="shared" si="15"/>
        <v>15.377118559199804</v>
      </c>
      <c r="I31" s="580">
        <f t="shared" si="14"/>
        <v>1.6554086733937698E-2</v>
      </c>
      <c r="J31" s="580">
        <f t="shared" si="16"/>
        <v>0.89381449417846892</v>
      </c>
      <c r="K31" s="585">
        <v>1.6554086733937698E-2</v>
      </c>
      <c r="L31" s="586">
        <v>0.89381449417846892</v>
      </c>
      <c r="N31" s="579">
        <f t="shared" si="17"/>
        <v>1.9633277310924377</v>
      </c>
      <c r="O31" s="580">
        <f t="shared" si="22"/>
        <v>3.5550455346998846E-4</v>
      </c>
      <c r="P31" s="580">
        <f t="shared" si="18"/>
        <v>0.99995443814660856</v>
      </c>
      <c r="Q31" s="585"/>
      <c r="R31" s="586"/>
      <c r="T31" s="579">
        <f t="shared" si="19"/>
        <v>9.6906302521008403</v>
      </c>
      <c r="U31" s="580">
        <f t="shared" si="21"/>
        <v>2.6400445823251239E-5</v>
      </c>
      <c r="V31" s="580">
        <f t="shared" si="20"/>
        <v>0.99997574241977705</v>
      </c>
      <c r="W31" s="585"/>
      <c r="X31" s="586"/>
    </row>
    <row r="32" spans="1:24">
      <c r="A32"/>
      <c r="B32"/>
      <c r="C32"/>
      <c r="D32"/>
      <c r="E32"/>
      <c r="F32"/>
      <c r="G32"/>
      <c r="H32" s="579">
        <f t="shared" si="15"/>
        <v>17.054811184792598</v>
      </c>
      <c r="I32" s="580">
        <f t="shared" si="14"/>
        <v>1.7673412989047843E-2</v>
      </c>
      <c r="J32" s="580">
        <f t="shared" si="16"/>
        <v>0.86504740993777474</v>
      </c>
      <c r="K32" s="585"/>
      <c r="L32" s="586"/>
      <c r="N32" s="579">
        <f t="shared" si="17"/>
        <v>2.0412436974789925</v>
      </c>
      <c r="O32" s="580">
        <f t="shared" si="22"/>
        <v>5.9431115863913973E-4</v>
      </c>
      <c r="P32" s="580">
        <f t="shared" si="18"/>
        <v>0.99991810609590248</v>
      </c>
      <c r="Q32" s="585"/>
      <c r="R32" s="586"/>
      <c r="T32" s="579">
        <f t="shared" si="19"/>
        <v>10.774084033613445</v>
      </c>
      <c r="U32" s="580">
        <f t="shared" si="21"/>
        <v>6.6225639281852685E-5</v>
      </c>
      <c r="V32" s="580">
        <f t="shared" si="20"/>
        <v>0.99992818482513068</v>
      </c>
      <c r="W32" s="585"/>
      <c r="X32" s="586"/>
    </row>
    <row r="33" spans="1:24">
      <c r="A33"/>
      <c r="B33"/>
      <c r="C33"/>
      <c r="D33"/>
      <c r="E33"/>
      <c r="F33"/>
      <c r="G33"/>
      <c r="H33" s="579">
        <f t="shared" si="15"/>
        <v>18.732503810385392</v>
      </c>
      <c r="I33" s="580">
        <f t="shared" si="14"/>
        <v>1.8420995689163045E-2</v>
      </c>
      <c r="J33" s="580">
        <f t="shared" si="16"/>
        <v>0.83472141099739727</v>
      </c>
      <c r="K33" s="585"/>
      <c r="L33" s="586"/>
      <c r="N33" s="579">
        <f t="shared" si="17"/>
        <v>2.1191596638655472</v>
      </c>
      <c r="O33" s="580">
        <f t="shared" si="22"/>
        <v>9.5571033535103104E-4</v>
      </c>
      <c r="P33" s="580">
        <f t="shared" si="18"/>
        <v>0.99985864875800778</v>
      </c>
      <c r="Q33" s="585"/>
      <c r="R33" s="586"/>
      <c r="T33" s="579">
        <f t="shared" si="19"/>
        <v>11.857537815126049</v>
      </c>
      <c r="U33" s="580">
        <f t="shared" si="21"/>
        <v>1.4345110441747744E-4</v>
      </c>
      <c r="V33" s="580">
        <f t="shared" si="20"/>
        <v>0.99981877148782516</v>
      </c>
      <c r="W33" s="585"/>
      <c r="X33" s="586"/>
    </row>
    <row r="34" spans="1:24">
      <c r="A34"/>
      <c r="B34"/>
      <c r="C34"/>
      <c r="D34"/>
      <c r="E34"/>
      <c r="F34"/>
      <c r="G34"/>
      <c r="H34" s="579">
        <f t="shared" si="15"/>
        <v>20.410196435978186</v>
      </c>
      <c r="I34" s="580">
        <f t="shared" si="14"/>
        <v>1.8849993915021901E-2</v>
      </c>
      <c r="J34" s="580">
        <f t="shared" si="16"/>
        <v>0.80341603164931552</v>
      </c>
      <c r="K34" s="585"/>
      <c r="L34" s="586"/>
      <c r="N34" s="579">
        <f t="shared" si="17"/>
        <v>2.197075630252102</v>
      </c>
      <c r="O34" s="580">
        <f t="shared" si="22"/>
        <v>1.4835466265750996E-3</v>
      </c>
      <c r="P34" s="580">
        <f t="shared" si="18"/>
        <v>0.99976486036422985</v>
      </c>
      <c r="Q34" s="585"/>
      <c r="R34" s="586"/>
      <c r="T34" s="579">
        <f t="shared" si="19"/>
        <v>12.940991596638654</v>
      </c>
      <c r="U34" s="580">
        <f t="shared" si="21"/>
        <v>2.7665359242152131E-4</v>
      </c>
      <c r="V34" s="580">
        <f t="shared" si="20"/>
        <v>0.99959714088743468</v>
      </c>
      <c r="W34" s="585"/>
      <c r="X34" s="586"/>
    </row>
    <row r="35" spans="1:24">
      <c r="A35"/>
      <c r="B35"/>
      <c r="C35"/>
      <c r="D35"/>
      <c r="E35"/>
      <c r="F35"/>
      <c r="G35"/>
      <c r="H35" s="579">
        <f t="shared" si="15"/>
        <v>22.08788906157098</v>
      </c>
      <c r="I35" s="580">
        <f t="shared" si="14"/>
        <v>1.901381631513718E-2</v>
      </c>
      <c r="J35" s="580">
        <f t="shared" si="16"/>
        <v>0.77162063908398337</v>
      </c>
      <c r="K35" s="585"/>
      <c r="L35" s="586"/>
      <c r="N35" s="579">
        <f t="shared" si="17"/>
        <v>2.2749915966386567</v>
      </c>
      <c r="O35" s="580">
        <f t="shared" si="22"/>
        <v>2.2298620280899756E-3</v>
      </c>
      <c r="P35" s="580">
        <f t="shared" si="18"/>
        <v>0.99962179703326237</v>
      </c>
      <c r="Q35" s="585"/>
      <c r="R35" s="586"/>
      <c r="T35" s="579">
        <f t="shared" si="19"/>
        <v>14.024445378151258</v>
      </c>
      <c r="U35" s="580">
        <f t="shared" si="21"/>
        <v>4.8581783079968186E-4</v>
      </c>
      <c r="V35" s="580">
        <f t="shared" si="20"/>
        <v>0.99919184425016505</v>
      </c>
      <c r="W35" s="585"/>
      <c r="X35" s="586"/>
    </row>
    <row r="36" spans="1:24">
      <c r="A36"/>
      <c r="B36"/>
      <c r="C36"/>
      <c r="D36"/>
      <c r="E36"/>
      <c r="F36"/>
      <c r="G36"/>
      <c r="H36" s="579">
        <f t="shared" si="15"/>
        <v>23.765581687163774</v>
      </c>
      <c r="I36" s="580">
        <f t="shared" si="14"/>
        <v>1.8962109900071831E-2</v>
      </c>
      <c r="J36" s="580">
        <f t="shared" si="16"/>
        <v>0.73973777689943998</v>
      </c>
      <c r="K36" s="585">
        <v>1.8962109900071831E-2</v>
      </c>
      <c r="L36" s="586">
        <v>0.73973777689943998</v>
      </c>
      <c r="N36" s="579">
        <f t="shared" si="17"/>
        <v>2.3529075630252114</v>
      </c>
      <c r="O36" s="580">
        <f t="shared" si="22"/>
        <v>3.2541889523825312E-3</v>
      </c>
      <c r="P36" s="580">
        <f t="shared" si="18"/>
        <v>0.99941016153293949</v>
      </c>
      <c r="Q36" s="585"/>
      <c r="R36" s="586"/>
      <c r="T36" s="579">
        <f t="shared" si="19"/>
        <v>15.107899159663862</v>
      </c>
      <c r="U36" s="580">
        <f t="shared" si="21"/>
        <v>7.9004401695660761E-4</v>
      </c>
      <c r="V36" s="580">
        <f t="shared" si="20"/>
        <v>0.99851004887808303</v>
      </c>
      <c r="W36" s="585"/>
      <c r="X36" s="586"/>
    </row>
    <row r="37" spans="1:24">
      <c r="A37"/>
      <c r="B37"/>
      <c r="C37"/>
      <c r="D37"/>
      <c r="E37"/>
      <c r="F37"/>
      <c r="G37"/>
      <c r="H37" s="579">
        <f t="shared" si="15"/>
        <v>25.443274312756568</v>
      </c>
      <c r="I37" s="580">
        <f t="shared" si="14"/>
        <v>1.8738964482484737E-2</v>
      </c>
      <c r="J37" s="580">
        <f t="shared" si="16"/>
        <v>0.70809121431202171</v>
      </c>
      <c r="K37" s="585"/>
      <c r="L37" s="586"/>
      <c r="N37" s="579">
        <f t="shared" si="17"/>
        <v>2.4308235294117662</v>
      </c>
      <c r="O37" s="580">
        <f t="shared" si="22"/>
        <v>4.6222143892953402E-3</v>
      </c>
      <c r="P37" s="580">
        <f t="shared" si="18"/>
        <v>0.99910576765424441</v>
      </c>
      <c r="Q37" s="585"/>
      <c r="R37" s="586"/>
      <c r="T37" s="579">
        <f t="shared" si="19"/>
        <v>16.191352941176469</v>
      </c>
      <c r="U37" s="580">
        <f t="shared" si="21"/>
        <v>1.205338098011384E-3</v>
      </c>
      <c r="V37" s="580">
        <f t="shared" si="20"/>
        <v>0.99743972019232996</v>
      </c>
      <c r="W37" s="585"/>
      <c r="X37" s="586"/>
    </row>
    <row r="38" spans="1:24">
      <c r="A38"/>
      <c r="B38"/>
      <c r="C38"/>
      <c r="D38"/>
      <c r="E38"/>
      <c r="F38"/>
      <c r="G38"/>
      <c r="H38" s="579">
        <f t="shared" si="15"/>
        <v>27.120966938349362</v>
      </c>
      <c r="I38" s="580">
        <f t="shared" si="14"/>
        <v>1.8382385525940251E-2</v>
      </c>
      <c r="J38" s="580">
        <f t="shared" si="16"/>
        <v>0.67693584085802105</v>
      </c>
      <c r="K38" s="585"/>
      <c r="L38" s="586"/>
      <c r="N38" s="579">
        <f t="shared" si="17"/>
        <v>2.5087394957983209</v>
      </c>
      <c r="O38" s="580">
        <f t="shared" si="22"/>
        <v>6.403848137185671E-3</v>
      </c>
      <c r="P38" s="580">
        <f t="shared" si="18"/>
        <v>0.99867913228299232</v>
      </c>
      <c r="Q38" s="585"/>
      <c r="R38" s="586"/>
      <c r="T38" s="579">
        <f t="shared" si="19"/>
        <v>17.274806722689075</v>
      </c>
      <c r="U38" s="580">
        <f t="shared" si="21"/>
        <v>1.7428535747813813E-3</v>
      </c>
      <c r="V38" s="580">
        <f t="shared" si="20"/>
        <v>0.99585397951217047</v>
      </c>
      <c r="W38" s="585"/>
      <c r="X38" s="586"/>
    </row>
    <row r="39" spans="1:24">
      <c r="A39"/>
      <c r="B39"/>
      <c r="C39"/>
      <c r="D39"/>
      <c r="E39"/>
      <c r="F39"/>
      <c r="G39"/>
      <c r="H39" s="579">
        <f t="shared" si="15"/>
        <v>28.798659563942156</v>
      </c>
      <c r="I39" s="580">
        <f t="shared" si="14"/>
        <v>1.7924453754219097E-2</v>
      </c>
      <c r="J39" s="580">
        <f t="shared" si="16"/>
        <v>0.6464678072454173</v>
      </c>
      <c r="K39" s="585"/>
      <c r="L39" s="586"/>
      <c r="N39" s="579">
        <f t="shared" si="17"/>
        <v>2.5866554621848756</v>
      </c>
      <c r="O39" s="580">
        <f t="shared" si="22"/>
        <v>8.6707825613904499E-3</v>
      </c>
      <c r="P39" s="580">
        <f t="shared" si="18"/>
        <v>0.99809523852556348</v>
      </c>
      <c r="Q39" s="585"/>
      <c r="R39" s="586"/>
      <c r="T39" s="579">
        <f t="shared" si="19"/>
        <v>18.358260504201681</v>
      </c>
      <c r="U39" s="580">
        <f t="shared" si="21"/>
        <v>2.4077896771449257E-3</v>
      </c>
      <c r="V39" s="580">
        <f t="shared" si="20"/>
        <v>0.99361702208401492</v>
      </c>
      <c r="W39" s="585"/>
      <c r="X39" s="586"/>
    </row>
    <row r="40" spans="1:24">
      <c r="A40"/>
      <c r="B40"/>
      <c r="C40"/>
      <c r="D40"/>
      <c r="E40"/>
      <c r="F40"/>
      <c r="G40"/>
      <c r="H40" s="579">
        <f t="shared" si="15"/>
        <v>30.47635218953495</v>
      </c>
      <c r="I40" s="580">
        <f t="shared" si="14"/>
        <v>1.7391824415803996E-2</v>
      </c>
      <c r="J40" s="580">
        <f t="shared" si="16"/>
        <v>0.61683407699252002</v>
      </c>
      <c r="K40" s="585"/>
      <c r="L40" s="586"/>
      <c r="N40" s="579">
        <f t="shared" si="17"/>
        <v>2.6645714285714304</v>
      </c>
      <c r="O40" s="580">
        <f t="shared" si="22"/>
        <v>1.1493676757860371E-2</v>
      </c>
      <c r="P40" s="580">
        <f t="shared" si="18"/>
        <v>0.99731350458507217</v>
      </c>
      <c r="Q40" s="585"/>
      <c r="R40" s="586"/>
      <c r="T40" s="579">
        <f t="shared" si="19"/>
        <v>19.441714285714287</v>
      </c>
      <c r="U40" s="580">
        <f t="shared" si="21"/>
        <v>3.1989930341368706E-3</v>
      </c>
      <c r="V40" s="580">
        <f t="shared" si="20"/>
        <v>0.99059084590529878</v>
      </c>
      <c r="W40" s="585"/>
      <c r="X40" s="586"/>
    </row>
    <row r="41" spans="1:24">
      <c r="A41"/>
      <c r="B41"/>
      <c r="C41"/>
      <c r="D41"/>
      <c r="E41"/>
      <c r="F41"/>
      <c r="G41"/>
      <c r="H41" s="579">
        <f t="shared" si="15"/>
        <v>32.154044815127747</v>
      </c>
      <c r="I41" s="580">
        <f t="shared" si="14"/>
        <v>1.680636506530157E-2</v>
      </c>
      <c r="J41" s="580">
        <f t="shared" si="16"/>
        <v>0.58814100349798248</v>
      </c>
      <c r="K41" s="585"/>
      <c r="L41" s="586"/>
      <c r="N41" s="579">
        <f t="shared" si="17"/>
        <v>2.7424873949579851</v>
      </c>
      <c r="O41" s="580">
        <f t="shared" si="22"/>
        <v>1.4939129855722098E-2</v>
      </c>
      <c r="P41" s="580">
        <f t="shared" si="18"/>
        <v>0.99628798139190777</v>
      </c>
      <c r="Q41" s="585"/>
      <c r="R41" s="586"/>
      <c r="T41" s="579">
        <f t="shared" si="19"/>
        <v>20.525168067226893</v>
      </c>
      <c r="U41" s="580">
        <f t="shared" si="21"/>
        <v>4.1091917784955509E-3</v>
      </c>
      <c r="V41" s="580">
        <f t="shared" si="20"/>
        <v>0.98664205916989756</v>
      </c>
      <c r="W41" s="585"/>
      <c r="X41" s="586"/>
    </row>
    <row r="42" spans="1:24">
      <c r="A42"/>
      <c r="B42"/>
      <c r="C42"/>
      <c r="D42"/>
      <c r="E42"/>
      <c r="F42"/>
      <c r="G42"/>
      <c r="H42" s="579">
        <f t="shared" si="15"/>
        <v>33.831737440720545</v>
      </c>
      <c r="I42" s="580">
        <f t="shared" si="14"/>
        <v>1.6185819668710223E-2</v>
      </c>
      <c r="J42" s="580">
        <f t="shared" si="16"/>
        <v>0.56046180376938981</v>
      </c>
      <c r="K42" s="585"/>
      <c r="L42" s="586"/>
      <c r="N42" s="579">
        <f t="shared" si="17"/>
        <v>2.8204033613445398</v>
      </c>
      <c r="O42" s="580">
        <f t="shared" si="22"/>
        <v>1.9066624185504748E-2</v>
      </c>
      <c r="P42" s="580">
        <f t="shared" si="18"/>
        <v>0.99496778842807188</v>
      </c>
      <c r="Q42" s="585"/>
      <c r="R42" s="586"/>
      <c r="T42" s="579">
        <f t="shared" si="19"/>
        <v>21.608621848739499</v>
      </c>
      <c r="U42" s="580">
        <f t="shared" si="21"/>
        <v>5.1257216849356557E-3</v>
      </c>
      <c r="V42" s="580">
        <f t="shared" si="20"/>
        <v>0.98164815304569597</v>
      </c>
      <c r="W42" s="585"/>
      <c r="X42" s="586"/>
    </row>
    <row r="43" spans="1:24">
      <c r="A43"/>
      <c r="B43"/>
      <c r="C43"/>
      <c r="D43"/>
      <c r="E43"/>
      <c r="F43"/>
      <c r="G43"/>
      <c r="H43" s="579">
        <f t="shared" si="15"/>
        <v>35.509430066313342</v>
      </c>
      <c r="I43" s="580">
        <f t="shared" si="14"/>
        <v>1.5544440048526804E-2</v>
      </c>
      <c r="J43" s="580">
        <f t="shared" si="16"/>
        <v>0.53384293975052688</v>
      </c>
      <c r="K43" s="585"/>
      <c r="L43" s="586"/>
      <c r="N43" s="579">
        <f t="shared" si="17"/>
        <v>2.8983193277310946</v>
      </c>
      <c r="O43" s="580">
        <f t="shared" si="22"/>
        <v>2.3925618945007911E-2</v>
      </c>
      <c r="P43" s="580">
        <f t="shared" si="18"/>
        <v>0.99329778300561911</v>
      </c>
      <c r="Q43" s="585"/>
      <c r="R43" s="586"/>
      <c r="T43" s="579">
        <f t="shared" si="19"/>
        <v>22.692075630252106</v>
      </c>
      <c r="U43" s="580">
        <f t="shared" si="21"/>
        <v>6.2315779851788173E-3</v>
      </c>
      <c r="V43" s="580">
        <f t="shared" si="20"/>
        <v>0.97550279610597213</v>
      </c>
      <c r="W43" s="585"/>
      <c r="X43" s="586"/>
    </row>
    <row r="44" spans="1:24">
      <c r="A44"/>
      <c r="B44"/>
      <c r="C44"/>
      <c r="D44"/>
      <c r="E44"/>
      <c r="F44"/>
      <c r="G44"/>
      <c r="H44" s="579">
        <f t="shared" si="15"/>
        <v>37.18712269190614</v>
      </c>
      <c r="I44" s="580">
        <f t="shared" si="14"/>
        <v>1.4893556875145342E-2</v>
      </c>
      <c r="J44" s="580">
        <f t="shared" si="16"/>
        <v>0.50830948860879654</v>
      </c>
      <c r="K44" s="585"/>
      <c r="L44" s="586"/>
      <c r="N44" s="579">
        <f t="shared" si="17"/>
        <v>2.9762352941176493</v>
      </c>
      <c r="O44" s="580">
        <f t="shared" si="22"/>
        <v>2.9552960348415692E-2</v>
      </c>
      <c r="P44" s="580">
        <f t="shared" si="18"/>
        <v>0.99121944466944933</v>
      </c>
      <c r="Q44" s="585"/>
      <c r="R44" s="586"/>
      <c r="T44" s="579">
        <f t="shared" si="19"/>
        <v>23.775529411764712</v>
      </c>
      <c r="U44" s="580">
        <f t="shared" si="21"/>
        <v>7.4066321081615602E-3</v>
      </c>
      <c r="V44" s="580">
        <f t="shared" si="20"/>
        <v>0.96811988620145173</v>
      </c>
      <c r="W44" s="585"/>
      <c r="X44" s="586"/>
    </row>
    <row r="45" spans="1:24">
      <c r="A45"/>
      <c r="B45"/>
      <c r="C45"/>
      <c r="D45"/>
      <c r="E45"/>
      <c r="F45"/>
      <c r="G45"/>
      <c r="H45" s="579">
        <f t="shared" si="15"/>
        <v>38.864815317498937</v>
      </c>
      <c r="I45" s="580">
        <f t="shared" si="14"/>
        <v>1.4242080208640987E-2</v>
      </c>
      <c r="J45" s="580">
        <f t="shared" si="16"/>
        <v>0.48386961361082304</v>
      </c>
      <c r="K45" s="585">
        <v>1.4242080208640987E-2</v>
      </c>
      <c r="L45" s="586">
        <v>0.48386961361082304</v>
      </c>
      <c r="N45" s="579">
        <f t="shared" si="17"/>
        <v>3.054151260504204</v>
      </c>
      <c r="O45" s="580">
        <f t="shared" si="22"/>
        <v>3.5970747863655797E-2</v>
      </c>
      <c r="P45" s="580">
        <f t="shared" si="18"/>
        <v>0.98867194442429818</v>
      </c>
      <c r="Q45" s="585"/>
      <c r="R45" s="586"/>
      <c r="T45" s="579">
        <f t="shared" si="19"/>
        <v>24.858983193277318</v>
      </c>
      <c r="U45" s="580">
        <f t="shared" si="21"/>
        <v>8.6288771555981351E-3</v>
      </c>
      <c r="V45" s="580">
        <f t="shared" si="20"/>
        <v>0.95943625761025519</v>
      </c>
      <c r="W45" s="585"/>
      <c r="X45" s="586"/>
    </row>
    <row r="46" spans="1:24">
      <c r="A46"/>
      <c r="B46"/>
      <c r="C46"/>
      <c r="D46"/>
      <c r="E46"/>
      <c r="F46"/>
      <c r="G46"/>
      <c r="H46" s="579">
        <f t="shared" si="15"/>
        <v>40.542507943091735</v>
      </c>
      <c r="I46" s="580">
        <f t="shared" si="14"/>
        <v>1.3596929345677971E-2</v>
      </c>
      <c r="J46" s="580">
        <f t="shared" si="16"/>
        <v>0.46051825495041276</v>
      </c>
      <c r="K46" s="585"/>
      <c r="L46" s="586"/>
      <c r="N46" s="579">
        <f t="shared" si="17"/>
        <v>3.1320672268907588</v>
      </c>
      <c r="O46" s="580">
        <f t="shared" si="22"/>
        <v>4.3184761586919578E-2</v>
      </c>
      <c r="P46" s="580">
        <f t="shared" si="18"/>
        <v>0.98559335891377908</v>
      </c>
      <c r="Q46" s="585"/>
      <c r="R46" s="586"/>
      <c r="T46" s="579">
        <f t="shared" si="19"/>
        <v>25.942436974789924</v>
      </c>
      <c r="U46" s="580">
        <f t="shared" si="21"/>
        <v>9.8755989242043617E-3</v>
      </c>
      <c r="V46" s="580">
        <f t="shared" si="20"/>
        <v>0.94941307135368047</v>
      </c>
      <c r="W46" s="585"/>
      <c r="X46" s="586"/>
    </row>
    <row r="47" spans="1:24">
      <c r="A47"/>
      <c r="C47"/>
      <c r="D47"/>
      <c r="E47"/>
      <c r="F47"/>
      <c r="G47"/>
      <c r="H47" s="579">
        <f t="shared" si="15"/>
        <v>42.220200568684533</v>
      </c>
      <c r="I47" s="580">
        <f t="shared" si="14"/>
        <v>1.2963396710796427E-2</v>
      </c>
      <c r="J47" s="580">
        <f t="shared" si="16"/>
        <v>0.43824015562193153</v>
      </c>
      <c r="K47" s="585"/>
      <c r="L47" s="586"/>
      <c r="N47" s="579">
        <f t="shared" si="17"/>
        <v>3.2099831932773135</v>
      </c>
      <c r="O47" s="580">
        <f t="shared" si="22"/>
        <v>5.1183516858609626E-2</v>
      </c>
      <c r="P47" s="580">
        <f t="shared" si="18"/>
        <v>0.98192198299514422</v>
      </c>
      <c r="Q47" s="585"/>
      <c r="R47" s="586"/>
      <c r="T47" s="579">
        <f t="shared" si="19"/>
        <v>27.02589075630253</v>
      </c>
      <c r="U47" s="580">
        <f t="shared" si="21"/>
        <v>1.1124403259598604E-2</v>
      </c>
      <c r="V47" s="580">
        <f t="shared" si="20"/>
        <v>0.93803600980002155</v>
      </c>
      <c r="W47" s="585"/>
      <c r="X47" s="586"/>
    </row>
    <row r="48" spans="1:24">
      <c r="A48"/>
      <c r="B48"/>
      <c r="C48"/>
      <c r="D48"/>
      <c r="E48"/>
      <c r="F48"/>
      <c r="G48"/>
      <c r="H48" s="579">
        <f t="shared" si="15"/>
        <v>43.89789319427733</v>
      </c>
      <c r="I48" s="580">
        <f t="shared" si="14"/>
        <v>1.2345452747221182E-2</v>
      </c>
      <c r="J48" s="580">
        <f t="shared" si="16"/>
        <v>0.41701232733519011</v>
      </c>
      <c r="K48" s="585"/>
      <c r="L48" s="586"/>
      <c r="N48" s="579">
        <f t="shared" si="17"/>
        <v>3.2878991596638683</v>
      </c>
      <c r="O48" s="580">
        <f t="shared" si="22"/>
        <v>5.9937972479327882E-2</v>
      </c>
      <c r="P48" s="580">
        <f t="shared" si="18"/>
        <v>0.97759769055680901</v>
      </c>
      <c r="Q48" s="585"/>
      <c r="R48" s="586"/>
      <c r="T48" s="579">
        <f t="shared" si="19"/>
        <v>28.109344537815137</v>
      </c>
      <c r="U48" s="580">
        <f t="shared" si="21"/>
        <v>1.2354060933521843E-2</v>
      </c>
      <c r="V48" s="580">
        <f t="shared" si="20"/>
        <v>0.9253144547432266</v>
      </c>
      <c r="W48" s="585"/>
      <c r="X48" s="586"/>
    </row>
    <row r="49" spans="1:24">
      <c r="A49"/>
      <c r="B49"/>
      <c r="C49"/>
      <c r="D49"/>
      <c r="E49"/>
      <c r="F49"/>
      <c r="G49"/>
      <c r="H49" s="579">
        <f t="shared" si="15"/>
        <v>45.575585819870128</v>
      </c>
      <c r="I49" s="580">
        <f t="shared" si="14"/>
        <v>1.1745999415815332E-2</v>
      </c>
      <c r="J49" s="580">
        <f t="shared" si="16"/>
        <v>0.39680604909266992</v>
      </c>
      <c r="K49" s="585"/>
      <c r="L49" s="586"/>
      <c r="N49" s="579">
        <f t="shared" si="17"/>
        <v>3.365815126050423</v>
      </c>
      <c r="O49" s="580">
        <f t="shared" si="22"/>
        <v>6.9401881415037267E-2</v>
      </c>
      <c r="P49" s="580">
        <f t="shared" si="18"/>
        <v>0.97256329285506271</v>
      </c>
      <c r="Q49" s="585"/>
      <c r="R49" s="586"/>
      <c r="T49" s="579">
        <f t="shared" si="19"/>
        <v>29.192798319327743</v>
      </c>
      <c r="U49" s="580">
        <f t="shared" si="21"/>
        <v>1.3545155863391785E-2</v>
      </c>
      <c r="V49" s="580">
        <f t="shared" si="20"/>
        <v>0.91127985627927999</v>
      </c>
      <c r="W49" s="585"/>
      <c r="X49" s="586"/>
    </row>
    <row r="50" spans="1:24">
      <c r="A50"/>
      <c r="B50"/>
      <c r="C50"/>
      <c r="D50"/>
      <c r="E50"/>
      <c r="F50"/>
      <c r="G50"/>
      <c r="H50" s="579">
        <f t="shared" si="15"/>
        <v>47.253278445462925</v>
      </c>
      <c r="I50" s="580">
        <f t="shared" si="14"/>
        <v>1.1167079722849612E-2</v>
      </c>
      <c r="J50" s="580">
        <f t="shared" si="16"/>
        <v>0.3775884783605099</v>
      </c>
      <c r="K50" s="585"/>
      <c r="L50" s="586"/>
      <c r="N50" s="579">
        <f t="shared" si="17"/>
        <v>3.4437310924369777</v>
      </c>
      <c r="O50" s="580">
        <f t="shared" si="22"/>
        <v>7.9512740066452051E-2</v>
      </c>
      <c r="P50" s="580">
        <f t="shared" si="18"/>
        <v>0.96676584582684777</v>
      </c>
      <c r="Q50" s="585"/>
      <c r="R50" s="586"/>
      <c r="T50" s="579">
        <f t="shared" si="19"/>
        <v>30.276252100840349</v>
      </c>
      <c r="U50" s="580">
        <f t="shared" si="21"/>
        <v>1.4680540750058804E-2</v>
      </c>
      <c r="V50" s="580">
        <f t="shared" si="20"/>
        <v>0.89598350470844557</v>
      </c>
      <c r="W50" s="585">
        <v>1.4680540750058804E-2</v>
      </c>
      <c r="X50" s="586">
        <v>0.89598350470844557</v>
      </c>
    </row>
    <row r="51" spans="1:24">
      <c r="A51"/>
      <c r="B51"/>
      <c r="C51"/>
      <c r="D51"/>
      <c r="E51"/>
      <c r="F51"/>
      <c r="G51"/>
      <c r="H51" s="579">
        <f t="shared" si="15"/>
        <v>48.930971071055723</v>
      </c>
      <c r="I51" s="580">
        <f t="shared" si="14"/>
        <v>1.0610050092754354E-2</v>
      </c>
      <c r="J51" s="580">
        <f t="shared" si="16"/>
        <v>0.35932394278457014</v>
      </c>
      <c r="K51" s="585">
        <v>1.0610050092754354E-2</v>
      </c>
      <c r="L51" s="586">
        <v>0.35932394278457014</v>
      </c>
      <c r="N51" s="579">
        <f t="shared" si="17"/>
        <v>3.5216470588235325</v>
      </c>
      <c r="O51" s="580">
        <f t="shared" si="22"/>
        <v>9.0193265625855099E-2</v>
      </c>
      <c r="P51" s="580">
        <f t="shared" si="18"/>
        <v>0.96015786233663802</v>
      </c>
      <c r="Q51" s="585"/>
      <c r="R51" s="586"/>
      <c r="T51" s="579">
        <f t="shared" si="19"/>
        <v>31.359705882352955</v>
      </c>
      <c r="U51" s="580">
        <f t="shared" si="21"/>
        <v>1.5745616497562141E-2</v>
      </c>
      <c r="V51" s="580">
        <f t="shared" si="20"/>
        <v>0.87949390611584966</v>
      </c>
      <c r="W51" s="585"/>
      <c r="X51" s="586"/>
    </row>
    <row r="52" spans="1:24">
      <c r="A52"/>
      <c r="B52"/>
      <c r="C52"/>
      <c r="D52"/>
      <c r="E52"/>
      <c r="F52"/>
      <c r="G52"/>
      <c r="H52" s="579">
        <f t="shared" si="15"/>
        <v>50.60866369664852</v>
      </c>
      <c r="I52" s="580">
        <f t="shared" si="14"/>
        <v>1.0075721626124173E-2</v>
      </c>
      <c r="J52" s="580">
        <f t="shared" si="16"/>
        <v>0.3419749696060177</v>
      </c>
      <c r="K52" s="585"/>
      <c r="L52" s="586"/>
      <c r="N52" s="579">
        <f t="shared" si="17"/>
        <v>3.5995630252100872</v>
      </c>
      <c r="O52" s="580">
        <f t="shared" si="22"/>
        <v>0.10135331160670846</v>
      </c>
      <c r="P52" s="580">
        <f t="shared" si="18"/>
        <v>0.95269839161148395</v>
      </c>
      <c r="Q52" s="585"/>
      <c r="R52" s="586"/>
      <c r="T52" s="579">
        <f t="shared" si="19"/>
        <v>32.443159663865558</v>
      </c>
      <c r="U52" s="580">
        <f t="shared" si="21"/>
        <v>1.6728459010945291E-2</v>
      </c>
      <c r="V52" s="580">
        <f t="shared" si="20"/>
        <v>0.86189394022756427</v>
      </c>
      <c r="W52" s="585"/>
      <c r="X52" s="586"/>
    </row>
    <row r="53" spans="1:24">
      <c r="A53"/>
      <c r="B53"/>
      <c r="C53"/>
      <c r="D53"/>
      <c r="E53"/>
      <c r="F53"/>
      <c r="G53"/>
      <c r="H53" s="579">
        <f t="shared" si="15"/>
        <v>52.286356322241318</v>
      </c>
      <c r="I53" s="580">
        <f t="shared" si="14"/>
        <v>9.5644754728362921E-3</v>
      </c>
      <c r="J53" s="580">
        <f t="shared" si="16"/>
        <v>0.32550310047845088</v>
      </c>
      <c r="K53" s="585"/>
      <c r="L53" s="586"/>
      <c r="N53" s="579">
        <f t="shared" si="17"/>
        <v>3.6774789915966419</v>
      </c>
      <c r="O53" s="580">
        <f t="shared" si="22"/>
        <v>0.11289211948835785</v>
      </c>
      <c r="P53" s="580">
        <f t="shared" si="18"/>
        <v>0.94435393564389059</v>
      </c>
      <c r="Q53" s="585"/>
      <c r="R53" s="586"/>
      <c r="T53" s="579">
        <f t="shared" si="19"/>
        <v>33.52661344537816</v>
      </c>
      <c r="U53" s="580">
        <f t="shared" si="21"/>
        <v>1.7619820239556588E-2</v>
      </c>
      <c r="V53" s="580">
        <f t="shared" si="20"/>
        <v>0.84327795149427454</v>
      </c>
      <c r="W53" s="585"/>
      <c r="X53" s="586"/>
    </row>
    <row r="54" spans="1:24">
      <c r="A54"/>
      <c r="B54"/>
      <c r="C54"/>
      <c r="D54"/>
      <c r="E54"/>
      <c r="F54"/>
      <c r="G54"/>
      <c r="H54" s="579">
        <f t="shared" si="15"/>
        <v>53.964048947834115</v>
      </c>
      <c r="I54" s="580">
        <f t="shared" si="14"/>
        <v>9.0763567775265196E-3</v>
      </c>
      <c r="J54" s="580">
        <f t="shared" si="16"/>
        <v>0.30986953127098837</v>
      </c>
      <c r="K54" s="585"/>
      <c r="L54" s="586"/>
      <c r="N54" s="579">
        <f t="shared" si="17"/>
        <v>3.7553949579831967</v>
      </c>
      <c r="O54" s="580">
        <f t="shared" si="22"/>
        <v>0.1247007992038895</v>
      </c>
      <c r="P54" s="580">
        <f t="shared" si="18"/>
        <v>0.93509918054014063</v>
      </c>
      <c r="Q54" s="585"/>
      <c r="R54" s="586"/>
      <c r="T54" s="579">
        <f t="shared" si="19"/>
        <v>34.610067226890763</v>
      </c>
      <c r="U54" s="580">
        <f t="shared" si="21"/>
        <v>1.8413030716759652E-2</v>
      </c>
      <c r="V54" s="580">
        <f t="shared" si="20"/>
        <v>0.82374889482176084</v>
      </c>
      <c r="W54" s="585"/>
      <c r="X54" s="586"/>
    </row>
    <row r="55" spans="1:24">
      <c r="A55"/>
      <c r="B55"/>
      <c r="C55"/>
      <c r="D55"/>
      <c r="E55"/>
      <c r="F55"/>
      <c r="G55"/>
      <c r="H55" s="579">
        <f t="shared" si="15"/>
        <v>55.641741573426913</v>
      </c>
      <c r="I55" s="580">
        <f t="shared" ref="I55:I86" si="23">+_xlfn.LOGNORM.DIST(H55,$R$7,$S$7,FALSE)</f>
        <v>8.6111509542480067E-3</v>
      </c>
      <c r="J55" s="580">
        <f t="shared" si="16"/>
        <v>0.29503560956280384</v>
      </c>
      <c r="K55" s="585"/>
      <c r="L55" s="586"/>
      <c r="N55" s="579">
        <f t="shared" si="17"/>
        <v>3.8333109243697514</v>
      </c>
      <c r="O55" s="580">
        <f t="shared" si="22"/>
        <v>0.1366649321437951</v>
      </c>
      <c r="P55" s="580">
        <f t="shared" si="18"/>
        <v>0.92491752914994108</v>
      </c>
      <c r="Q55" s="585"/>
      <c r="R55" s="586"/>
      <c r="T55" s="579">
        <f t="shared" si="19"/>
        <v>35.693521008403366</v>
      </c>
      <c r="U55" s="580">
        <f t="shared" si="21"/>
        <v>1.9103829285022019E-2</v>
      </c>
      <c r="V55" s="580">
        <f t="shared" si="20"/>
        <v>0.80341562855047854</v>
      </c>
      <c r="W55" s="585"/>
      <c r="X55" s="586"/>
    </row>
    <row r="56" spans="1:24">
      <c r="A56"/>
      <c r="B56"/>
      <c r="C56"/>
      <c r="D56"/>
      <c r="E56"/>
      <c r="F56"/>
      <c r="G56"/>
      <c r="H56" s="579">
        <f t="shared" ref="H56:H87" si="24">+IF((H55+$I$21)&gt;($K$7),,H55+$I$21)</f>
        <v>57.31943419901971</v>
      </c>
      <c r="I56" s="580">
        <f t="shared" si="23"/>
        <v>8.1684454315878799E-3</v>
      </c>
      <c r="J56" s="580">
        <f t="shared" si="16"/>
        <v>0.28096321676026015</v>
      </c>
      <c r="K56" s="585"/>
      <c r="L56" s="586"/>
      <c r="N56" s="579">
        <f t="shared" si="17"/>
        <v>3.9112268907563061</v>
      </c>
      <c r="O56" s="580">
        <f t="shared" si="22"/>
        <v>0.14866719641993917</v>
      </c>
      <c r="P56" s="580">
        <f t="shared" si="18"/>
        <v>0.91380142939092168</v>
      </c>
      <c r="Q56" s="585"/>
      <c r="R56" s="586"/>
      <c r="T56" s="579">
        <f t="shared" si="19"/>
        <v>36.776974789915968</v>
      </c>
      <c r="U56" s="580">
        <f t="shared" si="21"/>
        <v>1.9690142954930216E-2</v>
      </c>
      <c r="V56" s="580">
        <f t="shared" si="20"/>
        <v>0.78239042086124466</v>
      </c>
      <c r="W56" s="585"/>
      <c r="X56" s="586"/>
    </row>
    <row r="57" spans="1:24">
      <c r="A57"/>
      <c r="B57"/>
      <c r="C57"/>
      <c r="D57"/>
      <c r="E57"/>
      <c r="F57"/>
      <c r="G57"/>
      <c r="H57" s="579">
        <f t="shared" si="24"/>
        <v>58.997126824612508</v>
      </c>
      <c r="I57" s="580">
        <f t="shared" si="23"/>
        <v>7.7476794795248828E-3</v>
      </c>
      <c r="J57" s="580">
        <f t="shared" si="16"/>
        <v>0.26761505695397736</v>
      </c>
      <c r="K57" s="585"/>
      <c r="L57" s="586"/>
      <c r="N57" s="579">
        <f t="shared" si="17"/>
        <v>3.9891428571428609</v>
      </c>
      <c r="O57" s="580">
        <f t="shared" si="22"/>
        <v>0.16058992416996609</v>
      </c>
      <c r="P57" s="580">
        <f t="shared" si="18"/>
        <v>0.90175250012391062</v>
      </c>
      <c r="Q57" s="585"/>
      <c r="R57" s="586"/>
      <c r="T57" s="579">
        <f t="shared" si="19"/>
        <v>37.860428571428571</v>
      </c>
      <c r="U57" s="580">
        <f t="shared" si="21"/>
        <v>2.0171836514125144E-2</v>
      </c>
      <c r="V57" s="580">
        <f t="shared" si="20"/>
        <v>0.76078671269379372</v>
      </c>
      <c r="W57" s="585"/>
      <c r="X57" s="586"/>
    </row>
    <row r="58" spans="1:24">
      <c r="A58"/>
      <c r="B58"/>
      <c r="C58"/>
      <c r="D58"/>
      <c r="E58"/>
      <c r="F58"/>
      <c r="G58"/>
      <c r="H58" s="579">
        <f t="shared" si="24"/>
        <v>60.674819450205305</v>
      </c>
      <c r="I58" s="580">
        <f t="shared" si="23"/>
        <v>7.3481842793789434E-3</v>
      </c>
      <c r="J58" s="580">
        <f t="shared" si="16"/>
        <v>0.25495487064031064</v>
      </c>
      <c r="K58" s="585"/>
      <c r="L58" s="586"/>
      <c r="N58" s="579">
        <f t="shared" si="17"/>
        <v>4.0670588235294156</v>
      </c>
      <c r="O58" s="580">
        <f t="shared" si="22"/>
        <v>0.1723175134954312</v>
      </c>
      <c r="P58" s="580">
        <f t="shared" si="18"/>
        <v>0.88878146297956973</v>
      </c>
      <c r="Q58" s="585">
        <v>0.1723175134954312</v>
      </c>
      <c r="R58" s="586">
        <v>0.88878146297956973</v>
      </c>
      <c r="T58" s="579">
        <f t="shared" si="19"/>
        <v>38.943882352941174</v>
      </c>
      <c r="U58" s="580">
        <f t="shared" si="21"/>
        <v>2.0550447999712923E-2</v>
      </c>
      <c r="V58" s="580">
        <f t="shared" si="20"/>
        <v>0.73871716090886286</v>
      </c>
      <c r="W58" s="585"/>
      <c r="X58" s="586"/>
    </row>
    <row r="59" spans="1:24">
      <c r="A59"/>
      <c r="B59"/>
      <c r="C59"/>
      <c r="D59"/>
      <c r="E59"/>
      <c r="F59"/>
      <c r="G59"/>
      <c r="H59" s="579">
        <f t="shared" si="24"/>
        <v>62.352512075798103</v>
      </c>
      <c r="I59" s="580">
        <f t="shared" si="23"/>
        <v>6.9692150200337775E-3</v>
      </c>
      <c r="J59" s="580">
        <f t="shared" si="16"/>
        <v>0.24294758813225514</v>
      </c>
      <c r="K59" s="585"/>
      <c r="L59" s="586"/>
      <c r="N59" s="579">
        <f t="shared" si="17"/>
        <v>4.1449747899159703</v>
      </c>
      <c r="O59" s="580">
        <f t="shared" si="22"/>
        <v>0.18373863209297855</v>
      </c>
      <c r="P59" s="580">
        <f t="shared" si="18"/>
        <v>0.87490789401192892</v>
      </c>
      <c r="Q59" s="585"/>
      <c r="R59" s="586"/>
      <c r="T59" s="579">
        <f t="shared" si="19"/>
        <v>40.027336134453776</v>
      </c>
      <c r="U59" s="580">
        <f t="shared" si="21"/>
        <v>2.082892275997919E-2</v>
      </c>
      <c r="V59" s="580">
        <f t="shared" si="20"/>
        <v>0.71629196982124577</v>
      </c>
      <c r="W59" s="585"/>
      <c r="X59" s="586"/>
    </row>
    <row r="60" spans="1:24">
      <c r="H60" s="579">
        <f t="shared" si="24"/>
        <v>64.0302047013909</v>
      </c>
      <c r="I60" s="580">
        <f t="shared" si="23"/>
        <v>6.6099764880468599E-3</v>
      </c>
      <c r="J60" s="580">
        <f t="shared" si="16"/>
        <v>0.2315594347659955</v>
      </c>
      <c r="K60" s="585"/>
      <c r="L60" s="586"/>
      <c r="N60" s="579">
        <f t="shared" si="17"/>
        <v>4.2228907563025251</v>
      </c>
      <c r="O60" s="580">
        <f t="shared" si="22"/>
        <v>0.19474816475369197</v>
      </c>
      <c r="P60" s="580">
        <f t="shared" si="18"/>
        <v>0.86015981337083647</v>
      </c>
      <c r="Q60" s="585"/>
      <c r="R60" s="586"/>
      <c r="T60" s="579">
        <f t="shared" si="19"/>
        <v>41.110789915966379</v>
      </c>
      <c r="U60" s="580">
        <f t="shared" si="21"/>
        <v>2.1011355734025124E-2</v>
      </c>
      <c r="V60" s="580">
        <f t="shared" si="20"/>
        <v>0.69361750715288395</v>
      </c>
      <c r="W60" s="585"/>
      <c r="X60" s="586"/>
    </row>
    <row r="61" spans="1:24">
      <c r="H61" s="579">
        <f t="shared" si="24"/>
        <v>65.707897326983698</v>
      </c>
      <c r="I61" s="580">
        <f t="shared" si="23"/>
        <v>6.2696433573137308E-3</v>
      </c>
      <c r="J61" s="580">
        <f t="shared" si="16"/>
        <v>0.2207579977737304</v>
      </c>
      <c r="K61" s="585"/>
      <c r="L61" s="586"/>
      <c r="N61" s="579">
        <f t="shared" si="17"/>
        <v>4.3008067226890798</v>
      </c>
      <c r="O61" s="580">
        <f t="shared" si="22"/>
        <v>0.20524887182635668</v>
      </c>
      <c r="P61" s="580">
        <f t="shared" si="18"/>
        <v>0.8445731343267272</v>
      </c>
      <c r="Q61" s="585"/>
      <c r="R61" s="586"/>
      <c r="T61" s="579">
        <f t="shared" si="19"/>
        <v>42.194243697478981</v>
      </c>
      <c r="U61" s="580">
        <f t="shared" si="21"/>
        <v>2.110274886540173E-2</v>
      </c>
      <c r="V61" s="580">
        <f t="shared" si="20"/>
        <v>0.67079519152949807</v>
      </c>
      <c r="W61" s="585"/>
      <c r="X61" s="586"/>
    </row>
    <row r="62" spans="1:24">
      <c r="H62" s="579">
        <f t="shared" si="24"/>
        <v>67.385589952576495</v>
      </c>
      <c r="I62" s="580">
        <f t="shared" si="23"/>
        <v>5.9473761673551895E-3</v>
      </c>
      <c r="J62" s="580">
        <f t="shared" si="16"/>
        <v>0.2105122628581686</v>
      </c>
      <c r="K62" s="585"/>
      <c r="L62" s="586"/>
      <c r="N62" s="579">
        <f t="shared" si="17"/>
        <v>4.3787226890756346</v>
      </c>
      <c r="O62" s="580">
        <f t="shared" si="22"/>
        <v>0.21515273979610522</v>
      </c>
      <c r="P62" s="580">
        <f t="shared" si="18"/>
        <v>0.8281909949898778</v>
      </c>
      <c r="Q62" s="585"/>
      <c r="R62" s="586"/>
      <c r="T62" s="579">
        <f t="shared" si="19"/>
        <v>43.277697478991584</v>
      </c>
      <c r="U62" s="580">
        <f t="shared" si="21"/>
        <v>2.110878827381165E-2</v>
      </c>
      <c r="V62" s="580">
        <f t="shared" si="20"/>
        <v>0.64792063243097575</v>
      </c>
      <c r="W62" s="585">
        <v>2.110878827381165E-2</v>
      </c>
      <c r="X62" s="586">
        <v>0.64792063243097575</v>
      </c>
    </row>
    <row r="63" spans="1:24">
      <c r="H63" s="579">
        <f t="shared" si="24"/>
        <v>69.063282578169293</v>
      </c>
      <c r="I63" s="580">
        <f t="shared" si="23"/>
        <v>5.6423338007023406E-3</v>
      </c>
      <c r="J63" s="580">
        <f t="shared" si="16"/>
        <v>0.20079262699939193</v>
      </c>
      <c r="K63" s="585"/>
      <c r="L63" s="586"/>
      <c r="N63" s="579">
        <f t="shared" si="17"/>
        <v>4.4566386554621893</v>
      </c>
      <c r="O63" s="580">
        <f t="shared" si="22"/>
        <v>0.22438201782759137</v>
      </c>
      <c r="P63" s="580">
        <f t="shared" si="18"/>
        <v>0.8110629970301706</v>
      </c>
      <c r="Q63" s="585"/>
      <c r="R63" s="586"/>
      <c r="T63" s="579">
        <f t="shared" si="19"/>
        <v>44.361151260504187</v>
      </c>
      <c r="U63" s="580">
        <f t="shared" si="21"/>
        <v>2.1035643934040955E-2</v>
      </c>
      <c r="V63" s="580">
        <f t="shared" si="20"/>
        <v>0.62508299954816426</v>
      </c>
      <c r="W63" s="585"/>
      <c r="X63" s="586"/>
    </row>
    <row r="64" spans="1:24">
      <c r="H64" s="579">
        <f t="shared" si="24"/>
        <v>70.74097520376209</v>
      </c>
      <c r="I64" s="580">
        <f t="shared" si="23"/>
        <v>5.3536831229022835E-3</v>
      </c>
      <c r="J64" s="580">
        <f t="shared" si="16"/>
        <v>0.19157089279234074</v>
      </c>
      <c r="K64" s="585"/>
      <c r="L64" s="586"/>
      <c r="N64" s="579">
        <f t="shared" si="17"/>
        <v>4.534554621848744</v>
      </c>
      <c r="O64" s="580">
        <f t="shared" si="22"/>
        <v>0.23286994513437234</v>
      </c>
      <c r="P64" s="580">
        <f t="shared" si="18"/>
        <v>0.79324437574192752</v>
      </c>
      <c r="Q64" s="585"/>
      <c r="R64" s="586"/>
      <c r="T64" s="579">
        <f t="shared" si="19"/>
        <v>45.444605042016789</v>
      </c>
      <c r="U64" s="580">
        <f t="shared" si="21"/>
        <v>2.0889793125396738E-2</v>
      </c>
      <c r="V64" s="580">
        <f t="shared" si="20"/>
        <v>0.6023645963584523</v>
      </c>
      <c r="W64" s="585"/>
      <c r="X64" s="586"/>
    </row>
    <row r="65" spans="1:24">
      <c r="B65" s="12"/>
      <c r="H65" s="579">
        <f t="shared" si="24"/>
        <v>72.418667829354888</v>
      </c>
      <c r="I65" s="580">
        <f t="shared" si="23"/>
        <v>5.0806063279350989E-3</v>
      </c>
      <c r="J65" s="580">
        <f t="shared" si="16"/>
        <v>0.18282024860459944</v>
      </c>
      <c r="K65" s="585"/>
      <c r="L65" s="586"/>
      <c r="N65" s="579">
        <f t="shared" si="17"/>
        <v>4.6124705882352988</v>
      </c>
      <c r="O65" s="580">
        <f t="shared" si="22"/>
        <v>0.24056118318430494</v>
      </c>
      <c r="P65" s="580">
        <f t="shared" si="18"/>
        <v>0.77479512505076364</v>
      </c>
      <c r="Q65" s="585"/>
      <c r="R65" s="586"/>
      <c r="T65" s="579">
        <f t="shared" si="19"/>
        <v>46.528058823529392</v>
      </c>
      <c r="U65" s="580">
        <f t="shared" si="21"/>
        <v>2.0677867776202247E-2</v>
      </c>
      <c r="V65" s="580">
        <f t="shared" si="20"/>
        <v>0.57984061200993198</v>
      </c>
      <c r="W65" s="585"/>
      <c r="X65" s="586"/>
    </row>
    <row r="66" spans="1:24">
      <c r="H66" s="579">
        <f t="shared" si="24"/>
        <v>74.096360454947686</v>
      </c>
      <c r="I66" s="580">
        <f t="shared" si="23"/>
        <v>4.8223064327472661E-3</v>
      </c>
      <c r="J66" s="580">
        <f t="shared" si="16"/>
        <v>0.17451523801937807</v>
      </c>
      <c r="K66" s="585"/>
      <c r="L66" s="586"/>
      <c r="N66" s="579">
        <f t="shared" si="17"/>
        <v>4.6903865546218535</v>
      </c>
      <c r="O66" s="580">
        <f t="shared" si="22"/>
        <v>0.2474119739801455</v>
      </c>
      <c r="P66" s="580">
        <f t="shared" si="18"/>
        <v>0.75577909967376589</v>
      </c>
      <c r="Q66" s="585"/>
      <c r="R66" s="586"/>
      <c r="T66" s="579">
        <f t="shared" si="19"/>
        <v>47.611512605041995</v>
      </c>
      <c r="U66" s="580">
        <f t="shared" si="21"/>
        <v>2.0406524988401134E-2</v>
      </c>
      <c r="V66" s="580">
        <f t="shared" si="20"/>
        <v>0.55757902594856334</v>
      </c>
      <c r="W66" s="585"/>
      <c r="X66" s="586"/>
    </row>
    <row r="67" spans="1:24">
      <c r="H67" s="579">
        <f t="shared" si="24"/>
        <v>75.774053080540483</v>
      </c>
      <c r="I67" s="580">
        <f t="shared" si="23"/>
        <v>4.5780112833515305E-3</v>
      </c>
      <c r="J67" s="580">
        <f t="shared" si="16"/>
        <v>0.16663172135459792</v>
      </c>
      <c r="K67" s="585"/>
      <c r="L67" s="586"/>
      <c r="N67" s="579">
        <f t="shared" si="17"/>
        <v>4.7683025210084082</v>
      </c>
      <c r="O67" s="580">
        <f t="shared" si="22"/>
        <v>0.25339005101110101</v>
      </c>
      <c r="P67" s="580">
        <f t="shared" si="18"/>
        <v>0.73626311476890827</v>
      </c>
      <c r="Q67" s="585"/>
      <c r="R67" s="586"/>
      <c r="T67" s="579">
        <f t="shared" si="19"/>
        <v>48.694966386554597</v>
      </c>
      <c r="U67" s="580">
        <f t="shared" si="21"/>
        <v>2.0082339438220756E-2</v>
      </c>
      <c r="V67" s="580">
        <f t="shared" si="20"/>
        <v>0.53564064083695906</v>
      </c>
      <c r="W67" s="585"/>
      <c r="X67" s="586"/>
    </row>
    <row r="68" spans="1:24">
      <c r="H68" s="579">
        <f t="shared" si="24"/>
        <v>77.451745706133281</v>
      </c>
      <c r="I68" s="580">
        <f t="shared" si="23"/>
        <v>4.346976368344661E-3</v>
      </c>
      <c r="J68" s="580">
        <f t="shared" si="16"/>
        <v>0.15914683149863906</v>
      </c>
      <c r="K68" s="585"/>
      <c r="L68" s="586"/>
      <c r="N68" s="579">
        <f t="shared" si="17"/>
        <v>4.846218487394963</v>
      </c>
      <c r="O68" s="580">
        <f t="shared" si="22"/>
        <v>0.25847433307642881</v>
      </c>
      <c r="P68" s="580">
        <f t="shared" si="18"/>
        <v>0.71631606118607249</v>
      </c>
      <c r="Q68" s="585"/>
      <c r="R68" s="586"/>
      <c r="T68" s="579">
        <f t="shared" si="19"/>
        <v>49.7784201680672</v>
      </c>
      <c r="U68" s="580">
        <f t="shared" si="21"/>
        <v>1.9711715963736814E-2</v>
      </c>
      <c r="V68" s="580">
        <f t="shared" si="20"/>
        <v>0.51407922095134895</v>
      </c>
      <c r="W68" s="585"/>
      <c r="X68" s="586"/>
    </row>
    <row r="69" spans="1:24">
      <c r="H69" s="579">
        <f t="shared" si="24"/>
        <v>79.129438331726078</v>
      </c>
      <c r="I69" s="580">
        <f t="shared" si="23"/>
        <v>4.1284866811294226E-3</v>
      </c>
      <c r="J69" s="580">
        <f t="shared" si="16"/>
        <v>0.15203892585423939</v>
      </c>
      <c r="K69" s="585"/>
      <c r="L69" s="586"/>
      <c r="N69" s="579">
        <f t="shared" si="17"/>
        <v>4.9241344537815177</v>
      </c>
      <c r="O69" s="580">
        <f t="shared" si="22"/>
        <v>0.26265443321089332</v>
      </c>
      <c r="P69" s="580">
        <f t="shared" si="18"/>
        <v>0.69600805199026317</v>
      </c>
      <c r="Q69" s="585"/>
      <c r="R69" s="586"/>
      <c r="T69" s="579">
        <f t="shared" si="19"/>
        <v>50.861873949579802</v>
      </c>
      <c r="U69" s="580">
        <f t="shared" si="21"/>
        <v>1.9300820426975715E-2</v>
      </c>
      <c r="V69" s="580">
        <f t="shared" si="20"/>
        <v>0.49294171520718222</v>
      </c>
      <c r="W69" s="585">
        <v>1.9300820426975715E-2</v>
      </c>
      <c r="X69" s="586">
        <v>0.49294171520718222</v>
      </c>
    </row>
    <row r="70" spans="1:24">
      <c r="H70" s="579">
        <f t="shared" si="24"/>
        <v>80.807130957318876</v>
      </c>
      <c r="I70" s="580">
        <f t="shared" si="23"/>
        <v>3.9218578274334481E-3</v>
      </c>
      <c r="J70" s="580">
        <f t="shared" si="16"/>
        <v>0.14528753581597886</v>
      </c>
      <c r="K70" s="585"/>
      <c r="L70" s="586"/>
      <c r="N70" s="579">
        <f t="shared" si="17"/>
        <v>5.0020504201680724</v>
      </c>
      <c r="O70" s="580">
        <f t="shared" si="22"/>
        <v>0.26593001560122548</v>
      </c>
      <c r="P70" s="580">
        <f t="shared" si="18"/>
        <v>0.67540961338253513</v>
      </c>
      <c r="Q70" s="585"/>
      <c r="R70" s="586"/>
      <c r="T70" s="579">
        <f t="shared" si="19"/>
        <v>51.945327731092405</v>
      </c>
      <c r="U70" s="580">
        <f t="shared" si="21"/>
        <v>1.8855526840036232E-2</v>
      </c>
      <c r="V70" s="580">
        <f t="shared" si="20"/>
        <v>0.47226854609874636</v>
      </c>
      <c r="W70" s="585"/>
      <c r="X70" s="586"/>
    </row>
    <row r="71" spans="1:24">
      <c r="H71" s="579">
        <f t="shared" si="24"/>
        <v>82.484823582911673</v>
      </c>
      <c r="I71" s="580">
        <f t="shared" si="23"/>
        <v>3.7264365381169252E-3</v>
      </c>
      <c r="J71" s="580">
        <f t="shared" si="16"/>
        <v>0.13887331490867738</v>
      </c>
      <c r="K71" s="585"/>
      <c r="L71" s="586"/>
      <c r="N71" s="579">
        <f t="shared" si="17"/>
        <v>5.0799663865546272</v>
      </c>
      <c r="O71" s="580">
        <f t="shared" si="22"/>
        <v>0.2683100328956799</v>
      </c>
      <c r="P71" s="580">
        <f t="shared" si="18"/>
        <v>0.6545909305938169</v>
      </c>
      <c r="Q71" s="585"/>
      <c r="R71" s="586"/>
      <c r="T71" s="579">
        <f t="shared" si="19"/>
        <v>53.028781512605008</v>
      </c>
      <c r="U71" s="580">
        <f t="shared" si="21"/>
        <v>1.8381378740253584E-2</v>
      </c>
      <c r="V71" s="580">
        <f t="shared" si="20"/>
        <v>0.45209394802609426</v>
      </c>
      <c r="W71" s="585"/>
      <c r="X71" s="586"/>
    </row>
    <row r="72" spans="1:24">
      <c r="H72" s="579">
        <f t="shared" si="24"/>
        <v>84.162516208504471</v>
      </c>
      <c r="I72" s="580">
        <f t="shared" si="23"/>
        <v>3.5416007172928573E-3</v>
      </c>
      <c r="J72" s="580">
        <f t="shared" si="16"/>
        <v>0.13277798647159766</v>
      </c>
      <c r="K72" s="585"/>
      <c r="L72" s="586"/>
      <c r="N72" s="579">
        <f t="shared" si="17"/>
        <v>5.1578823529411819</v>
      </c>
      <c r="O72" s="580">
        <f t="shared" si="22"/>
        <v>0.26981187490020475</v>
      </c>
      <c r="P72" s="580">
        <f t="shared" si="18"/>
        <v>0.63362115685178866</v>
      </c>
      <c r="Q72" s="585"/>
      <c r="R72" s="586"/>
      <c r="T72" s="579">
        <f t="shared" si="19"/>
        <v>54.11223529411761</v>
      </c>
      <c r="U72" s="580">
        <f t="shared" si="21"/>
        <v>1.7883562862631226E-2</v>
      </c>
      <c r="V72" s="580">
        <f t="shared" si="20"/>
        <v>0.43244634063655352</v>
      </c>
      <c r="W72" s="585"/>
      <c r="X72" s="586"/>
    </row>
    <row r="73" spans="1:24">
      <c r="A73" s="11" t="s">
        <v>30</v>
      </c>
      <c r="B73" s="11">
        <f>+B81-(B74*B80)</f>
        <v>1.7119992873692718E-4</v>
      </c>
      <c r="D73" s="11">
        <f>+D81-(D74*D80)</f>
        <v>-8.9712254403283783E-6</v>
      </c>
      <c r="H73" s="579">
        <f t="shared" si="24"/>
        <v>85.840208834097268</v>
      </c>
      <c r="I73" s="580">
        <f t="shared" si="23"/>
        <v>3.3667591312513414E-3</v>
      </c>
      <c r="J73" s="580">
        <f t="shared" si="16"/>
        <v>0.12698429157647062</v>
      </c>
      <c r="K73" s="585"/>
      <c r="L73" s="586"/>
      <c r="N73" s="579">
        <f t="shared" si="17"/>
        <v>5.2357983193277366</v>
      </c>
      <c r="O73" s="580">
        <f t="shared" si="22"/>
        <v>0.27046045754092896</v>
      </c>
      <c r="P73" s="580">
        <f t="shared" si="18"/>
        <v>0.61256779118453153</v>
      </c>
      <c r="Q73" s="585"/>
      <c r="R73" s="586"/>
      <c r="T73" s="579">
        <f t="shared" si="19"/>
        <v>55.195689075630213</v>
      </c>
      <c r="U73" s="580">
        <f t="shared" si="21"/>
        <v>1.7366893267502768E-2</v>
      </c>
      <c r="V73" s="580">
        <f t="shared" si="20"/>
        <v>0.41334872486666652</v>
      </c>
      <c r="W73" s="585">
        <v>1.7366893267502768E-2</v>
      </c>
      <c r="X73" s="586">
        <v>0.41334872486666652</v>
      </c>
    </row>
    <row r="74" spans="1:24">
      <c r="A74" s="11" t="s">
        <v>118</v>
      </c>
      <c r="B74" s="11">
        <f>+B76/B75</f>
        <v>-1.0888502749915868E-8</v>
      </c>
      <c r="D74" s="11">
        <f>+D76/D75</f>
        <v>3.5884901761313516E-8</v>
      </c>
      <c r="H74" s="579">
        <f t="shared" si="24"/>
        <v>87.517901459690066</v>
      </c>
      <c r="I74" s="580">
        <f t="shared" si="23"/>
        <v>3.2013508236007986E-3</v>
      </c>
      <c r="J74" s="580">
        <f t="shared" si="16"/>
        <v>0.12147593770777987</v>
      </c>
      <c r="K74" s="585"/>
      <c r="L74" s="586"/>
      <c r="N74" s="579">
        <f t="shared" si="17"/>
        <v>5.3137142857142914</v>
      </c>
      <c r="O74" s="580">
        <f t="shared" si="22"/>
        <v>0.27028727835368893</v>
      </c>
      <c r="P74" s="580">
        <f t="shared" si="18"/>
        <v>0.59149612867381829</v>
      </c>
      <c r="Q74" s="585">
        <v>0.27028727835368893</v>
      </c>
      <c r="R74" s="586">
        <v>0.59149612867381829</v>
      </c>
      <c r="T74" s="579">
        <f t="shared" si="19"/>
        <v>56.279142857142816</v>
      </c>
      <c r="U74" s="580">
        <f t="shared" si="21"/>
        <v>1.683580422087522E-2</v>
      </c>
      <c r="V74" s="580">
        <f t="shared" si="20"/>
        <v>0.39481909129266235</v>
      </c>
      <c r="W74" s="585"/>
      <c r="X74" s="586"/>
    </row>
    <row r="75" spans="1:24">
      <c r="A75" s="11" t="s">
        <v>216</v>
      </c>
      <c r="B75" s="11">
        <f>+B80-C80</f>
        <v>11871</v>
      </c>
      <c r="D75" s="11">
        <f>+D80-C80</f>
        <v>-3602</v>
      </c>
      <c r="H75" s="579">
        <f t="shared" si="24"/>
        <v>89.195594085282863</v>
      </c>
      <c r="I75" s="580">
        <f t="shared" si="23"/>
        <v>3.0448443256113223E-3</v>
      </c>
      <c r="J75" s="580">
        <f t="shared" si="16"/>
        <v>0.11623754860468949</v>
      </c>
      <c r="K75" s="585"/>
      <c r="L75" s="586"/>
      <c r="N75" s="579">
        <f t="shared" si="17"/>
        <v>5.3916302521008461</v>
      </c>
      <c r="O75" s="580">
        <f t="shared" si="22"/>
        <v>0.26932946181604039</v>
      </c>
      <c r="P75" s="580">
        <f t="shared" si="18"/>
        <v>0.57046878483796026</v>
      </c>
      <c r="Q75" s="585"/>
      <c r="R75" s="586"/>
      <c r="T75" s="579">
        <f t="shared" si="19"/>
        <v>57.362596638655418</v>
      </c>
      <c r="U75" s="580">
        <f t="shared" si="21"/>
        <v>1.629435028112014E-2</v>
      </c>
      <c r="V75" s="580">
        <f t="shared" si="20"/>
        <v>0.37687083215857775</v>
      </c>
      <c r="W75" s="585"/>
      <c r="X75" s="586"/>
    </row>
    <row r="76" spans="1:24">
      <c r="A76" s="11" t="s">
        <v>215</v>
      </c>
      <c r="B76" s="11">
        <f>+B81-C81</f>
        <v>-1.2925741614425127E-4</v>
      </c>
      <c r="D76" s="11">
        <f>+D81-C81</f>
        <v>-1.2925741614425127E-4</v>
      </c>
      <c r="H76" s="579">
        <f t="shared" si="24"/>
        <v>90.873286710875661</v>
      </c>
      <c r="I76" s="580">
        <f t="shared" si="23"/>
        <v>2.8967367173093491E-3</v>
      </c>
      <c r="J76" s="580">
        <f t="shared" si="16"/>
        <v>0.11125461555991234</v>
      </c>
      <c r="K76" s="585"/>
      <c r="L76" s="586"/>
      <c r="N76" s="579">
        <f t="shared" si="17"/>
        <v>5.4695462184874009</v>
      </c>
      <c r="O76" s="580">
        <f t="shared" si="22"/>
        <v>0.26762881472053046</v>
      </c>
      <c r="P76" s="580">
        <f t="shared" si="18"/>
        <v>0.54954529412821951</v>
      </c>
      <c r="Q76" s="585"/>
      <c r="R76" s="586"/>
      <c r="T76" s="579">
        <f t="shared" si="19"/>
        <v>58.446050420168021</v>
      </c>
      <c r="U76" s="580">
        <f t="shared" si="21"/>
        <v>1.574621220875215E-2</v>
      </c>
      <c r="V76" s="580">
        <f t="shared" si="20"/>
        <v>0.35951315003843287</v>
      </c>
      <c r="W76" s="585"/>
      <c r="X76" s="586"/>
    </row>
    <row r="77" spans="1:24">
      <c r="B77" s="229"/>
      <c r="C77" s="130"/>
      <c r="D77" s="130"/>
      <c r="E77" s="130"/>
      <c r="F77" s="130"/>
      <c r="H77" s="579">
        <f t="shared" si="24"/>
        <v>92.550979336468458</v>
      </c>
      <c r="I77" s="580">
        <f t="shared" si="23"/>
        <v>2.7565525838899067E-3</v>
      </c>
      <c r="J77" s="580">
        <f t="shared" si="16"/>
        <v>0.10651345038714055</v>
      </c>
      <c r="K77" s="585"/>
      <c r="L77" s="586"/>
      <c r="N77" s="579">
        <f t="shared" si="17"/>
        <v>5.5474621848739556</v>
      </c>
      <c r="O77" s="580">
        <f t="shared" si="22"/>
        <v>0.2652309086297962</v>
      </c>
      <c r="P77" s="580">
        <f t="shared" si="18"/>
        <v>0.52878178107214557</v>
      </c>
      <c r="Q77" s="585"/>
      <c r="R77" s="586"/>
      <c r="T77" s="579">
        <f t="shared" si="19"/>
        <v>59.529504201680624</v>
      </c>
      <c r="U77" s="580">
        <f t="shared" si="21"/>
        <v>1.5194707478701743E-2</v>
      </c>
      <c r="V77" s="580">
        <f t="shared" si="20"/>
        <v>0.34275145749915559</v>
      </c>
      <c r="W77" s="585"/>
      <c r="X77" s="586"/>
    </row>
    <row r="78" spans="1:24">
      <c r="B78" s="130"/>
      <c r="C78" s="130"/>
      <c r="D78" s="130"/>
      <c r="E78" s="130"/>
      <c r="F78" s="130"/>
      <c r="H78" s="579">
        <f t="shared" si="24"/>
        <v>94.228671962061256</v>
      </c>
      <c r="I78" s="580">
        <f t="shared" si="23"/>
        <v>2.6238429030411041E-3</v>
      </c>
      <c r="J78" s="580">
        <f t="shared" si="16"/>
        <v>0.10200114020167828</v>
      </c>
      <c r="K78" s="585"/>
      <c r="L78" s="586"/>
      <c r="N78" s="579">
        <f t="shared" si="17"/>
        <v>5.6253781512605103</v>
      </c>
      <c r="O78" s="580">
        <f t="shared" si="22"/>
        <v>0.26218420335945508</v>
      </c>
      <c r="P78" s="580">
        <f t="shared" si="18"/>
        <v>0.50823070139070703</v>
      </c>
      <c r="Q78" s="585"/>
      <c r="R78" s="586"/>
      <c r="T78" s="579">
        <f t="shared" si="19"/>
        <v>60.612957983193226</v>
      </c>
      <c r="U78" s="580">
        <f t="shared" si="21"/>
        <v>1.4642804331598713E-2</v>
      </c>
      <c r="V78" s="580">
        <f t="shared" si="20"/>
        <v>0.32658776336760653</v>
      </c>
      <c r="W78" s="585"/>
      <c r="X78" s="586"/>
    </row>
    <row r="79" spans="1:24">
      <c r="B79" s="20" t="s">
        <v>84</v>
      </c>
      <c r="C79" s="20" t="s">
        <v>86</v>
      </c>
      <c r="D79" s="20" t="s">
        <v>85</v>
      </c>
      <c r="E79" s="569"/>
      <c r="F79" s="569"/>
      <c r="H79" s="579">
        <f t="shared" si="24"/>
        <v>95.906364587654053</v>
      </c>
      <c r="I79" s="580">
        <f t="shared" si="23"/>
        <v>2.4981838914527286E-3</v>
      </c>
      <c r="J79" s="580">
        <f t="shared" si="16"/>
        <v>9.7705504105541907E-2</v>
      </c>
      <c r="K79" s="585">
        <v>2.4981838914527286E-3</v>
      </c>
      <c r="L79" s="586">
        <v>9.7705504105541907E-2</v>
      </c>
      <c r="N79" s="579">
        <f t="shared" si="17"/>
        <v>5.7032941176470651</v>
      </c>
      <c r="O79" s="580">
        <f t="shared" si="22"/>
        <v>0.25853922248557143</v>
      </c>
      <c r="P79" s="580">
        <f t="shared" si="18"/>
        <v>0.48794064944555438</v>
      </c>
      <c r="Q79" s="585">
        <v>0.25853922248557143</v>
      </c>
      <c r="R79" s="586">
        <v>0.48794064944555438</v>
      </c>
      <c r="T79" s="579">
        <f t="shared" si="19"/>
        <v>61.696411764705829</v>
      </c>
      <c r="U79" s="580">
        <f t="shared" si="21"/>
        <v>1.4093138448653257E-2</v>
      </c>
      <c r="V79" s="580">
        <f t="shared" si="20"/>
        <v>0.31102104227613792</v>
      </c>
      <c r="W79" s="585"/>
      <c r="X79" s="586"/>
    </row>
    <row r="80" spans="1:24">
      <c r="A80" s="11" t="s">
        <v>23</v>
      </c>
      <c r="B80" s="11">
        <f>+ROUND(Input_Data!$D$4,2)</f>
        <v>15723</v>
      </c>
      <c r="C80" s="11">
        <f>+ROUND(Input_Data!$E$4,2)</f>
        <v>3852</v>
      </c>
      <c r="D80" s="11">
        <f>+ROUND(Input_Data!$F$4,2)</f>
        <v>250</v>
      </c>
      <c r="E80" s="11">
        <f>+C80-D80</f>
        <v>3602</v>
      </c>
      <c r="F80" s="12">
        <f>+B80-C80</f>
        <v>11871</v>
      </c>
      <c r="H80" s="579">
        <f t="shared" si="24"/>
        <v>97.584057213246851</v>
      </c>
      <c r="I80" s="580">
        <f t="shared" si="23"/>
        <v>2.3791758328112209E-3</v>
      </c>
      <c r="J80" s="580">
        <f t="shared" si="16"/>
        <v>9.3615051826048568E-2</v>
      </c>
      <c r="K80" s="585"/>
      <c r="L80" s="586"/>
      <c r="N80" s="579">
        <f t="shared" si="17"/>
        <v>5.7812100840336198</v>
      </c>
      <c r="O80" s="580">
        <f t="shared" si="22"/>
        <v>0.25434778913011846</v>
      </c>
      <c r="P80" s="580">
        <f t="shared" si="18"/>
        <v>0.46795622762427458</v>
      </c>
      <c r="Q80" s="585"/>
      <c r="R80" s="586"/>
      <c r="T80" s="579">
        <f t="shared" si="19"/>
        <v>62.779865546218431</v>
      </c>
      <c r="U80" s="580">
        <f t="shared" si="21"/>
        <v>1.3548031471580261E-2</v>
      </c>
      <c r="V80" s="580">
        <f t="shared" si="20"/>
        <v>0.29604758507771034</v>
      </c>
      <c r="W80" s="585"/>
      <c r="X80" s="586"/>
    </row>
    <row r="81" spans="1:24">
      <c r="A81" s="11" t="s">
        <v>24</v>
      </c>
      <c r="B81" s="11">
        <v>0</v>
      </c>
      <c r="C81" s="11">
        <f>2/(B80-D80)</f>
        <v>1.2925741614425127E-4</v>
      </c>
      <c r="D81" s="11">
        <v>0</v>
      </c>
      <c r="E81" s="11">
        <f>+E80/(E80+F80)</f>
        <v>0.23279260647579655</v>
      </c>
      <c r="F81" s="12">
        <f>1-E81</f>
        <v>0.76720739352420342</v>
      </c>
      <c r="H81" s="579">
        <f t="shared" si="24"/>
        <v>99.261749838839648</v>
      </c>
      <c r="I81" s="580">
        <f t="shared" si="23"/>
        <v>2.2664419047230995E-3</v>
      </c>
      <c r="J81" s="580">
        <f t="shared" si="16"/>
        <v>8.9718944323708416E-2</v>
      </c>
      <c r="K81" s="585"/>
      <c r="L81" s="586"/>
      <c r="N81" s="579">
        <f t="shared" si="17"/>
        <v>5.8591260504201745</v>
      </c>
      <c r="O81" s="580">
        <f t="shared" si="22"/>
        <v>0.24966232778181618</v>
      </c>
      <c r="P81" s="580">
        <f t="shared" si="18"/>
        <v>0.44831797272738982</v>
      </c>
      <c r="Q81" s="585"/>
      <c r="R81" s="586"/>
      <c r="T81" s="579">
        <f t="shared" si="19"/>
        <v>63.863319327731034</v>
      </c>
      <c r="U81" s="580">
        <f t="shared" si="21"/>
        <v>1.3009510713481604E-2</v>
      </c>
      <c r="V81" s="580">
        <f t="shared" si="20"/>
        <v>0.281661328496563</v>
      </c>
      <c r="W81" s="585"/>
      <c r="X81" s="586"/>
    </row>
    <row r="82" spans="1:24">
      <c r="E82" s="11">
        <f>ROUND(20*E81,0)</f>
        <v>5</v>
      </c>
      <c r="F82" s="12">
        <f>20-E82</f>
        <v>15</v>
      </c>
      <c r="H82" s="579">
        <f t="shared" si="24"/>
        <v>100.93944246443245</v>
      </c>
      <c r="I82" s="580">
        <f t="shared" si="23"/>
        <v>2.159627018058238E-3</v>
      </c>
      <c r="J82" s="580">
        <f t="shared" si="16"/>
        <v>8.6006956359405917E-2</v>
      </c>
      <c r="K82" s="585"/>
      <c r="L82" s="586"/>
      <c r="N82" s="579">
        <f t="shared" si="17"/>
        <v>5.9370420168067293</v>
      </c>
      <c r="O82" s="580">
        <f t="shared" si="22"/>
        <v>0.24453523568617649</v>
      </c>
      <c r="P82" s="580">
        <f t="shared" si="18"/>
        <v>0.42906233406068717</v>
      </c>
      <c r="Q82" s="585">
        <v>0.24453523568617649</v>
      </c>
      <c r="R82" s="586">
        <v>0.42906233406068717</v>
      </c>
      <c r="T82" s="579">
        <f t="shared" si="19"/>
        <v>64.946773109243637</v>
      </c>
      <c r="U82" s="580">
        <f t="shared" si="21"/>
        <v>1.2479329518242613E-2</v>
      </c>
      <c r="V82" s="580">
        <f t="shared" si="20"/>
        <v>0.26785416302742293</v>
      </c>
      <c r="W82" s="585"/>
      <c r="X82" s="586"/>
    </row>
    <row r="83" spans="1:24">
      <c r="A83" s="230">
        <f>+B80-D80</f>
        <v>15473</v>
      </c>
      <c r="B83" s="11">
        <f>+A83/A84</f>
        <v>773.65</v>
      </c>
      <c r="C83" s="11">
        <v>0</v>
      </c>
      <c r="D83" s="128" t="s">
        <v>122</v>
      </c>
      <c r="E83" s="11">
        <f>+E80/E82</f>
        <v>720.4</v>
      </c>
      <c r="F83" s="11">
        <f>+F80/F82</f>
        <v>791.4</v>
      </c>
      <c r="H83" s="579">
        <f t="shared" si="24"/>
        <v>102.61713509002524</v>
      </c>
      <c r="I83" s="580">
        <f t="shared" si="23"/>
        <v>2.0583966790005555E-3</v>
      </c>
      <c r="J83" s="580">
        <f t="shared" si="16"/>
        <v>8.2469440990999621E-2</v>
      </c>
      <c r="K83" s="585"/>
      <c r="L83" s="586"/>
      <c r="N83" s="579">
        <f t="shared" si="17"/>
        <v>6.014957983193284</v>
      </c>
      <c r="O83" s="580">
        <f t="shared" si="22"/>
        <v>0.2390183253990566</v>
      </c>
      <c r="P83" s="580">
        <f t="shared" si="18"/>
        <v>0.41022169773856021</v>
      </c>
      <c r="Q83" s="585"/>
      <c r="R83" s="586"/>
      <c r="T83" s="579">
        <f t="shared" si="19"/>
        <v>66.030226890756239</v>
      </c>
      <c r="U83" s="580">
        <f t="shared" si="21"/>
        <v>1.1958987824920726E-2</v>
      </c>
      <c r="V83" s="580">
        <f t="shared" si="20"/>
        <v>0.25461621862926609</v>
      </c>
      <c r="W83" s="585"/>
      <c r="X83" s="586"/>
    </row>
    <row r="84" spans="1:24">
      <c r="A84" s="11">
        <v>20</v>
      </c>
      <c r="B84" s="12" t="s">
        <v>275</v>
      </c>
      <c r="D84" s="130"/>
      <c r="F84" s="12"/>
      <c r="H84" s="579">
        <f t="shared" si="24"/>
        <v>104.29482771561804</v>
      </c>
      <c r="I84" s="580">
        <f t="shared" si="23"/>
        <v>1.9624358815015898E-3</v>
      </c>
      <c r="J84" s="580">
        <f t="shared" si="16"/>
        <v>7.9097295954468683E-2</v>
      </c>
      <c r="K84" s="585"/>
      <c r="L84" s="586"/>
      <c r="N84" s="579">
        <f t="shared" si="17"/>
        <v>6.0928739495798387</v>
      </c>
      <c r="O84" s="580">
        <f t="shared" si="22"/>
        <v>0.23316233844296858</v>
      </c>
      <c r="P84" s="580">
        <f t="shared" si="18"/>
        <v>0.39182445164611457</v>
      </c>
      <c r="Q84" s="585"/>
      <c r="R84" s="586"/>
      <c r="T84" s="579">
        <f t="shared" si="19"/>
        <v>67.113680672268842</v>
      </c>
      <c r="U84" s="580">
        <f t="shared" si="21"/>
        <v>1.1449752580283213E-2</v>
      </c>
      <c r="V84" s="580">
        <f t="shared" si="20"/>
        <v>0.24193612819214394</v>
      </c>
      <c r="W84" s="585"/>
      <c r="X84" s="586"/>
    </row>
    <row r="85" spans="1:24">
      <c r="A85" s="11">
        <v>1</v>
      </c>
      <c r="B85" s="130">
        <f>+D80</f>
        <v>250</v>
      </c>
      <c r="C85" s="231">
        <f>+($D$74*B85)+$D$73</f>
        <v>0</v>
      </c>
      <c r="D85" s="543">
        <f>+($B$74*B85)+$B$73</f>
        <v>1.6847780304944822E-4</v>
      </c>
      <c r="E85" s="11">
        <f t="shared" ref="E85:E105" si="25">+IF(B85&lt;$C$80,C85,D85)</f>
        <v>0</v>
      </c>
      <c r="F85" s="12" t="e">
        <f t="shared" ref="F85:F105" si="26">IF(B85=$C$80,E85,#N/A)</f>
        <v>#N/A</v>
      </c>
      <c r="H85" s="579">
        <f t="shared" si="24"/>
        <v>105.97252034121084</v>
      </c>
      <c r="I85" s="580">
        <f t="shared" si="23"/>
        <v>1.8714480357413137E-3</v>
      </c>
      <c r="J85" s="580">
        <f t="shared" si="16"/>
        <v>7.5881931873631236E-2</v>
      </c>
      <c r="K85" s="585"/>
      <c r="L85" s="586"/>
      <c r="N85" s="579">
        <f t="shared" si="17"/>
        <v>6.1707899159663935</v>
      </c>
      <c r="O85" s="580">
        <f t="shared" si="22"/>
        <v>0.22701652862653782</v>
      </c>
      <c r="P85" s="580">
        <f t="shared" si="18"/>
        <v>0.37389508556800233</v>
      </c>
      <c r="Q85" s="585"/>
      <c r="R85" s="586"/>
      <c r="T85" s="579">
        <f t="shared" si="19"/>
        <v>68.197134453781445</v>
      </c>
      <c r="U85" s="580">
        <f t="shared" si="21"/>
        <v>1.0952677717816677E-2</v>
      </c>
      <c r="V85" s="580">
        <f t="shared" si="20"/>
        <v>0.22980126910045751</v>
      </c>
      <c r="W85" s="585"/>
      <c r="X85" s="586"/>
    </row>
    <row r="86" spans="1:24">
      <c r="A86" s="11">
        <v>2</v>
      </c>
      <c r="B86" s="130">
        <f t="shared" ref="B86:B105" si="27">IF(A85&lt;=$E$82,B85+($E$80/$E$82),B85+($F$80/$F$82))</f>
        <v>970.4</v>
      </c>
      <c r="C86" s="231">
        <f>+($D$74*B86)+$D$73</f>
        <v>2.5851483228850259E-5</v>
      </c>
      <c r="D86" s="543">
        <f>+($B$74*B86)+$B$73</f>
        <v>1.6063372566840883E-4</v>
      </c>
      <c r="E86" s="11">
        <f t="shared" si="25"/>
        <v>2.5851483228850259E-5</v>
      </c>
      <c r="F86" s="12" t="e">
        <f t="shared" si="26"/>
        <v>#N/A</v>
      </c>
      <c r="H86" s="579">
        <f t="shared" si="24"/>
        <v>107.65021296680364</v>
      </c>
      <c r="I86" s="580">
        <f t="shared" si="23"/>
        <v>1.7851539365212011E-3</v>
      </c>
      <c r="J86" s="580">
        <f t="shared" si="16"/>
        <v>7.2815242234527955E-2</v>
      </c>
      <c r="K86" s="585"/>
      <c r="L86" s="586"/>
      <c r="N86" s="579">
        <f t="shared" si="17"/>
        <v>6.2487058823529482</v>
      </c>
      <c r="O86" s="580">
        <f t="shared" si="22"/>
        <v>0.22062831247010284</v>
      </c>
      <c r="P86" s="580">
        <f t="shared" si="18"/>
        <v>0.35645432114928277</v>
      </c>
      <c r="Q86" s="585"/>
      <c r="R86" s="586"/>
      <c r="T86" s="579">
        <f t="shared" si="19"/>
        <v>69.280588235294047</v>
      </c>
      <c r="U86" s="580">
        <f t="shared" si="21"/>
        <v>1.0468623486067136E-2</v>
      </c>
      <c r="V86" s="580">
        <f t="shared" si="20"/>
        <v>0.21819798348541675</v>
      </c>
      <c r="W86" s="585"/>
      <c r="X86" s="586"/>
    </row>
    <row r="87" spans="1:24">
      <c r="A87" s="11">
        <v>3</v>
      </c>
      <c r="B87" s="130">
        <f t="shared" si="27"/>
        <v>1690.8</v>
      </c>
      <c r="C87" s="231">
        <f t="shared" ref="C87:C104" si="28">+($D$74*B87)+$D$73</f>
        <v>5.1702966457700511E-5</v>
      </c>
      <c r="D87" s="543">
        <f t="shared" ref="D87:D104" si="29">+($B$74*B87)+$B$73</f>
        <v>1.5278964828736944E-4</v>
      </c>
      <c r="E87" s="11">
        <f t="shared" si="25"/>
        <v>5.1702966457700511E-5</v>
      </c>
      <c r="F87" s="12" t="e">
        <f t="shared" si="26"/>
        <v>#N/A</v>
      </c>
      <c r="H87" s="579">
        <f t="shared" si="24"/>
        <v>109.32790559239643</v>
      </c>
      <c r="I87" s="580">
        <f t="shared" ref="I87" si="30">+_xlfn.LOGNORM.DIST(H87,$R$7,$S$7,FALSE)</f>
        <v>1.7032907741706112E-3</v>
      </c>
      <c r="J87" s="580">
        <f t="shared" si="16"/>
        <v>6.9889575055141706E-2</v>
      </c>
      <c r="K87" s="585"/>
      <c r="L87" s="586"/>
      <c r="N87" s="579">
        <f t="shared" si="17"/>
        <v>6.326621848739503</v>
      </c>
      <c r="O87" s="580">
        <f t="shared" si="22"/>
        <v>0.2140429833050618</v>
      </c>
      <c r="P87" s="580">
        <f t="shared" si="18"/>
        <v>0.33951926658844755</v>
      </c>
      <c r="Q87" s="585"/>
      <c r="R87" s="586"/>
      <c r="T87" s="579">
        <f t="shared" si="19"/>
        <v>70.36404201680665</v>
      </c>
      <c r="U87" s="580">
        <f t="shared" si="21"/>
        <v>9.9982749640341352E-3</v>
      </c>
      <c r="V87" s="580">
        <f t="shared" si="20"/>
        <v>0.20711177796409874</v>
      </c>
      <c r="W87" s="585"/>
      <c r="X87" s="586"/>
    </row>
    <row r="88" spans="1:24">
      <c r="A88" s="11">
        <v>4</v>
      </c>
      <c r="B88" s="130">
        <f t="shared" si="27"/>
        <v>2411.1999999999998</v>
      </c>
      <c r="C88" s="231">
        <f t="shared" si="28"/>
        <v>7.7554449686550769E-5</v>
      </c>
      <c r="D88" s="543">
        <f t="shared" si="29"/>
        <v>1.4494557090633003E-4</v>
      </c>
      <c r="E88" s="11">
        <f t="shared" si="25"/>
        <v>7.7554449686550769E-5</v>
      </c>
      <c r="F88" s="12" t="e">
        <f t="shared" si="26"/>
        <v>#N/A</v>
      </c>
      <c r="H88" s="579">
        <f t="shared" ref="H88:H119" si="31">+IF((H87+$I$21)&gt;($K$7),,H87+$I$21)</f>
        <v>111.00559821798923</v>
      </c>
      <c r="I88" s="580">
        <f t="shared" ref="I88:I141" si="32">+_xlfn.LOGNORM.DIST(H88,$R$7,$S$7,FALSE)</f>
        <v>1.6256111894792601E-3</v>
      </c>
      <c r="J88" s="580">
        <f t="shared" ref="J88:J141" si="33">1-_xlfn.LOGNORM.DIST(H88,$R$7,$S$7,TRUE)</f>
        <v>6.70977061777287E-2</v>
      </c>
      <c r="K88" s="585"/>
      <c r="L88" s="586"/>
      <c r="N88" s="579">
        <f t="shared" si="17"/>
        <v>6.4045378151260577</v>
      </c>
      <c r="O88" s="580">
        <f t="shared" ref="O88:O141" si="34">+_xlfn.LOGNORM.DIST(N88,$R$8,$S$8,FALSE)</f>
        <v>0.2073034849587761</v>
      </c>
      <c r="P88" s="580">
        <f t="shared" ref="P88:P141" si="35">1-_xlfn.LOGNORM.DIST(N88,$R$8,$S$8,TRUE)</f>
        <v>0.32310359125708044</v>
      </c>
      <c r="Q88" s="585"/>
      <c r="R88" s="586"/>
      <c r="T88" s="579">
        <f t="shared" si="19"/>
        <v>71.447495798319252</v>
      </c>
      <c r="U88" s="580">
        <f t="shared" ref="U88:U141" si="36">+_xlfn.LOGNORM.DIST(T88,$R$10,$S$10,FALSE)</f>
        <v>9.5421596475214112E-3</v>
      </c>
      <c r="V88" s="580">
        <f t="shared" si="20"/>
        <v>0.19652750381259165</v>
      </c>
      <c r="W88" s="585"/>
      <c r="X88" s="586"/>
    </row>
    <row r="89" spans="1:24">
      <c r="A89" s="11">
        <v>5</v>
      </c>
      <c r="B89" s="130">
        <f t="shared" si="27"/>
        <v>3131.6</v>
      </c>
      <c r="C89" s="231">
        <f t="shared" si="28"/>
        <v>1.0340593291540104E-4</v>
      </c>
      <c r="D89" s="543">
        <f t="shared" si="29"/>
        <v>1.3710149352529066E-4</v>
      </c>
      <c r="E89" s="11">
        <f t="shared" si="25"/>
        <v>1.0340593291540104E-4</v>
      </c>
      <c r="F89" s="12" t="e">
        <f t="shared" si="26"/>
        <v>#N/A</v>
      </c>
      <c r="H89" s="579">
        <f t="shared" si="31"/>
        <v>112.68329084358203</v>
      </c>
      <c r="I89" s="580">
        <f t="shared" si="32"/>
        <v>1.5518823733247022E-3</v>
      </c>
      <c r="J89" s="580">
        <f t="shared" si="33"/>
        <v>6.4432814109233849E-2</v>
      </c>
      <c r="K89" s="585"/>
      <c r="L89" s="586"/>
      <c r="N89" s="579">
        <f t="shared" ref="N89:N141" si="37">+IF((N88+$O$21)&gt;($K$8),,N88+$O$21)</f>
        <v>6.4824537815126124</v>
      </c>
      <c r="O89" s="580">
        <f t="shared" si="34"/>
        <v>0.20045024047655591</v>
      </c>
      <c r="P89" s="580">
        <f t="shared" si="35"/>
        <v>0.30721771577828161</v>
      </c>
      <c r="Q89" s="585"/>
      <c r="R89" s="586"/>
      <c r="T89" s="579">
        <f t="shared" ref="T89:T141" si="38">+IF((T88+$U$21)&gt;($M$10),,T88+$U$21)</f>
        <v>72.530949579831855</v>
      </c>
      <c r="U89" s="580">
        <f t="shared" si="36"/>
        <v>9.1006640288123948E-3</v>
      </c>
      <c r="V89" s="580">
        <f t="shared" ref="V89:V141" si="39">1-_xlfn.LOGNORM.DIST(T89,$R$10,$S$10,TRUE)</f>
        <v>0.18642951862501012</v>
      </c>
      <c r="W89" s="585"/>
      <c r="X89" s="586"/>
    </row>
    <row r="90" spans="1:24">
      <c r="A90" s="11">
        <v>6</v>
      </c>
      <c r="B90" s="130">
        <f t="shared" si="27"/>
        <v>3852</v>
      </c>
      <c r="C90" s="231">
        <f t="shared" si="28"/>
        <v>1.2925741614425127E-4</v>
      </c>
      <c r="D90" s="543">
        <f t="shared" si="29"/>
        <v>1.2925741614425125E-4</v>
      </c>
      <c r="E90" s="11">
        <f t="shared" si="25"/>
        <v>1.2925741614425125E-4</v>
      </c>
      <c r="F90" s="12">
        <f t="shared" si="26"/>
        <v>1.2925741614425125E-4</v>
      </c>
      <c r="H90" s="579">
        <f t="shared" si="31"/>
        <v>114.36098346917483</v>
      </c>
      <c r="I90" s="580">
        <f t="shared" si="32"/>
        <v>1.4818852110033381E-3</v>
      </c>
      <c r="J90" s="580">
        <f t="shared" si="33"/>
        <v>6.1888456334716291E-2</v>
      </c>
      <c r="K90" s="585"/>
      <c r="L90" s="586"/>
      <c r="N90" s="579">
        <f t="shared" si="37"/>
        <v>6.5603697478991672</v>
      </c>
      <c r="O90" s="580">
        <f t="shared" si="34"/>
        <v>0.19352103104282212</v>
      </c>
      <c r="P90" s="580">
        <f t="shared" si="35"/>
        <v>0.29186901346268912</v>
      </c>
      <c r="Q90" s="585"/>
      <c r="R90" s="586"/>
      <c r="T90" s="579">
        <f t="shared" si="38"/>
        <v>73.614403361344458</v>
      </c>
      <c r="U90" s="580">
        <f t="shared" si="36"/>
        <v>8.6740491237204537E-3</v>
      </c>
      <c r="V90" s="580">
        <f t="shared" si="39"/>
        <v>0.1768018305765402</v>
      </c>
      <c r="W90" s="585"/>
      <c r="X90" s="586"/>
    </row>
    <row r="91" spans="1:24">
      <c r="A91" s="11">
        <v>7</v>
      </c>
      <c r="B91" s="130">
        <f t="shared" si="27"/>
        <v>4643.3999999999996</v>
      </c>
      <c r="C91" s="231">
        <f t="shared" si="28"/>
        <v>1.5765672739815478E-4</v>
      </c>
      <c r="D91" s="543">
        <f t="shared" si="29"/>
        <v>1.2064025506796784E-4</v>
      </c>
      <c r="E91" s="11">
        <f t="shared" si="25"/>
        <v>1.2064025506796784E-4</v>
      </c>
      <c r="F91" s="12" t="e">
        <f t="shared" si="26"/>
        <v>#N/A</v>
      </c>
      <c r="H91" s="579">
        <f t="shared" si="31"/>
        <v>116.03867609476762</v>
      </c>
      <c r="I91" s="580">
        <f t="shared" si="32"/>
        <v>1.4154134707620918E-3</v>
      </c>
      <c r="J91" s="580">
        <f t="shared" si="33"/>
        <v>5.9458547029146547E-2</v>
      </c>
      <c r="K91" s="585"/>
      <c r="L91" s="586"/>
      <c r="N91" s="579">
        <f t="shared" si="37"/>
        <v>6.6382857142857219</v>
      </c>
      <c r="O91" s="580">
        <f t="shared" si="34"/>
        <v>0.18655092012062249</v>
      </c>
      <c r="P91" s="580">
        <f t="shared" si="35"/>
        <v>0.2770620193843204</v>
      </c>
      <c r="Q91" s="585"/>
      <c r="R91" s="586"/>
      <c r="T91" s="579">
        <f t="shared" si="38"/>
        <v>74.69785714285706</v>
      </c>
      <c r="U91" s="580">
        <f t="shared" si="36"/>
        <v>8.2624649258352702E-3</v>
      </c>
      <c r="V91" s="580">
        <f t="shared" si="39"/>
        <v>0.16762822644399922</v>
      </c>
      <c r="W91" s="585"/>
      <c r="X91" s="586"/>
    </row>
    <row r="92" spans="1:24">
      <c r="A92" s="11">
        <v>8</v>
      </c>
      <c r="B92" s="130">
        <f t="shared" si="27"/>
        <v>5434.7999999999993</v>
      </c>
      <c r="C92" s="231">
        <f t="shared" si="28"/>
        <v>1.8605603865205829E-4</v>
      </c>
      <c r="D92" s="543">
        <f t="shared" si="29"/>
        <v>1.1202309399168444E-4</v>
      </c>
      <c r="E92" s="11">
        <f t="shared" si="25"/>
        <v>1.1202309399168444E-4</v>
      </c>
      <c r="F92" s="12" t="e">
        <f t="shared" si="26"/>
        <v>#N/A</v>
      </c>
      <c r="H92" s="579">
        <f t="shared" si="31"/>
        <v>117.71636872036042</v>
      </c>
      <c r="I92" s="580">
        <f t="shared" si="32"/>
        <v>1.3522730356382703E-3</v>
      </c>
      <c r="J92" s="580">
        <f t="shared" si="33"/>
        <v>5.7137336094123081E-2</v>
      </c>
      <c r="K92" s="585"/>
      <c r="L92" s="586"/>
      <c r="N92" s="579">
        <f t="shared" si="37"/>
        <v>6.7162016806722766</v>
      </c>
      <c r="O92" s="580">
        <f t="shared" si="34"/>
        <v>0.17957221780890664</v>
      </c>
      <c r="P92" s="580">
        <f t="shared" si="35"/>
        <v>0.26279864376804252</v>
      </c>
      <c r="Q92" s="585"/>
      <c r="R92" s="586"/>
      <c r="T92" s="579">
        <f t="shared" si="38"/>
        <v>75.781310924369663</v>
      </c>
      <c r="U92" s="580">
        <f t="shared" si="36"/>
        <v>7.8659637884532334E-3</v>
      </c>
      <c r="V92" s="580">
        <f t="shared" si="39"/>
        <v>0.15889238454763577</v>
      </c>
      <c r="W92" s="585"/>
      <c r="X92" s="586"/>
    </row>
    <row r="93" spans="1:24">
      <c r="A93" s="11">
        <v>9</v>
      </c>
      <c r="B93" s="130">
        <f t="shared" si="27"/>
        <v>6226.1999999999989</v>
      </c>
      <c r="C93" s="231">
        <f t="shared" si="28"/>
        <v>2.144553499059618E-4</v>
      </c>
      <c r="D93" s="543">
        <f t="shared" si="29"/>
        <v>1.0340593291540102E-4</v>
      </c>
      <c r="E93" s="11">
        <f t="shared" si="25"/>
        <v>1.0340593291540102E-4</v>
      </c>
      <c r="F93" s="12" t="e">
        <f t="shared" si="26"/>
        <v>#N/A</v>
      </c>
      <c r="H93" s="579">
        <f t="shared" si="31"/>
        <v>119.39406134595322</v>
      </c>
      <c r="I93" s="580">
        <f t="shared" si="32"/>
        <v>1.2922811774231527E-3</v>
      </c>
      <c r="J93" s="580">
        <f t="shared" si="33"/>
        <v>5.4919389447805944E-2</v>
      </c>
      <c r="K93" s="585"/>
      <c r="L93" s="586"/>
      <c r="N93" s="579">
        <f t="shared" si="37"/>
        <v>6.7941176470588314</v>
      </c>
      <c r="O93" s="580">
        <f t="shared" si="34"/>
        <v>0.17261448049837863</v>
      </c>
      <c r="P93" s="580">
        <f t="shared" si="35"/>
        <v>0.2490783867475197</v>
      </c>
      <c r="Q93" s="585"/>
      <c r="R93" s="586"/>
      <c r="T93" s="579">
        <f t="shared" si="38"/>
        <v>76.864764705882266</v>
      </c>
      <c r="U93" s="580">
        <f t="shared" si="36"/>
        <v>7.4845127509724323E-3</v>
      </c>
      <c r="V93" s="580">
        <f t="shared" si="39"/>
        <v>0.15057797376817927</v>
      </c>
      <c r="W93" s="585"/>
      <c r="X93" s="586"/>
    </row>
    <row r="94" spans="1:24">
      <c r="A94" s="11">
        <v>10</v>
      </c>
      <c r="B94" s="130">
        <f t="shared" si="27"/>
        <v>7017.5999999999985</v>
      </c>
      <c r="C94" s="231">
        <f t="shared" si="28"/>
        <v>2.4285466115986528E-4</v>
      </c>
      <c r="D94" s="543">
        <f t="shared" si="29"/>
        <v>9.4788771839117604E-5</v>
      </c>
      <c r="E94" s="11">
        <f t="shared" si="25"/>
        <v>9.4788771839117604E-5</v>
      </c>
      <c r="F94" s="12" t="e">
        <f t="shared" si="26"/>
        <v>#N/A</v>
      </c>
      <c r="H94" s="579">
        <f t="shared" si="31"/>
        <v>121.07175397154602</v>
      </c>
      <c r="I94" s="580">
        <f t="shared" si="32"/>
        <v>1.2352658713528735E-3</v>
      </c>
      <c r="J94" s="580">
        <f t="shared" si="33"/>
        <v>5.279957049854711E-2</v>
      </c>
      <c r="K94" s="585"/>
      <c r="L94" s="586"/>
      <c r="N94" s="579">
        <f t="shared" si="37"/>
        <v>6.8720336134453861</v>
      </c>
      <c r="O94" s="580">
        <f t="shared" si="34"/>
        <v>0.16570454106918556</v>
      </c>
      <c r="P94" s="580">
        <f t="shared" si="35"/>
        <v>0.23589855192990705</v>
      </c>
      <c r="Q94" s="585"/>
      <c r="R94" s="586"/>
      <c r="T94" s="579">
        <f t="shared" si="38"/>
        <v>77.948218487394868</v>
      </c>
      <c r="U94" s="580">
        <f t="shared" si="36"/>
        <v>7.1180048391100044E-3</v>
      </c>
      <c r="V94" s="580">
        <f t="shared" si="39"/>
        <v>0.14266873976783834</v>
      </c>
      <c r="W94" s="585"/>
      <c r="X94" s="586"/>
    </row>
    <row r="95" spans="1:24">
      <c r="A95" s="11">
        <v>11</v>
      </c>
      <c r="B95" s="130">
        <f t="shared" si="27"/>
        <v>7808.9999999999982</v>
      </c>
      <c r="C95" s="231">
        <f t="shared" si="28"/>
        <v>2.7125397241376881E-4</v>
      </c>
      <c r="D95" s="543">
        <f t="shared" si="29"/>
        <v>8.6171610762834187E-5</v>
      </c>
      <c r="E95" s="11">
        <f t="shared" si="25"/>
        <v>8.6171610762834187E-5</v>
      </c>
      <c r="F95" s="12" t="e">
        <f t="shared" si="26"/>
        <v>#N/A</v>
      </c>
      <c r="H95" s="579">
        <f t="shared" si="31"/>
        <v>122.74944659713881</v>
      </c>
      <c r="I95" s="580">
        <f t="shared" si="32"/>
        <v>1.1810651499817887E-3</v>
      </c>
      <c r="J95" s="580">
        <f t="shared" si="33"/>
        <v>5.0773022735165374E-2</v>
      </c>
      <c r="K95" s="585"/>
      <c r="L95" s="586"/>
      <c r="N95" s="579">
        <f t="shared" si="37"/>
        <v>6.9499495798319408</v>
      </c>
      <c r="O95" s="580">
        <f t="shared" si="34"/>
        <v>0.15886656509892672</v>
      </c>
      <c r="P95" s="580">
        <f t="shared" si="35"/>
        <v>0.22325445656576903</v>
      </c>
      <c r="Q95" s="585"/>
      <c r="R95" s="586"/>
      <c r="T95" s="579">
        <f t="shared" si="38"/>
        <v>79.031672268907471</v>
      </c>
      <c r="U95" s="580">
        <f t="shared" si="36"/>
        <v>6.7662693777470282E-3</v>
      </c>
      <c r="V95" s="580">
        <f t="shared" si="39"/>
        <v>0.1351485795067795</v>
      </c>
      <c r="W95" s="585"/>
      <c r="X95" s="586"/>
    </row>
    <row r="96" spans="1:24">
      <c r="A96" s="11">
        <v>12</v>
      </c>
      <c r="B96" s="130">
        <f t="shared" si="27"/>
        <v>8600.3999999999978</v>
      </c>
      <c r="C96" s="231">
        <f t="shared" si="28"/>
        <v>2.9965328366767229E-4</v>
      </c>
      <c r="D96" s="543">
        <f t="shared" si="29"/>
        <v>7.7554449686550769E-5</v>
      </c>
      <c r="E96" s="11">
        <f t="shared" si="25"/>
        <v>7.7554449686550769E-5</v>
      </c>
      <c r="F96" s="12" t="e">
        <f t="shared" si="26"/>
        <v>#N/A</v>
      </c>
      <c r="H96" s="579">
        <f t="shared" si="31"/>
        <v>124.42713922273161</v>
      </c>
      <c r="I96" s="580">
        <f t="shared" si="32"/>
        <v>1.1295264945961722E-3</v>
      </c>
      <c r="J96" s="580">
        <f t="shared" si="33"/>
        <v>4.8835153369499729E-2</v>
      </c>
      <c r="K96" s="585"/>
      <c r="L96" s="586"/>
      <c r="N96" s="579">
        <f t="shared" si="37"/>
        <v>7.0278655462184956</v>
      </c>
      <c r="O96" s="580">
        <f t="shared" si="34"/>
        <v>0.15212212882129342</v>
      </c>
      <c r="P96" s="580">
        <f t="shared" si="35"/>
        <v>0.2111396364654301</v>
      </c>
      <c r="Q96" s="585"/>
      <c r="R96" s="586"/>
      <c r="T96" s="579">
        <f t="shared" si="38"/>
        <v>80.115126050420074</v>
      </c>
      <c r="U96" s="580">
        <f t="shared" si="36"/>
        <v>6.4290813620358151E-3</v>
      </c>
      <c r="V96" s="580">
        <f t="shared" si="39"/>
        <v>0.12800160510063963</v>
      </c>
      <c r="W96" s="585"/>
      <c r="X96" s="586"/>
    </row>
    <row r="97" spans="1:24">
      <c r="A97" s="11">
        <v>13</v>
      </c>
      <c r="B97" s="130">
        <f t="shared" si="27"/>
        <v>9391.7999999999975</v>
      </c>
      <c r="C97" s="231">
        <f t="shared" si="28"/>
        <v>3.2805259492157583E-4</v>
      </c>
      <c r="D97" s="543">
        <f t="shared" si="29"/>
        <v>6.8937288610267366E-5</v>
      </c>
      <c r="E97" s="11">
        <f t="shared" si="25"/>
        <v>6.8937288610267366E-5</v>
      </c>
      <c r="F97" s="12" t="e">
        <f t="shared" si="26"/>
        <v>#N/A</v>
      </c>
      <c r="H97" s="579">
        <f t="shared" si="31"/>
        <v>126.10483184832441</v>
      </c>
      <c r="I97" s="580">
        <f t="shared" si="32"/>
        <v>1.080506262469911E-3</v>
      </c>
      <c r="J97" s="580">
        <f t="shared" si="33"/>
        <v>4.6981617969675815E-2</v>
      </c>
      <c r="K97" s="585"/>
      <c r="L97" s="586"/>
      <c r="N97" s="579">
        <f t="shared" si="37"/>
        <v>7.1057815126050503</v>
      </c>
      <c r="O97" s="580">
        <f t="shared" si="34"/>
        <v>0.14549031487995509</v>
      </c>
      <c r="P97" s="580">
        <f t="shared" si="35"/>
        <v>0.19954604412319243</v>
      </c>
      <c r="Q97" s="585"/>
      <c r="R97" s="586"/>
      <c r="T97" s="579">
        <f t="shared" si="38"/>
        <v>81.198579831932676</v>
      </c>
      <c r="U97" s="580">
        <f t="shared" si="36"/>
        <v>6.1061699370724377E-3</v>
      </c>
      <c r="V97" s="580">
        <f t="shared" si="39"/>
        <v>0.12121219801248873</v>
      </c>
      <c r="W97" s="585"/>
      <c r="X97" s="586"/>
    </row>
    <row r="98" spans="1:24">
      <c r="A98" s="11">
        <v>14</v>
      </c>
      <c r="B98" s="130">
        <f t="shared" si="27"/>
        <v>10183.199999999997</v>
      </c>
      <c r="C98" s="231">
        <f t="shared" si="28"/>
        <v>3.5645190617547931E-4</v>
      </c>
      <c r="D98" s="543">
        <f t="shared" si="29"/>
        <v>6.0320127533983948E-5</v>
      </c>
      <c r="E98" s="11">
        <f t="shared" si="25"/>
        <v>6.0320127533983948E-5</v>
      </c>
      <c r="F98" s="12" t="e">
        <f t="shared" si="26"/>
        <v>#N/A</v>
      </c>
      <c r="H98" s="579">
        <f t="shared" si="31"/>
        <v>127.78252447391721</v>
      </c>
      <c r="I98" s="580">
        <f t="shared" si="32"/>
        <v>1.0338691482394205E-3</v>
      </c>
      <c r="J98" s="580">
        <f t="shared" si="33"/>
        <v>4.5208306025400269E-2</v>
      </c>
      <c r="K98" s="585"/>
      <c r="L98" s="586"/>
      <c r="N98" s="579">
        <f t="shared" si="37"/>
        <v>7.183697478991605</v>
      </c>
      <c r="O98" s="580">
        <f t="shared" si="34"/>
        <v>0.13898782224693998</v>
      </c>
      <c r="P98" s="580">
        <f t="shared" si="35"/>
        <v>0.18846423880648366</v>
      </c>
      <c r="Q98" s="585"/>
      <c r="R98" s="586"/>
      <c r="T98" s="579">
        <f t="shared" si="38"/>
        <v>82.282033613445279</v>
      </c>
      <c r="U98" s="580">
        <f t="shared" si="36"/>
        <v>5.7972260393292828E-3</v>
      </c>
      <c r="V98" s="580">
        <f t="shared" si="39"/>
        <v>0.11476505451645003</v>
      </c>
      <c r="W98" s="585"/>
      <c r="X98" s="586"/>
    </row>
    <row r="99" spans="1:24">
      <c r="A99" s="11">
        <v>15</v>
      </c>
      <c r="B99" s="130">
        <f t="shared" si="27"/>
        <v>10974.599999999997</v>
      </c>
      <c r="C99" s="231">
        <f t="shared" si="28"/>
        <v>3.8485121742938279E-4</v>
      </c>
      <c r="D99" s="543">
        <f t="shared" si="29"/>
        <v>5.1702966457700531E-5</v>
      </c>
      <c r="E99" s="11">
        <f t="shared" si="25"/>
        <v>5.1702966457700531E-5</v>
      </c>
      <c r="F99" s="12" t="e">
        <f t="shared" si="26"/>
        <v>#N/A</v>
      </c>
      <c r="H99" s="579">
        <f t="shared" si="31"/>
        <v>129.46021709951</v>
      </c>
      <c r="I99" s="580">
        <f t="shared" si="32"/>
        <v>9.8948767767613401E-4</v>
      </c>
      <c r="J99" s="580">
        <f t="shared" si="33"/>
        <v>4.351132738948682E-2</v>
      </c>
      <c r="K99" s="585"/>
      <c r="L99" s="586"/>
      <c r="N99" s="579">
        <f t="shared" si="37"/>
        <v>7.2616134453781598</v>
      </c>
      <c r="O99" s="580">
        <f t="shared" si="34"/>
        <v>0.13262908700947473</v>
      </c>
      <c r="P99" s="580">
        <f t="shared" si="35"/>
        <v>0.17788356763688296</v>
      </c>
      <c r="Q99" s="585"/>
      <c r="R99" s="586"/>
      <c r="T99" s="579">
        <f t="shared" si="38"/>
        <v>83.365487394957881</v>
      </c>
      <c r="U99" s="580">
        <f t="shared" si="36"/>
        <v>5.5019092544971613E-3</v>
      </c>
      <c r="V99" s="580">
        <f t="shared" si="39"/>
        <v>0.10864522331163406</v>
      </c>
      <c r="W99" s="585"/>
      <c r="X99" s="586"/>
    </row>
    <row r="100" spans="1:24">
      <c r="A100" s="11">
        <v>16</v>
      </c>
      <c r="B100" s="130">
        <f t="shared" si="27"/>
        <v>11765.999999999996</v>
      </c>
      <c r="C100" s="231">
        <f t="shared" si="28"/>
        <v>4.1325052868328632E-4</v>
      </c>
      <c r="D100" s="543">
        <f t="shared" si="29"/>
        <v>4.3085805381417127E-5</v>
      </c>
      <c r="E100" s="11">
        <f t="shared" si="25"/>
        <v>4.3085805381417127E-5</v>
      </c>
      <c r="F100" s="12" t="e">
        <f t="shared" si="26"/>
        <v>#N/A</v>
      </c>
      <c r="H100" s="579">
        <f t="shared" si="31"/>
        <v>131.13790972510279</v>
      </c>
      <c r="I100" s="580">
        <f t="shared" si="32"/>
        <v>9.4724173215532804E-4</v>
      </c>
      <c r="J100" s="580">
        <f t="shared" si="33"/>
        <v>4.1886999542689485E-2</v>
      </c>
      <c r="K100" s="585"/>
      <c r="L100" s="586"/>
      <c r="N100" s="579">
        <f t="shared" si="37"/>
        <v>7.3395294117647145</v>
      </c>
      <c r="O100" s="580">
        <f t="shared" si="34"/>
        <v>0.12642641106557501</v>
      </c>
      <c r="P100" s="580">
        <f t="shared" si="35"/>
        <v>0.16779233693368811</v>
      </c>
      <c r="Q100" s="585"/>
      <c r="R100" s="586"/>
      <c r="T100" s="579">
        <f t="shared" si="38"/>
        <v>84.448941176470484</v>
      </c>
      <c r="U100" s="580">
        <f t="shared" si="36"/>
        <v>5.2198539466923087E-3</v>
      </c>
      <c r="V100" s="580">
        <f t="shared" si="39"/>
        <v>0.10283813610558867</v>
      </c>
      <c r="W100" s="585"/>
      <c r="X100" s="586"/>
    </row>
    <row r="101" spans="1:24">
      <c r="A101" s="11">
        <v>17</v>
      </c>
      <c r="B101" s="130">
        <f t="shared" si="27"/>
        <v>12557.399999999996</v>
      </c>
      <c r="C101" s="231">
        <f t="shared" si="28"/>
        <v>4.416498399371898E-4</v>
      </c>
      <c r="D101" s="543">
        <f t="shared" si="29"/>
        <v>3.4468644305133696E-5</v>
      </c>
      <c r="E101" s="11">
        <f t="shared" si="25"/>
        <v>3.4468644305133696E-5</v>
      </c>
      <c r="F101" s="12" t="e">
        <f t="shared" si="26"/>
        <v>#N/A</v>
      </c>
      <c r="H101" s="579">
        <f t="shared" si="31"/>
        <v>132.81560235069557</v>
      </c>
      <c r="I101" s="580">
        <f t="shared" si="32"/>
        <v>9.0701810215556308E-4</v>
      </c>
      <c r="J101" s="580">
        <f t="shared" si="33"/>
        <v>4.0331835631749913E-2</v>
      </c>
      <c r="K101" s="585"/>
      <c r="L101" s="586"/>
      <c r="N101" s="579">
        <f t="shared" si="37"/>
        <v>7.4174453781512693</v>
      </c>
      <c r="O101" s="580">
        <f t="shared" si="34"/>
        <v>0.12039009609972193</v>
      </c>
      <c r="P101" s="580">
        <f t="shared" si="35"/>
        <v>0.15817797330832262</v>
      </c>
      <c r="Q101" s="585"/>
      <c r="R101" s="586"/>
      <c r="T101" s="579">
        <f t="shared" si="38"/>
        <v>85.532394957983087</v>
      </c>
      <c r="U101" s="580">
        <f t="shared" si="36"/>
        <v>4.9506747133827196E-3</v>
      </c>
      <c r="V101" s="580">
        <f t="shared" si="39"/>
        <v>9.7329631927172922E-2</v>
      </c>
      <c r="W101" s="585">
        <v>4.9506747133827196E-3</v>
      </c>
      <c r="X101" s="586">
        <v>9.7329631927172922E-2</v>
      </c>
    </row>
    <row r="102" spans="1:24">
      <c r="A102" s="11">
        <v>18</v>
      </c>
      <c r="B102" s="130">
        <f t="shared" si="27"/>
        <v>13348.799999999996</v>
      </c>
      <c r="C102" s="231">
        <f t="shared" si="28"/>
        <v>4.7004915119109333E-4</v>
      </c>
      <c r="D102" s="543">
        <f t="shared" si="29"/>
        <v>2.5851483228850293E-5</v>
      </c>
      <c r="E102" s="11">
        <f t="shared" si="25"/>
        <v>2.5851483228850293E-5</v>
      </c>
      <c r="F102" s="12" t="e">
        <f t="shared" si="26"/>
        <v>#N/A</v>
      </c>
      <c r="H102" s="579">
        <f t="shared" si="31"/>
        <v>134.49329497628835</v>
      </c>
      <c r="I102" s="580">
        <f t="shared" si="32"/>
        <v>8.6871006816957293E-4</v>
      </c>
      <c r="J102" s="580">
        <f t="shared" si="33"/>
        <v>3.8842533233319099E-2</v>
      </c>
      <c r="K102" s="585"/>
      <c r="L102" s="586"/>
      <c r="N102" s="579">
        <f t="shared" si="37"/>
        <v>7.495361344537824</v>
      </c>
      <c r="O102" s="580">
        <f t="shared" si="34"/>
        <v>0.11452858053031242</v>
      </c>
      <c r="P102" s="580">
        <f t="shared" si="35"/>
        <v>0.14902717419015132</v>
      </c>
      <c r="Q102" s="585"/>
      <c r="R102" s="586"/>
      <c r="T102" s="579">
        <f t="shared" si="38"/>
        <v>86.615848739495689</v>
      </c>
      <c r="U102" s="580">
        <f t="shared" si="36"/>
        <v>4.6939712190878979E-3</v>
      </c>
      <c r="V102" s="580">
        <f t="shared" si="39"/>
        <v>9.2105975870517054E-2</v>
      </c>
      <c r="W102" s="585"/>
      <c r="X102" s="586"/>
    </row>
    <row r="103" spans="1:24">
      <c r="A103" s="11">
        <v>19</v>
      </c>
      <c r="B103" s="130">
        <f t="shared" si="27"/>
        <v>14140.199999999995</v>
      </c>
      <c r="C103" s="231">
        <f t="shared" si="28"/>
        <v>4.9844846244499687E-4</v>
      </c>
      <c r="D103" s="543">
        <f t="shared" si="29"/>
        <v>1.7234322152566889E-5</v>
      </c>
      <c r="E103" s="11">
        <f t="shared" si="25"/>
        <v>1.7234322152566889E-5</v>
      </c>
      <c r="F103" s="12" t="e">
        <f t="shared" si="26"/>
        <v>#N/A</v>
      </c>
      <c r="H103" s="579">
        <f t="shared" si="31"/>
        <v>136.17098760188114</v>
      </c>
      <c r="I103" s="580">
        <f t="shared" si="32"/>
        <v>8.3221700746204357E-4</v>
      </c>
      <c r="J103" s="580">
        <f t="shared" si="33"/>
        <v>3.7415963799084961E-2</v>
      </c>
      <c r="K103" s="585"/>
      <c r="L103" s="586"/>
      <c r="N103" s="579">
        <f t="shared" si="37"/>
        <v>7.5732773109243787</v>
      </c>
      <c r="O103" s="580">
        <f t="shared" si="34"/>
        <v>0.10884857742605346</v>
      </c>
      <c r="P103" s="580">
        <f t="shared" si="35"/>
        <v>0.14032604763210288</v>
      </c>
      <c r="Q103" s="585"/>
      <c r="R103" s="586"/>
      <c r="T103" s="579">
        <f t="shared" si="38"/>
        <v>87.699302521008292</v>
      </c>
      <c r="U103" s="580">
        <f t="shared" si="36"/>
        <v>4.4493324590792957E-3</v>
      </c>
      <c r="V103" s="580">
        <f t="shared" si="39"/>
        <v>8.7153872915209041E-2</v>
      </c>
      <c r="W103" s="585"/>
      <c r="X103" s="586"/>
    </row>
    <row r="104" spans="1:24">
      <c r="A104" s="11">
        <v>20</v>
      </c>
      <c r="B104" s="130">
        <f t="shared" si="27"/>
        <v>14931.599999999995</v>
      </c>
      <c r="C104" s="231">
        <f t="shared" si="28"/>
        <v>5.268477736989003E-4</v>
      </c>
      <c r="D104" s="543">
        <f t="shared" si="29"/>
        <v>8.617161076283458E-6</v>
      </c>
      <c r="E104" s="11">
        <f t="shared" si="25"/>
        <v>8.617161076283458E-6</v>
      </c>
      <c r="F104" s="12" t="e">
        <f t="shared" si="26"/>
        <v>#N/A</v>
      </c>
      <c r="H104" s="579">
        <f t="shared" si="31"/>
        <v>137.84868022747392</v>
      </c>
      <c r="I104" s="580">
        <f t="shared" si="32"/>
        <v>7.974440251700721E-4</v>
      </c>
      <c r="J104" s="580">
        <f t="shared" si="33"/>
        <v>3.6049162740013352E-2</v>
      </c>
      <c r="K104" s="585"/>
      <c r="L104" s="586"/>
      <c r="N104" s="579">
        <f t="shared" si="37"/>
        <v>7.6511932773109335</v>
      </c>
      <c r="O104" s="580">
        <f t="shared" si="34"/>
        <v>0.10335521167607738</v>
      </c>
      <c r="P104" s="580">
        <f t="shared" si="35"/>
        <v>0.132060241389239</v>
      </c>
      <c r="Q104" s="585"/>
      <c r="R104" s="586"/>
      <c r="T104" s="579">
        <f t="shared" si="38"/>
        <v>88.782756302520895</v>
      </c>
      <c r="U104" s="580">
        <f t="shared" si="36"/>
        <v>4.2163405020964788E-3</v>
      </c>
      <c r="V104" s="580">
        <f t="shared" si="39"/>
        <v>8.2460477413507816E-2</v>
      </c>
      <c r="W104" s="585"/>
      <c r="X104" s="586"/>
    </row>
    <row r="105" spans="1:24">
      <c r="A105" s="11">
        <v>21</v>
      </c>
      <c r="B105" s="130">
        <f t="shared" si="27"/>
        <v>15722.999999999995</v>
      </c>
      <c r="C105" s="231">
        <f>+($D$74*B105)+$D$73</f>
        <v>5.5524708495280383E-4</v>
      </c>
      <c r="D105" s="543">
        <f>+($B$74*B105)+$B$73</f>
        <v>0</v>
      </c>
      <c r="E105" s="11">
        <f t="shared" si="25"/>
        <v>0</v>
      </c>
      <c r="F105" s="12" t="e">
        <f t="shared" si="26"/>
        <v>#N/A</v>
      </c>
      <c r="H105" s="579">
        <f t="shared" si="31"/>
        <v>139.5263728530667</v>
      </c>
      <c r="I105" s="580">
        <f t="shared" si="32"/>
        <v>7.6430160830620153E-4</v>
      </c>
      <c r="J105" s="580">
        <f t="shared" si="33"/>
        <v>3.4739320110082184E-2</v>
      </c>
      <c r="K105" s="585"/>
      <c r="L105" s="586"/>
      <c r="N105" s="579">
        <f t="shared" si="37"/>
        <v>7.7291092436974882</v>
      </c>
      <c r="O105" s="580">
        <f t="shared" si="34"/>
        <v>9.805215496616157E-2</v>
      </c>
      <c r="P105" s="580">
        <f t="shared" si="35"/>
        <v>0.12421506138647154</v>
      </c>
      <c r="Q105" s="585"/>
      <c r="R105" s="586"/>
      <c r="T105" s="579">
        <f t="shared" si="38"/>
        <v>89.866210084033497</v>
      </c>
      <c r="U105" s="580">
        <f t="shared" si="36"/>
        <v>3.9945737586164444E-3</v>
      </c>
      <c r="V105" s="580">
        <f t="shared" si="39"/>
        <v>7.801339878360003E-2</v>
      </c>
      <c r="W105" s="585"/>
      <c r="X105" s="586"/>
    </row>
    <row r="106" spans="1:24">
      <c r="B106" s="130"/>
      <c r="C106" s="231"/>
      <c r="D106" s="543"/>
      <c r="E106" s="543"/>
      <c r="F106" s="543"/>
      <c r="H106" s="579">
        <f t="shared" si="31"/>
        <v>141.20406547865949</v>
      </c>
      <c r="I106" s="580">
        <f t="shared" si="32"/>
        <v>7.3270530128980663E-4</v>
      </c>
      <c r="J106" s="580">
        <f t="shared" si="33"/>
        <v>3.3483771852243938E-2</v>
      </c>
      <c r="K106" s="585"/>
      <c r="L106" s="586"/>
      <c r="N106" s="579">
        <f t="shared" si="37"/>
        <v>7.8070252100840429</v>
      </c>
      <c r="O106" s="580">
        <f t="shared" si="34"/>
        <v>9.2941757359819757E-2</v>
      </c>
      <c r="P106" s="580">
        <f t="shared" si="35"/>
        <v>0.11677557979470465</v>
      </c>
      <c r="Q106" s="585"/>
      <c r="R106" s="586"/>
      <c r="T106" s="579">
        <f t="shared" si="38"/>
        <v>90.9496638655461</v>
      </c>
      <c r="U106" s="580">
        <f t="shared" si="36"/>
        <v>3.7836098185659384E-3</v>
      </c>
      <c r="V106" s="580">
        <f t="shared" si="39"/>
        <v>7.3800703898922349E-2</v>
      </c>
      <c r="W106" s="585"/>
      <c r="X106" s="586"/>
    </row>
    <row r="107" spans="1:24">
      <c r="B107" s="130"/>
      <c r="C107" s="231"/>
      <c r="D107" s="543"/>
      <c r="E107" s="543"/>
      <c r="F107" s="543"/>
      <c r="H107" s="579">
        <f t="shared" si="31"/>
        <v>142.88175810425227</v>
      </c>
      <c r="I107" s="580">
        <f t="shared" si="32"/>
        <v>7.0257540169988396E-4</v>
      </c>
      <c r="J107" s="580">
        <f t="shared" si="33"/>
        <v>3.2279991571606992E-2</v>
      </c>
      <c r="K107" s="587"/>
      <c r="L107" s="588"/>
      <c r="N107" s="579">
        <f t="shared" si="37"/>
        <v>7.8849411764705977</v>
      </c>
      <c r="O107" s="580">
        <f t="shared" si="34"/>
        <v>8.8025174507539161E-2</v>
      </c>
      <c r="P107" s="580">
        <f t="shared" si="35"/>
        <v>0.1097267330193662</v>
      </c>
      <c r="Q107" s="587"/>
      <c r="R107" s="588"/>
      <c r="T107" s="579">
        <f t="shared" si="38"/>
        <v>92.033117647058702</v>
      </c>
      <c r="U107" s="580">
        <f t="shared" si="36"/>
        <v>3.5830278996268538E-3</v>
      </c>
      <c r="V107" s="580">
        <f t="shared" si="39"/>
        <v>6.9810916617496943E-2</v>
      </c>
      <c r="W107" s="587"/>
      <c r="X107" s="588"/>
    </row>
    <row r="108" spans="1:24">
      <c r="B108" s="130"/>
      <c r="C108" s="231"/>
      <c r="D108" s="543"/>
      <c r="E108" s="543"/>
      <c r="F108" s="543"/>
      <c r="H108" s="579">
        <f t="shared" si="31"/>
        <v>144.55945072984505</v>
      </c>
      <c r="I108" s="580">
        <f t="shared" si="32"/>
        <v>6.7383667500903058E-4</v>
      </c>
      <c r="J108" s="580">
        <f t="shared" si="33"/>
        <v>3.1125582802959739E-2</v>
      </c>
      <c r="K108" s="587"/>
      <c r="L108" s="589"/>
      <c r="N108" s="579">
        <f t="shared" si="37"/>
        <v>7.9628571428571524</v>
      </c>
      <c r="O108" s="580">
        <f t="shared" si="34"/>
        <v>8.3302489710062738E-2</v>
      </c>
      <c r="P108" s="580">
        <f t="shared" si="35"/>
        <v>0.10305340997337331</v>
      </c>
      <c r="Q108" s="587"/>
      <c r="R108" s="589"/>
      <c r="T108" s="579">
        <f t="shared" si="38"/>
        <v>93.116571428571305</v>
      </c>
      <c r="U108" s="580">
        <f t="shared" si="36"/>
        <v>3.3924109445150862E-3</v>
      </c>
      <c r="V108" s="580">
        <f t="shared" si="39"/>
        <v>6.603301485214208E-2</v>
      </c>
      <c r="W108" s="587"/>
      <c r="X108" s="589"/>
    </row>
    <row r="109" spans="1:24">
      <c r="B109" s="130"/>
      <c r="C109" s="231"/>
      <c r="D109" s="543"/>
      <c r="E109" s="543"/>
      <c r="F109" s="543"/>
      <c r="H109" s="579">
        <f t="shared" si="31"/>
        <v>146.23714335543784</v>
      </c>
      <c r="I109" s="580">
        <f t="shared" si="32"/>
        <v>6.4641808712450862E-4</v>
      </c>
      <c r="J109" s="580">
        <f t="shared" si="33"/>
        <v>3.0018271741785063E-2</v>
      </c>
      <c r="K109" s="585"/>
      <c r="L109" s="586"/>
      <c r="N109" s="579">
        <f t="shared" si="37"/>
        <v>8.0407731092437071</v>
      </c>
      <c r="O109" s="580">
        <f t="shared" si="34"/>
        <v>7.877283024270601E-2</v>
      </c>
      <c r="P109" s="580">
        <f t="shared" si="35"/>
        <v>9.6740531059692048E-2</v>
      </c>
      <c r="Q109" s="585">
        <v>7.877283024270601E-2</v>
      </c>
      <c r="R109" s="586">
        <v>9.6740531059692048E-2</v>
      </c>
      <c r="T109" s="579">
        <f t="shared" si="38"/>
        <v>94.200025210083908</v>
      </c>
      <c r="U109" s="580">
        <f t="shared" si="36"/>
        <v>3.2113474028625309E-3</v>
      </c>
      <c r="V109" s="580">
        <f t="shared" si="39"/>
        <v>6.2456425542330551E-2</v>
      </c>
      <c r="W109" s="585"/>
      <c r="X109" s="586"/>
    </row>
    <row r="110" spans="1:24">
      <c r="B110" s="130"/>
      <c r="C110" s="231"/>
      <c r="D110" s="543"/>
      <c r="E110" s="543"/>
      <c r="F110" s="543"/>
      <c r="H110" s="579">
        <f t="shared" si="31"/>
        <v>147.91483598103062</v>
      </c>
      <c r="I110" s="580">
        <f t="shared" si="32"/>
        <v>6.2025255362696844E-4</v>
      </c>
      <c r="J110" s="580">
        <f t="shared" si="33"/>
        <v>2.8955900409831981E-2</v>
      </c>
      <c r="K110" s="585"/>
      <c r="L110" s="586"/>
      <c r="N110" s="579">
        <f t="shared" si="37"/>
        <v>8.118689075630261</v>
      </c>
      <c r="O110" s="580">
        <f t="shared" si="34"/>
        <v>7.443447750800887E-2</v>
      </c>
      <c r="P110" s="580">
        <f t="shared" si="35"/>
        <v>9.0773118328479674E-2</v>
      </c>
      <c r="Q110" s="585"/>
      <c r="R110" s="586"/>
      <c r="T110" s="579">
        <f t="shared" si="38"/>
        <v>95.28347899159651</v>
      </c>
      <c r="U110" s="580">
        <f t="shared" si="36"/>
        <v>3.0394327306381527E-3</v>
      </c>
      <c r="V110" s="580">
        <f t="shared" si="39"/>
        <v>5.9071017851332952E-2</v>
      </c>
      <c r="W110" s="585"/>
      <c r="X110" s="586"/>
    </row>
    <row r="111" spans="1:24">
      <c r="B111" s="130"/>
      <c r="C111" s="231"/>
      <c r="D111" s="543"/>
      <c r="E111" s="543"/>
      <c r="F111" s="543"/>
      <c r="H111" s="579">
        <f t="shared" si="31"/>
        <v>149.5925286066234</v>
      </c>
      <c r="I111" s="580">
        <f t="shared" si="32"/>
        <v>5.9527670466022703E-4</v>
      </c>
      <c r="J111" s="580">
        <f t="shared" si="33"/>
        <v>2.7936420228117043E-2</v>
      </c>
      <c r="K111" s="585"/>
      <c r="L111" s="586"/>
      <c r="N111" s="579">
        <f t="shared" si="37"/>
        <v>8.1966050420168148</v>
      </c>
      <c r="O111" s="580">
        <f t="shared" si="34"/>
        <v>7.0284970724524609E-2</v>
      </c>
      <c r="P111" s="580">
        <f t="shared" si="35"/>
        <v>8.5136357301915822E-2</v>
      </c>
      <c r="Q111" s="585"/>
      <c r="R111" s="586"/>
      <c r="T111" s="579">
        <f t="shared" si="38"/>
        <v>96.366932773109113</v>
      </c>
      <c r="U111" s="580">
        <f t="shared" si="36"/>
        <v>2.8762706374351799E-3</v>
      </c>
      <c r="V111" s="580">
        <f t="shared" si="39"/>
        <v>5.5867094878017887E-2</v>
      </c>
      <c r="W111" s="585"/>
      <c r="X111" s="586"/>
    </row>
    <row r="112" spans="1:24">
      <c r="B112" s="130"/>
      <c r="C112" s="231"/>
      <c r="D112" s="543"/>
      <c r="E112" s="543"/>
      <c r="F112" s="543"/>
      <c r="H112" s="579">
        <f t="shared" si="31"/>
        <v>151.27022123221619</v>
      </c>
      <c r="I112" s="580">
        <f t="shared" si="32"/>
        <v>5.714306644860332E-4</v>
      </c>
      <c r="J112" s="580">
        <f t="shared" si="33"/>
        <v>2.6957885971932938E-2</v>
      </c>
      <c r="K112" s="585"/>
      <c r="L112" s="586"/>
      <c r="N112" s="579">
        <f t="shared" si="37"/>
        <v>8.2745210084033687</v>
      </c>
      <c r="O112" s="580">
        <f t="shared" si="34"/>
        <v>6.6321203981409393E-2</v>
      </c>
      <c r="P112" s="580">
        <f t="shared" si="35"/>
        <v>7.981565097773069E-2</v>
      </c>
      <c r="Q112" s="585"/>
      <c r="R112" s="586"/>
      <c r="T112" s="579">
        <f t="shared" si="38"/>
        <v>97.450386554621716</v>
      </c>
      <c r="U112" s="580">
        <f t="shared" si="36"/>
        <v>2.7214741094493118E-3</v>
      </c>
      <c r="V112" s="580">
        <f t="shared" si="39"/>
        <v>5.2835384141191599E-2</v>
      </c>
      <c r="W112" s="585"/>
      <c r="X112" s="586"/>
    </row>
    <row r="113" spans="2:24">
      <c r="B113" s="130"/>
      <c r="C113" s="231"/>
      <c r="D113" s="543"/>
      <c r="E113" s="543"/>
      <c r="F113" s="543"/>
      <c r="H113" s="579">
        <f t="shared" si="31"/>
        <v>152.94791385780897</v>
      </c>
      <c r="I113" s="580">
        <f t="shared" si="32"/>
        <v>5.4865784477621743E-4</v>
      </c>
      <c r="J113" s="580">
        <f t="shared" si="33"/>
        <v>2.6018450084046463E-2</v>
      </c>
      <c r="K113" s="585"/>
      <c r="L113" s="586"/>
      <c r="N113" s="579">
        <f t="shared" si="37"/>
        <v>8.3524369747899225</v>
      </c>
      <c r="O113" s="580">
        <f t="shared" si="34"/>
        <v>6.2539516592995739E-2</v>
      </c>
      <c r="P113" s="580">
        <f t="shared" si="35"/>
        <v>7.47966665315275E-2</v>
      </c>
      <c r="Q113" s="585"/>
      <c r="R113" s="586"/>
      <c r="T113" s="579">
        <f t="shared" si="38"/>
        <v>98.533840336134318</v>
      </c>
      <c r="U113" s="580">
        <f t="shared" si="36"/>
        <v>2.5746662335913318E-3</v>
      </c>
      <c r="V113" s="580">
        <f t="shared" si="39"/>
        <v>4.9967027065512482E-2</v>
      </c>
      <c r="W113" s="585"/>
      <c r="X113" s="586"/>
    </row>
    <row r="114" spans="2:24">
      <c r="B114" s="130"/>
      <c r="C114" s="231"/>
      <c r="D114" s="543"/>
      <c r="E114" s="543"/>
      <c r="F114" s="543"/>
      <c r="H114" s="579">
        <f t="shared" si="31"/>
        <v>154.62560648340175</v>
      </c>
      <c r="I114" s="580">
        <f t="shared" si="32"/>
        <v>5.269047507701956E-4</v>
      </c>
      <c r="J114" s="580">
        <f t="shared" si="33"/>
        <v>2.5116357323779148E-2</v>
      </c>
      <c r="K114" s="585"/>
      <c r="L114" s="586"/>
      <c r="N114" s="579">
        <f t="shared" si="37"/>
        <v>8.4303529411764764</v>
      </c>
      <c r="O114" s="580">
        <f t="shared" si="34"/>
        <v>5.8935776776066269E-2</v>
      </c>
      <c r="P114" s="580">
        <f t="shared" si="35"/>
        <v>7.0065375239578787E-2</v>
      </c>
      <c r="Q114" s="585"/>
      <c r="R114" s="586"/>
      <c r="T114" s="579">
        <f t="shared" si="38"/>
        <v>99.617294117646921</v>
      </c>
      <c r="U114" s="580">
        <f t="shared" si="36"/>
        <v>2.4354808459261402E-3</v>
      </c>
      <c r="V114" s="580">
        <f t="shared" si="39"/>
        <v>4.7253567671679209E-2</v>
      </c>
      <c r="W114" s="585"/>
      <c r="X114" s="586"/>
    </row>
    <row r="115" spans="2:24">
      <c r="B115" s="130"/>
      <c r="C115" s="231"/>
      <c r="D115" s="543"/>
      <c r="E115" s="543"/>
      <c r="F115" s="543"/>
      <c r="H115" s="579">
        <f t="shared" si="31"/>
        <v>156.30329910899454</v>
      </c>
      <c r="I115" s="580">
        <f t="shared" si="32"/>
        <v>5.0612079947908459E-4</v>
      </c>
      <c r="J115" s="580">
        <f t="shared" si="33"/>
        <v>2.424993973108025E-2</v>
      </c>
      <c r="K115" s="585"/>
      <c r="L115" s="586"/>
      <c r="N115" s="579">
        <f t="shared" si="37"/>
        <v>8.5082689075630302</v>
      </c>
      <c r="O115" s="580">
        <f t="shared" si="34"/>
        <v>5.5505458746498676E-2</v>
      </c>
      <c r="P115" s="580">
        <f t="shared" si="35"/>
        <v>6.560808613903657E-2</v>
      </c>
      <c r="Q115" s="585"/>
      <c r="R115" s="586"/>
      <c r="T115" s="579">
        <f t="shared" si="38"/>
        <v>100.70074789915952</v>
      </c>
      <c r="U115" s="580">
        <f t="shared" si="36"/>
        <v>2.3035630255154038E-3</v>
      </c>
      <c r="V115" s="580">
        <f t="shared" si="39"/>
        <v>4.468694064962786E-2</v>
      </c>
      <c r="W115" s="585"/>
      <c r="X115" s="586"/>
    </row>
    <row r="116" spans="2:24">
      <c r="B116" s="130"/>
      <c r="C116" s="231"/>
      <c r="D116" s="543"/>
      <c r="E116" s="543"/>
      <c r="F116" s="543"/>
      <c r="H116" s="579">
        <f t="shared" si="31"/>
        <v>157.98099173458732</v>
      </c>
      <c r="I116" s="580">
        <f t="shared" si="32"/>
        <v>4.862581491682093E-4</v>
      </c>
      <c r="J116" s="580">
        <f t="shared" si="33"/>
        <v>2.341761188603142E-2</v>
      </c>
      <c r="K116" s="585"/>
      <c r="L116" s="586"/>
      <c r="N116" s="579">
        <f t="shared" si="37"/>
        <v>8.5861848739495841</v>
      </c>
      <c r="O116" s="580">
        <f t="shared" si="34"/>
        <v>5.2243713392698357E-2</v>
      </c>
      <c r="P116" s="580">
        <f t="shared" si="35"/>
        <v>6.1411473932510674E-2</v>
      </c>
      <c r="Q116" s="585"/>
      <c r="R116" s="586"/>
      <c r="T116" s="579">
        <f t="shared" si="38"/>
        <v>101.78420168067213</v>
      </c>
      <c r="U116" s="580">
        <f t="shared" si="36"/>
        <v>2.1785694527633151E-3</v>
      </c>
      <c r="V116" s="580">
        <f t="shared" si="39"/>
        <v>4.2259458971713348E-2</v>
      </c>
      <c r="W116" s="585"/>
      <c r="X116" s="586"/>
    </row>
    <row r="117" spans="2:24">
      <c r="B117" s="130"/>
      <c r="C117" s="231"/>
      <c r="D117" s="543"/>
      <c r="E117" s="543"/>
      <c r="F117" s="543"/>
      <c r="H117" s="579">
        <f t="shared" si="31"/>
        <v>159.6586843601801</v>
      </c>
      <c r="I117" s="580">
        <f t="shared" si="32"/>
        <v>4.6727153939763317E-4</v>
      </c>
      <c r="J117" s="580">
        <f t="shared" si="33"/>
        <v>2.2617866445474255E-2</v>
      </c>
      <c r="K117" s="585"/>
      <c r="L117" s="586"/>
      <c r="N117" s="579">
        <f t="shared" si="37"/>
        <v>8.6641008403361379</v>
      </c>
      <c r="O117" s="580">
        <f t="shared" si="34"/>
        <v>4.9145432732161112E-2</v>
      </c>
      <c r="P117" s="580">
        <f t="shared" si="35"/>
        <v>5.7462601629732601E-2</v>
      </c>
      <c r="Q117" s="585"/>
      <c r="R117" s="586"/>
      <c r="T117" s="579">
        <f t="shared" si="38"/>
        <v>102.86765546218473</v>
      </c>
      <c r="U117" s="580">
        <f t="shared" si="36"/>
        <v>2.0601686495252841E-3</v>
      </c>
      <c r="V117" s="580">
        <f t="shared" si="39"/>
        <v>3.996380118317211E-2</v>
      </c>
      <c r="W117" s="585"/>
      <c r="X117" s="586"/>
    </row>
    <row r="118" spans="2:24">
      <c r="B118" s="130"/>
      <c r="C118" s="231"/>
      <c r="D118" s="543"/>
      <c r="E118" s="543"/>
      <c r="F118" s="543"/>
      <c r="H118" s="579">
        <f t="shared" si="31"/>
        <v>161.33637698577289</v>
      </c>
      <c r="I118" s="580">
        <f t="shared" si="32"/>
        <v>4.4911814094580291E-4</v>
      </c>
      <c r="J118" s="580">
        <f t="shared" si="33"/>
        <v>2.1849269939618887E-2</v>
      </c>
      <c r="K118" s="585"/>
      <c r="L118" s="586"/>
      <c r="N118" s="579">
        <f t="shared" si="37"/>
        <v>8.7420168067226918</v>
      </c>
      <c r="O118" s="580">
        <f t="shared" si="34"/>
        <v>4.6205308395895865E-2</v>
      </c>
      <c r="P118" s="580">
        <f t="shared" si="35"/>
        <v>5.3748938401379953E-2</v>
      </c>
      <c r="Q118" s="585"/>
      <c r="R118" s="586"/>
      <c r="T118" s="579">
        <f t="shared" si="38"/>
        <v>103.95110924369733</v>
      </c>
      <c r="U118" s="580">
        <f t="shared" si="36"/>
        <v>1.9480411165345381E-3</v>
      </c>
      <c r="V118" s="580">
        <f t="shared" si="39"/>
        <v>3.7792998489393881E-2</v>
      </c>
      <c r="W118" s="585"/>
      <c r="X118" s="586"/>
    </row>
    <row r="119" spans="2:24">
      <c r="B119" s="130"/>
      <c r="C119" s="231"/>
      <c r="D119" s="543"/>
      <c r="E119" s="543"/>
      <c r="F119" s="543"/>
      <c r="H119" s="579">
        <f t="shared" si="31"/>
        <v>163.01406961136567</v>
      </c>
      <c r="I119" s="580">
        <f t="shared" si="32"/>
        <v>4.3175741498405066E-4</v>
      </c>
      <c r="J119" s="580">
        <f t="shared" si="33"/>
        <v>2.1110458812588107E-2</v>
      </c>
      <c r="K119" s="585"/>
      <c r="L119" s="586"/>
      <c r="N119" s="579">
        <f t="shared" si="37"/>
        <v>8.8199327731092456</v>
      </c>
      <c r="O119" s="580">
        <f t="shared" si="34"/>
        <v>4.341788441456107E-2</v>
      </c>
      <c r="P119" s="580">
        <f t="shared" si="35"/>
        <v>5.0258373099878795E-2</v>
      </c>
      <c r="Q119" s="585"/>
      <c r="R119" s="586"/>
      <c r="T119" s="579">
        <f t="shared" si="38"/>
        <v>105.03456302520993</v>
      </c>
      <c r="U119" s="580">
        <f t="shared" si="36"/>
        <v>1.8418793821280786E-3</v>
      </c>
      <c r="V119" s="580">
        <f t="shared" si="39"/>
        <v>3.5740421743545969E-2</v>
      </c>
      <c r="W119" s="585"/>
      <c r="X119" s="586"/>
    </row>
    <row r="120" spans="2:24">
      <c r="B120" s="130"/>
      <c r="C120" s="231"/>
      <c r="D120" s="543"/>
      <c r="E120" s="543"/>
      <c r="F120" s="543"/>
      <c r="H120" s="579">
        <f t="shared" ref="H120:H141" si="40">+IF((H119+$I$21)&gt;($K$7),,H119+$I$21)</f>
        <v>164.69176223695845</v>
      </c>
      <c r="I120" s="580">
        <f t="shared" si="32"/>
        <v>4.1515098091019918E-4</v>
      </c>
      <c r="J120" s="580">
        <f t="shared" si="33"/>
        <v>2.0400135691880816E-2</v>
      </c>
      <c r="K120" s="585"/>
      <c r="L120" s="586"/>
      <c r="N120" s="579">
        <f t="shared" si="37"/>
        <v>8.8978487394957995</v>
      </c>
      <c r="O120" s="580">
        <f t="shared" si="34"/>
        <v>4.0777604601177263E-2</v>
      </c>
      <c r="P120" s="580">
        <f t="shared" si="35"/>
        <v>4.6979223879799026E-2</v>
      </c>
      <c r="Q120" s="585"/>
      <c r="R120" s="586"/>
      <c r="T120" s="579">
        <f t="shared" si="38"/>
        <v>106.11801680672254</v>
      </c>
      <c r="U120" s="580">
        <f t="shared" si="36"/>
        <v>1.7413879748054836E-3</v>
      </c>
      <c r="V120" s="580">
        <f t="shared" si="39"/>
        <v>3.3799768423735221E-2</v>
      </c>
      <c r="W120" s="585"/>
      <c r="X120" s="586"/>
    </row>
    <row r="121" spans="2:24">
      <c r="B121" s="130"/>
      <c r="C121" s="231"/>
      <c r="D121" s="543"/>
      <c r="E121" s="543"/>
      <c r="F121" s="543"/>
      <c r="H121" s="579">
        <f t="shared" si="40"/>
        <v>166.36945486255124</v>
      </c>
      <c r="I121" s="580">
        <f t="shared" si="32"/>
        <v>3.9926249228738859E-4</v>
      </c>
      <c r="J121" s="580">
        <f t="shared" si="33"/>
        <v>1.9717065872695838E-2</v>
      </c>
      <c r="K121" s="585"/>
      <c r="L121" s="586"/>
      <c r="N121" s="579">
        <f t="shared" si="37"/>
        <v>8.9757647058823533</v>
      </c>
      <c r="O121" s="580">
        <f t="shared" si="34"/>
        <v>3.8278854839272042E-2</v>
      </c>
      <c r="P121" s="580">
        <f t="shared" si="35"/>
        <v>4.3900244326890436E-2</v>
      </c>
      <c r="Q121" s="585"/>
      <c r="R121" s="586"/>
      <c r="T121" s="579">
        <f t="shared" si="38"/>
        <v>107.20147058823514</v>
      </c>
      <c r="U121" s="580">
        <f t="shared" si="36"/>
        <v>1.6462833308269126E-3</v>
      </c>
      <c r="V121" s="580">
        <f t="shared" si="39"/>
        <v>3.1965049676048851E-2</v>
      </c>
      <c r="W121" s="585"/>
      <c r="X121" s="586"/>
    </row>
    <row r="122" spans="2:24">
      <c r="B122" s="130"/>
      <c r="C122" s="231"/>
      <c r="D122" s="543"/>
      <c r="E122" s="543"/>
      <c r="F122" s="543"/>
      <c r="H122" s="579">
        <f t="shared" si="40"/>
        <v>168.04714748814402</v>
      </c>
      <c r="I122" s="580">
        <f t="shared" si="32"/>
        <v>3.8405752036997913E-4</v>
      </c>
      <c r="J122" s="580">
        <f t="shared" si="33"/>
        <v>1.9060074003956928E-2</v>
      </c>
      <c r="K122" s="585"/>
      <c r="L122" s="586"/>
      <c r="N122" s="579">
        <f t="shared" si="37"/>
        <v>9.0536806722689072</v>
      </c>
      <c r="O122" s="580">
        <f t="shared" si="34"/>
        <v>3.591600059329185E-2</v>
      </c>
      <c r="P122" s="580">
        <f t="shared" si="35"/>
        <v>4.1010626480400769E-2</v>
      </c>
      <c r="Q122" s="585"/>
      <c r="R122" s="586"/>
      <c r="T122" s="579">
        <f t="shared" si="38"/>
        <v>108.28492436974774</v>
      </c>
      <c r="U122" s="580">
        <f t="shared" si="36"/>
        <v>1.556293646842464E-3</v>
      </c>
      <c r="V122" s="580">
        <f t="shared" si="39"/>
        <v>3.0230577488336352E-2</v>
      </c>
      <c r="W122" s="585"/>
      <c r="X122" s="586"/>
    </row>
    <row r="123" spans="2:24">
      <c r="B123" s="130"/>
      <c r="C123" s="231"/>
      <c r="D123" s="543"/>
      <c r="E123" s="543"/>
      <c r="F123" s="543"/>
      <c r="H123" s="579">
        <f t="shared" si="40"/>
        <v>169.7248401137368</v>
      </c>
      <c r="I123" s="580">
        <f t="shared" si="32"/>
        <v>3.695034447319432E-4</v>
      </c>
      <c r="J123" s="580">
        <f t="shared" si="33"/>
        <v>1.8428040963723857E-2</v>
      </c>
      <c r="K123" s="585"/>
      <c r="L123" s="586"/>
      <c r="N123" s="579">
        <f t="shared" si="37"/>
        <v>9.131596638655461</v>
      </c>
      <c r="O123" s="580">
        <f t="shared" si="34"/>
        <v>3.3683419960991071E-2</v>
      </c>
      <c r="P123" s="580">
        <f t="shared" si="35"/>
        <v>3.8300001108484971E-2</v>
      </c>
      <c r="Q123" s="585"/>
      <c r="R123" s="586"/>
      <c r="T123" s="579">
        <f t="shared" si="38"/>
        <v>109.36837815126034</v>
      </c>
      <c r="U123" s="580">
        <f t="shared" si="36"/>
        <v>1.4711586864389269E-3</v>
      </c>
      <c r="V123" s="580">
        <f t="shared" si="39"/>
        <v>2.8590952049380225E-2</v>
      </c>
      <c r="W123" s="585"/>
      <c r="X123" s="586"/>
    </row>
    <row r="124" spans="2:24">
      <c r="B124" s="130"/>
      <c r="C124" s="231"/>
      <c r="D124" s="543"/>
      <c r="E124" s="543"/>
      <c r="F124" s="543"/>
      <c r="H124" s="579">
        <f t="shared" si="40"/>
        <v>171.40253273932959</v>
      </c>
      <c r="I124" s="580">
        <f t="shared" si="32"/>
        <v>3.5556935054456633E-4</v>
      </c>
      <c r="J124" s="580">
        <f t="shared" si="33"/>
        <v>1.7819900912454223E-2</v>
      </c>
      <c r="K124" s="585"/>
      <c r="L124" s="586"/>
      <c r="N124" s="579">
        <f t="shared" si="37"/>
        <v>9.2095126050420149</v>
      </c>
      <c r="O124" s="580">
        <f t="shared" si="34"/>
        <v>3.1575532586114542E-2</v>
      </c>
      <c r="P124" s="580">
        <f t="shared" si="35"/>
        <v>3.575843557163505E-2</v>
      </c>
      <c r="Q124" s="585"/>
      <c r="R124" s="586"/>
      <c r="T124" s="579">
        <f t="shared" si="38"/>
        <v>110.45183193277295</v>
      </c>
      <c r="U124" s="580">
        <f t="shared" si="36"/>
        <v>1.3906295484831333E-3</v>
      </c>
      <c r="V124" s="580">
        <f t="shared" si="39"/>
        <v>2.70410493390284E-2</v>
      </c>
      <c r="W124" s="585"/>
      <c r="X124" s="586"/>
    </row>
    <row r="125" spans="2:24">
      <c r="B125" s="130"/>
      <c r="C125" s="231"/>
      <c r="D125" s="543"/>
      <c r="E125" s="543"/>
      <c r="F125" s="543"/>
      <c r="H125" s="579">
        <f t="shared" si="40"/>
        <v>173.08022536492237</v>
      </c>
      <c r="I125" s="580">
        <f t="shared" si="32"/>
        <v>3.4222593207980091E-4</v>
      </c>
      <c r="J125" s="580">
        <f t="shared" si="33"/>
        <v>1.7234638513324629E-2</v>
      </c>
      <c r="K125" s="585"/>
      <c r="L125" s="586"/>
      <c r="N125" s="579">
        <f t="shared" si="37"/>
        <v>9.2874285714285687</v>
      </c>
      <c r="O125" s="580">
        <f t="shared" si="34"/>
        <v>2.958682474476286E-2</v>
      </c>
      <c r="P125" s="580">
        <f t="shared" si="35"/>
        <v>3.3376429584429212E-2</v>
      </c>
      <c r="Q125" s="585"/>
      <c r="R125" s="586"/>
      <c r="T125" s="579">
        <f t="shared" si="38"/>
        <v>111.53528571428555</v>
      </c>
      <c r="U125" s="580">
        <f t="shared" si="36"/>
        <v>1.314468404228743E-3</v>
      </c>
      <c r="V125" s="580">
        <f t="shared" si="39"/>
        <v>2.5576008986829435E-2</v>
      </c>
      <c r="W125" s="585"/>
      <c r="X125" s="586"/>
    </row>
    <row r="126" spans="2:24">
      <c r="H126" s="579">
        <f t="shared" si="40"/>
        <v>174.75791799051515</v>
      </c>
      <c r="I126" s="580">
        <f t="shared" si="32"/>
        <v>3.2944540204319869E-4</v>
      </c>
      <c r="J126" s="580">
        <f t="shared" si="33"/>
        <v>1.6671286309497657E-2</v>
      </c>
      <c r="K126" s="585"/>
      <c r="L126" s="586"/>
      <c r="N126" s="579">
        <f t="shared" si="37"/>
        <v>9.3653445378151225</v>
      </c>
      <c r="O126" s="580">
        <f t="shared" si="34"/>
        <v>2.7711870911042161E-2</v>
      </c>
      <c r="P126" s="580">
        <f t="shared" si="35"/>
        <v>3.1144909161764711E-2</v>
      </c>
      <c r="Q126" s="585"/>
      <c r="R126" s="586"/>
      <c r="T126" s="579">
        <f t="shared" si="38"/>
        <v>112.61873949579815</v>
      </c>
      <c r="U126" s="580">
        <f t="shared" si="36"/>
        <v>1.242448209326749E-3</v>
      </c>
      <c r="V126" s="580">
        <f t="shared" si="39"/>
        <v>2.4191222429613135E-2</v>
      </c>
      <c r="W126" s="585"/>
      <c r="X126" s="586"/>
    </row>
    <row r="127" spans="2:24">
      <c r="H127" s="579">
        <f t="shared" si="40"/>
        <v>176.43561061610794</v>
      </c>
      <c r="I127" s="580">
        <f t="shared" si="32"/>
        <v>3.1720140636623252E-4</v>
      </c>
      <c r="J127" s="580">
        <f t="shared" si="33"/>
        <v>1.6128922248871636E-2</v>
      </c>
      <c r="K127" s="585"/>
      <c r="L127" s="586"/>
      <c r="N127" s="579">
        <f t="shared" si="37"/>
        <v>9.4432605042016764</v>
      </c>
      <c r="O127" s="580">
        <f t="shared" si="34"/>
        <v>2.5945352097533736E-2</v>
      </c>
      <c r="P127" s="580">
        <f t="shared" si="35"/>
        <v>2.9055219012312894E-2</v>
      </c>
      <c r="Q127" s="585"/>
      <c r="R127" s="586"/>
      <c r="T127" s="579">
        <f t="shared" si="38"/>
        <v>113.70219327731076</v>
      </c>
      <c r="U127" s="580">
        <f t="shared" si="36"/>
        <v>1.17435239613452E-3</v>
      </c>
      <c r="V127" s="580">
        <f t="shared" si="39"/>
        <v>2.2882321392224458E-2</v>
      </c>
      <c r="W127" s="585"/>
      <c r="X127" s="586"/>
    </row>
    <row r="128" spans="2:24">
      <c r="H128" s="579">
        <f t="shared" si="40"/>
        <v>178.11330324170072</v>
      </c>
      <c r="I128" s="580">
        <f t="shared" si="32"/>
        <v>3.0546894411200188E-4</v>
      </c>
      <c r="J128" s="580">
        <f t="shared" si="33"/>
        <v>1.5606667347447423E-2</v>
      </c>
      <c r="K128" s="585"/>
      <c r="L128" s="586"/>
      <c r="N128" s="579">
        <f t="shared" si="37"/>
        <v>9.5211764705882302</v>
      </c>
      <c r="O128" s="580">
        <f t="shared" si="34"/>
        <v>2.428207125428376E-2</v>
      </c>
      <c r="P128" s="580">
        <f t="shared" si="35"/>
        <v>2.7099113619353354E-2</v>
      </c>
      <c r="Q128" s="585"/>
      <c r="R128" s="586"/>
      <c r="T128" s="579">
        <f t="shared" si="38"/>
        <v>114.78564705882336</v>
      </c>
      <c r="U128" s="580">
        <f t="shared" si="36"/>
        <v>1.1099745510461912E-3</v>
      </c>
      <c r="V128" s="580">
        <f t="shared" si="39"/>
        <v>2.1645166710138386E-2</v>
      </c>
      <c r="W128" s="585"/>
      <c r="X128" s="586"/>
    </row>
    <row r="129" spans="8:24">
      <c r="H129" s="579">
        <f t="shared" si="40"/>
        <v>179.7909958672935</v>
      </c>
      <c r="I129" s="580">
        <f t="shared" si="32"/>
        <v>2.9422429217089104E-4</v>
      </c>
      <c r="J129" s="580">
        <f t="shared" si="33"/>
        <v>1.5103683483005281E-2</v>
      </c>
      <c r="K129" s="585"/>
      <c r="L129" s="586"/>
      <c r="N129" s="579">
        <f t="shared" si="37"/>
        <v>9.5990924369747841</v>
      </c>
      <c r="O129" s="580">
        <f t="shared" si="34"/>
        <v>2.2716965996870855E-2</v>
      </c>
      <c r="P129" s="580">
        <f t="shared" si="35"/>
        <v>2.526874722754513E-2</v>
      </c>
      <c r="Q129" s="585"/>
      <c r="R129" s="586"/>
      <c r="T129" s="579">
        <f t="shared" si="38"/>
        <v>115.86910084033596</v>
      </c>
      <c r="U129" s="580">
        <f t="shared" si="36"/>
        <v>1.0491180809631931E-3</v>
      </c>
      <c r="V129" s="580">
        <f t="shared" si="39"/>
        <v>2.0475837507901162E-2</v>
      </c>
      <c r="W129" s="585"/>
      <c r="X129" s="586"/>
    </row>
    <row r="130" spans="8:24">
      <c r="H130" s="579">
        <f t="shared" si="40"/>
        <v>181.46868849288629</v>
      </c>
      <c r="I130" s="580">
        <f t="shared" si="32"/>
        <v>2.8344493444396675E-4</v>
      </c>
      <c r="J130" s="580">
        <f t="shared" si="33"/>
        <v>1.4619171311315515E-2</v>
      </c>
      <c r="K130" s="585"/>
      <c r="L130" s="586"/>
      <c r="N130" s="579">
        <f t="shared" si="37"/>
        <v>9.6770084033613379</v>
      </c>
      <c r="O130" s="580">
        <f t="shared" si="34"/>
        <v>2.1245118920035343E-2</v>
      </c>
      <c r="P130" s="580">
        <f t="shared" si="35"/>
        <v>2.3556662933660433E-2</v>
      </c>
      <c r="Q130" s="585"/>
      <c r="R130" s="586"/>
      <c r="T130" s="579">
        <f t="shared" si="38"/>
        <v>116.95255462184856</v>
      </c>
      <c r="U130" s="580">
        <f t="shared" si="36"/>
        <v>9.9159587248241212E-4</v>
      </c>
      <c r="V130" s="580">
        <f t="shared" si="39"/>
        <v>1.9370620743181299E-2</v>
      </c>
      <c r="W130" s="585"/>
      <c r="X130" s="586"/>
    </row>
    <row r="131" spans="8:24">
      <c r="H131" s="579">
        <f t="shared" si="40"/>
        <v>183.14638111847907</v>
      </c>
      <c r="I131" s="580">
        <f t="shared" si="32"/>
        <v>2.7310949523159592E-4</v>
      </c>
      <c r="J131" s="580">
        <f t="shared" si="33"/>
        <v>1.4152368297591034E-2</v>
      </c>
      <c r="K131" s="585"/>
      <c r="L131" s="586"/>
      <c r="N131" s="579">
        <f t="shared" si="37"/>
        <v>9.7549243697478918</v>
      </c>
      <c r="O131" s="580">
        <f t="shared" si="34"/>
        <v>1.986176573868273E-2</v>
      </c>
      <c r="P131" s="580">
        <f t="shared" si="35"/>
        <v>2.1955781059882606E-2</v>
      </c>
      <c r="Q131" s="585"/>
      <c r="R131" s="586"/>
      <c r="T131" s="579">
        <f t="shared" si="38"/>
        <v>118.03600840336117</v>
      </c>
      <c r="U131" s="580">
        <f t="shared" si="36"/>
        <v>9.3722994689437794E-4</v>
      </c>
      <c r="V131" s="580">
        <f t="shared" si="39"/>
        <v>1.8326001122603186E-2</v>
      </c>
      <c r="W131" s="585"/>
      <c r="X131" s="586"/>
    </row>
    <row r="132" spans="8:24">
      <c r="H132" s="579">
        <f t="shared" si="40"/>
        <v>184.82407374407185</v>
      </c>
      <c r="I132" s="580">
        <f t="shared" si="32"/>
        <v>2.6319767656325042E-4</v>
      </c>
      <c r="J132" s="580">
        <f t="shared" si="33"/>
        <v>1.3702546856352082E-2</v>
      </c>
      <c r="K132" s="585"/>
      <c r="L132" s="586"/>
      <c r="N132" s="579">
        <f t="shared" si="37"/>
        <v>9.8328403361344456</v>
      </c>
      <c r="O132" s="580">
        <f t="shared" si="34"/>
        <v>1.8562301483090696E-2</v>
      </c>
      <c r="P132" s="580">
        <f t="shared" si="35"/>
        <v>2.0459386970019811E-2</v>
      </c>
      <c r="Q132" s="585"/>
      <c r="R132" s="586"/>
      <c r="T132" s="579">
        <f t="shared" si="38"/>
        <v>119.11946218487377</v>
      </c>
      <c r="U132" s="580">
        <f t="shared" si="36"/>
        <v>8.8585111365140458E-4</v>
      </c>
      <c r="V132" s="580">
        <f t="shared" si="39"/>
        <v>1.7338651392425075E-2</v>
      </c>
      <c r="W132" s="585"/>
      <c r="X132" s="586"/>
    </row>
    <row r="133" spans="8:24">
      <c r="H133" s="579">
        <f t="shared" si="40"/>
        <v>186.50176636966464</v>
      </c>
      <c r="I133" s="580">
        <f t="shared" si="32"/>
        <v>2.5369019922170618E-4</v>
      </c>
      <c r="J133" s="580">
        <f t="shared" si="33"/>
        <v>1.3269012593299045E-2</v>
      </c>
      <c r="K133" s="585"/>
      <c r="L133" s="586"/>
      <c r="N133" s="579">
        <f t="shared" si="37"/>
        <v>9.9107563025209995</v>
      </c>
      <c r="O133" s="580">
        <f t="shared" si="34"/>
        <v>1.7342284960085025E-2</v>
      </c>
      <c r="P133" s="580">
        <f t="shared" si="35"/>
        <v>1.9061118471892402E-2</v>
      </c>
      <c r="Q133" s="585"/>
      <c r="R133" s="586"/>
      <c r="T133" s="579">
        <f t="shared" si="38"/>
        <v>120.20291596638637</v>
      </c>
      <c r="U133" s="580">
        <f t="shared" si="36"/>
        <v>8.3729862457966554E-4</v>
      </c>
      <c r="V133" s="580">
        <f t="shared" si="39"/>
        <v>1.6405423004453357E-2</v>
      </c>
      <c r="W133" s="585"/>
      <c r="X133" s="586"/>
    </row>
    <row r="134" spans="8:24">
      <c r="H134" s="579">
        <f t="shared" si="40"/>
        <v>188.17945899525742</v>
      </c>
      <c r="I134" s="580">
        <f t="shared" si="32"/>
        <v>2.4456874723092462E-4</v>
      </c>
      <c r="J134" s="580">
        <f t="shared" si="33"/>
        <v>1.2851102643193224E-2</v>
      </c>
      <c r="K134" s="585"/>
      <c r="L134" s="586"/>
      <c r="N134" s="579">
        <f t="shared" si="37"/>
        <v>9.9886722689075533</v>
      </c>
      <c r="O134" s="580">
        <f t="shared" si="34"/>
        <v>1.6197441676997944E-2</v>
      </c>
      <c r="P134" s="580">
        <f t="shared" si="35"/>
        <v>1.7754952933241364E-2</v>
      </c>
      <c r="Q134" s="585"/>
      <c r="R134" s="586"/>
      <c r="T134" s="579">
        <f t="shared" si="38"/>
        <v>121.28636974789897</v>
      </c>
      <c r="U134" s="580">
        <f t="shared" si="36"/>
        <v>7.9141983076669656E-4</v>
      </c>
      <c r="V134" s="580">
        <f t="shared" si="39"/>
        <v>1.5523337155314954E-2</v>
      </c>
      <c r="W134" s="585"/>
      <c r="X134" s="586"/>
    </row>
    <row r="135" spans="8:24">
      <c r="H135" s="579">
        <f t="shared" si="40"/>
        <v>189.8571516208502</v>
      </c>
      <c r="I135" s="580">
        <f t="shared" si="32"/>
        <v>2.3581591559194986E-4</v>
      </c>
      <c r="J135" s="580">
        <f t="shared" si="33"/>
        <v>1.2448184098115211E-2</v>
      </c>
      <c r="K135" s="585"/>
      <c r="L135" s="586"/>
      <c r="N135" s="579">
        <f t="shared" si="37"/>
        <v>10.066588235294107</v>
      </c>
      <c r="O135" s="580">
        <f t="shared" si="34"/>
        <v>1.5123665410551429E-2</v>
      </c>
      <c r="P135" s="580">
        <f t="shared" si="35"/>
        <v>1.653519422373928E-2</v>
      </c>
      <c r="Q135" s="585"/>
      <c r="R135" s="586"/>
      <c r="T135" s="579">
        <f t="shared" si="38"/>
        <v>122.36982352941158</v>
      </c>
      <c r="U135" s="580">
        <f t="shared" si="36"/>
        <v>7.4806984375144997E-4</v>
      </c>
      <c r="V135" s="580">
        <f t="shared" si="39"/>
        <v>1.4689576195277221E-2</v>
      </c>
      <c r="W135" s="585"/>
      <c r="X135" s="586"/>
    </row>
    <row r="136" spans="8:24">
      <c r="H136" s="579">
        <f t="shared" si="40"/>
        <v>191.53484424644299</v>
      </c>
      <c r="I136" s="580">
        <f t="shared" si="32"/>
        <v>2.2741516106517299E-4</v>
      </c>
      <c r="J136" s="580">
        <f t="shared" si="33"/>
        <v>1.2059652520823527E-2</v>
      </c>
      <c r="K136" s="585"/>
      <c r="L136" s="586"/>
      <c r="N136" s="579">
        <f t="shared" si="37"/>
        <v>10.144504201680661</v>
      </c>
      <c r="O136" s="580">
        <f t="shared" si="34"/>
        <v>1.4117018588532248E-2</v>
      </c>
      <c r="P136" s="580">
        <f t="shared" si="35"/>
        <v>1.5396459582057376E-2</v>
      </c>
      <c r="Q136" s="585"/>
      <c r="R136" s="586"/>
      <c r="T136" s="579">
        <f t="shared" si="38"/>
        <v>123.45327731092418</v>
      </c>
      <c r="U136" s="580">
        <f t="shared" si="36"/>
        <v>7.0711120237543343E-4</v>
      </c>
      <c r="V136" s="580">
        <f t="shared" si="39"/>
        <v>1.390147540119957E-2</v>
      </c>
      <c r="W136" s="585"/>
      <c r="X136" s="586"/>
    </row>
    <row r="137" spans="8:24">
      <c r="H137" s="579">
        <f t="shared" si="40"/>
        <v>193.21253687203577</v>
      </c>
      <c r="I137" s="580">
        <f t="shared" si="32"/>
        <v>2.1935075581040896E-4</v>
      </c>
      <c r="J137" s="580">
        <f t="shared" si="33"/>
        <v>1.1684930538263472E-2</v>
      </c>
      <c r="K137" s="585"/>
      <c r="L137" s="586"/>
      <c r="N137" s="579">
        <f t="shared" si="37"/>
        <v>10.222420168067215</v>
      </c>
      <c r="O137" s="580">
        <f t="shared" si="34"/>
        <v>1.3173731638354093E-2</v>
      </c>
      <c r="P137" s="580">
        <f t="shared" si="35"/>
        <v>1.4333666494397934E-2</v>
      </c>
      <c r="Q137" s="585"/>
      <c r="R137" s="586"/>
      <c r="T137" s="579">
        <f t="shared" si="38"/>
        <v>124.53673109243678</v>
      </c>
      <c r="U137" s="580">
        <f t="shared" si="36"/>
        <v>6.6841354641574346E-4</v>
      </c>
      <c r="V137" s="580">
        <f t="shared" si="39"/>
        <v>1.315651510685234E-2</v>
      </c>
      <c r="W137" s="585"/>
      <c r="X137" s="586"/>
    </row>
    <row r="138" spans="8:24">
      <c r="H138" s="579">
        <f t="shared" si="40"/>
        <v>194.89022949762855</v>
      </c>
      <c r="I138" s="580">
        <f t="shared" si="32"/>
        <v>2.1160774370847528E-4</v>
      </c>
      <c r="J138" s="580">
        <f t="shared" si="33"/>
        <v>1.1323466510579916E-2</v>
      </c>
      <c r="K138" s="585"/>
      <c r="L138" s="586"/>
      <c r="N138" s="579">
        <f t="shared" si="37"/>
        <v>10.300336134453769</v>
      </c>
      <c r="O138" s="580">
        <f t="shared" si="34"/>
        <v>1.2290201443410177E-2</v>
      </c>
      <c r="P138" s="580">
        <f t="shared" si="35"/>
        <v>1.3342019659416282E-2</v>
      </c>
      <c r="Q138" s="585"/>
      <c r="R138" s="586"/>
      <c r="T138" s="579">
        <f t="shared" si="38"/>
        <v>125.62018487394938</v>
      </c>
      <c r="U138" s="580">
        <f t="shared" si="36"/>
        <v>6.3185329791228917E-4</v>
      </c>
      <c r="V138" s="580">
        <f t="shared" si="39"/>
        <v>1.2452313182745423E-2</v>
      </c>
      <c r="W138" s="585"/>
      <c r="X138" s="586"/>
    </row>
    <row r="139" spans="8:24">
      <c r="H139" s="579">
        <f t="shared" si="40"/>
        <v>196.56792212322134</v>
      </c>
      <c r="I139" s="580">
        <f t="shared" si="32"/>
        <v>2.0417189919933176E-4</v>
      </c>
      <c r="J139" s="580">
        <f t="shared" si="33"/>
        <v>1.0974733271275849E-2</v>
      </c>
      <c r="K139" s="585"/>
      <c r="L139" s="586"/>
      <c r="N139" s="579">
        <f t="shared" si="37"/>
        <v>10.378252100840323</v>
      </c>
      <c r="O139" s="580">
        <f t="shared" si="34"/>
        <v>1.1462989035554814E-2</v>
      </c>
      <c r="P139" s="580">
        <f t="shared" si="35"/>
        <v>1.2416998103971455E-2</v>
      </c>
      <c r="Q139" s="585"/>
      <c r="R139" s="586"/>
      <c r="T139" s="579">
        <f t="shared" si="38"/>
        <v>126.70363865546199</v>
      </c>
      <c r="U139" s="580">
        <f t="shared" si="36"/>
        <v>5.9731335091793157E-4</v>
      </c>
      <c r="V139" s="580">
        <f t="shared" si="39"/>
        <v>1.1786617856719528E-2</v>
      </c>
      <c r="W139" s="585"/>
      <c r="X139" s="586"/>
    </row>
    <row r="140" spans="8:24">
      <c r="H140" s="579">
        <f t="shared" si="40"/>
        <v>198.24561474881412</v>
      </c>
      <c r="I140" s="580">
        <f t="shared" si="32"/>
        <v>1.9702968848253611E-4</v>
      </c>
      <c r="J140" s="580">
        <f t="shared" si="33"/>
        <v>1.0638226934425732E-2</v>
      </c>
      <c r="K140" s="585"/>
      <c r="L140" s="586"/>
      <c r="N140" s="579">
        <f t="shared" si="37"/>
        <v>10.456168067226876</v>
      </c>
      <c r="O140" s="580">
        <f t="shared" si="34"/>
        <v>1.0688816640162909E-2</v>
      </c>
      <c r="P140" s="580">
        <f t="shared" si="35"/>
        <v>1.1554342504608406E-2</v>
      </c>
      <c r="Q140" s="585"/>
      <c r="R140" s="586"/>
      <c r="T140" s="579">
        <f t="shared" si="38"/>
        <v>127.78709243697459</v>
      </c>
      <c r="U140" s="580">
        <f t="shared" si="36"/>
        <v>5.6468277024012824E-4</v>
      </c>
      <c r="V140" s="580">
        <f t="shared" si="39"/>
        <v>1.1157300865851982E-2</v>
      </c>
      <c r="W140" s="585"/>
      <c r="X140" s="586"/>
    </row>
    <row r="141" spans="8:24">
      <c r="H141" s="581">
        <f t="shared" si="40"/>
        <v>199.9233073744069</v>
      </c>
      <c r="I141" s="582">
        <f t="shared" si="32"/>
        <v>1.9016823293566251E-4</v>
      </c>
      <c r="J141" s="582">
        <f t="shared" si="33"/>
        <v>1.0313465765102281E-2</v>
      </c>
      <c r="K141" s="590"/>
      <c r="L141" s="591"/>
      <c r="N141" s="581">
        <f t="shared" si="37"/>
        <v>10.53408403361343</v>
      </c>
      <c r="O141" s="582">
        <f t="shared" si="34"/>
        <v>9.9645641790160073E-3</v>
      </c>
      <c r="P141" s="582">
        <f t="shared" si="35"/>
        <v>1.0750042761049849E-2</v>
      </c>
      <c r="Q141" s="590"/>
      <c r="R141" s="591"/>
      <c r="T141" s="579">
        <f t="shared" si="38"/>
        <v>128.87054621848719</v>
      </c>
      <c r="U141" s="582">
        <f t="shared" si="36"/>
        <v>5.338564996028055E-4</v>
      </c>
      <c r="V141" s="582">
        <f t="shared" si="39"/>
        <v>1.0562350929692821E-2</v>
      </c>
      <c r="W141" s="590"/>
      <c r="X141" s="591"/>
    </row>
  </sheetData>
  <mergeCells count="2">
    <mergeCell ref="R5:S5"/>
    <mergeCell ref="T5:W5"/>
  </mergeCells>
  <pageMargins left="0.7" right="0.7" top="0.75" bottom="0.75" header="0.3" footer="0.3"/>
  <pageSetup orientation="portrait" horizontalDpi="300" verticalDpi="120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
  <sheetViews>
    <sheetView workbookViewId="0">
      <selection activeCell="D12" sqref="D12"/>
    </sheetView>
  </sheetViews>
  <sheetFormatPr defaultRowHeight="15"/>
  <cols>
    <col min="1" max="7" width="36.7109375" customWidth="1"/>
  </cols>
  <sheetData>
    <row r="1" spans="1:7">
      <c r="A1" s="47" t="s">
        <v>65</v>
      </c>
    </row>
    <row r="3" spans="1:7">
      <c r="A3" t="s">
        <v>66</v>
      </c>
      <c r="B3" t="s">
        <v>67</v>
      </c>
      <c r="C3">
        <v>0</v>
      </c>
    </row>
    <row r="4" spans="1:7">
      <c r="A4" t="s">
        <v>68</v>
      </c>
    </row>
    <row r="5" spans="1:7">
      <c r="A5" t="s">
        <v>69</v>
      </c>
    </row>
    <row r="7" spans="1:7">
      <c r="A7" s="47" t="s">
        <v>70</v>
      </c>
      <c r="B7" t="s">
        <v>71</v>
      </c>
    </row>
    <row r="8" spans="1:7">
      <c r="B8">
        <v>7</v>
      </c>
    </row>
    <row r="10" spans="1:7">
      <c r="A10" t="s">
        <v>72</v>
      </c>
    </row>
    <row r="11" spans="1:7">
      <c r="A11" t="e">
        <f>CB_DATA_!#REF!</f>
        <v>#REF!</v>
      </c>
      <c r="B11" t="e">
        <f>Forecast_Variables_CB!#REF!</f>
        <v>#REF!</v>
      </c>
      <c r="C11" t="e">
        <f>Input_Data!#REF!</f>
        <v>#REF!</v>
      </c>
      <c r="D11" t="e">
        <f>'PHI_Sw Corr'!#REF!</f>
        <v>#REF!</v>
      </c>
      <c r="F11" t="e">
        <f>'PHI_Sw Corr'!#REF!</f>
        <v>#REF!</v>
      </c>
      <c r="G11" t="e">
        <f>Input_Data!#REF!</f>
        <v>#REF!</v>
      </c>
    </row>
    <row r="13" spans="1:7">
      <c r="A13" t="s">
        <v>73</v>
      </c>
    </row>
    <row r="14" spans="1:7">
      <c r="A14" t="s">
        <v>81</v>
      </c>
      <c r="B14" s="48" t="s">
        <v>77</v>
      </c>
      <c r="C14" t="s">
        <v>83</v>
      </c>
      <c r="D14" t="s">
        <v>217</v>
      </c>
      <c r="E14" s="48" t="s">
        <v>77</v>
      </c>
      <c r="F14" s="48" t="s">
        <v>217</v>
      </c>
      <c r="G14" s="48" t="s">
        <v>83</v>
      </c>
    </row>
    <row r="16" spans="1:7">
      <c r="A16" t="s">
        <v>74</v>
      </c>
    </row>
    <row r="17" spans="1:7">
      <c r="E17">
        <v>2</v>
      </c>
    </row>
    <row r="19" spans="1:7">
      <c r="A19" t="s">
        <v>75</v>
      </c>
    </row>
    <row r="20" spans="1:7">
      <c r="A20">
        <v>34</v>
      </c>
      <c r="B20">
        <v>31</v>
      </c>
      <c r="C20">
        <v>31</v>
      </c>
      <c r="D20">
        <v>26</v>
      </c>
      <c r="E20">
        <v>31</v>
      </c>
      <c r="F20">
        <v>26</v>
      </c>
      <c r="G20">
        <v>31</v>
      </c>
    </row>
    <row r="25" spans="1:7">
      <c r="A25" s="47" t="s">
        <v>76</v>
      </c>
    </row>
    <row r="26" spans="1:7">
      <c r="A26" s="48" t="s">
        <v>80</v>
      </c>
      <c r="B26" s="48" t="s">
        <v>78</v>
      </c>
      <c r="C26" s="48" t="s">
        <v>78</v>
      </c>
      <c r="E26" s="48" t="s">
        <v>78</v>
      </c>
      <c r="G26" s="48" t="s">
        <v>78</v>
      </c>
    </row>
    <row r="27" spans="1:7">
      <c r="A27" t="s">
        <v>293</v>
      </c>
      <c r="B27" t="s">
        <v>298</v>
      </c>
      <c r="C27" t="s">
        <v>297</v>
      </c>
      <c r="E27" t="s">
        <v>292</v>
      </c>
      <c r="G27" t="s">
        <v>291</v>
      </c>
    </row>
    <row r="28" spans="1:7">
      <c r="A28" s="48" t="s">
        <v>79</v>
      </c>
      <c r="B28" s="48" t="s">
        <v>79</v>
      </c>
      <c r="C28" s="48" t="s">
        <v>79</v>
      </c>
      <c r="E28" s="48" t="s">
        <v>79</v>
      </c>
      <c r="G28" s="48" t="s">
        <v>79</v>
      </c>
    </row>
    <row r="29" spans="1:7">
      <c r="A29" s="48" t="s">
        <v>213</v>
      </c>
      <c r="B29" s="48" t="s">
        <v>80</v>
      </c>
      <c r="C29" s="48" t="s">
        <v>80</v>
      </c>
      <c r="E29" s="48" t="s">
        <v>80</v>
      </c>
      <c r="G29" s="48" t="s">
        <v>80</v>
      </c>
    </row>
    <row r="30" spans="1:7">
      <c r="A30" t="s">
        <v>299</v>
      </c>
      <c r="B30" t="s">
        <v>295</v>
      </c>
      <c r="C30" t="s">
        <v>294</v>
      </c>
      <c r="E30" t="s">
        <v>237</v>
      </c>
      <c r="G30" t="s">
        <v>236</v>
      </c>
    </row>
    <row r="31" spans="1:7">
      <c r="A31" s="48" t="s">
        <v>79</v>
      </c>
      <c r="B31" s="48" t="s">
        <v>79</v>
      </c>
      <c r="C31" s="48" t="s">
        <v>79</v>
      </c>
      <c r="E31" s="48" t="s">
        <v>79</v>
      </c>
      <c r="G31" s="48" t="s">
        <v>79</v>
      </c>
    </row>
    <row r="32" spans="1:7">
      <c r="A32" s="48" t="s">
        <v>214</v>
      </c>
    </row>
    <row r="33" spans="1:1">
      <c r="A33" t="s">
        <v>300</v>
      </c>
    </row>
    <row r="34" spans="1:1">
      <c r="A34" s="48" t="s">
        <v>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39997558519241921"/>
  </sheetPr>
  <dimension ref="B4:S210"/>
  <sheetViews>
    <sheetView showGridLines="0" workbookViewId="0">
      <selection activeCell="C17" sqref="C17"/>
    </sheetView>
  </sheetViews>
  <sheetFormatPr defaultRowHeight="15"/>
  <cols>
    <col min="2" max="2" width="8.7109375" style="234" customWidth="1"/>
    <col min="3" max="3" width="13.42578125" style="234" customWidth="1"/>
    <col min="4" max="4" width="13.42578125" customWidth="1"/>
    <col min="5" max="5" width="3.28515625" customWidth="1"/>
    <col min="6" max="8" width="19.28515625" customWidth="1"/>
    <col min="9" max="12" width="15.7109375" customWidth="1"/>
    <col min="13" max="13" width="4.140625" customWidth="1"/>
    <col min="14" max="15" width="9.140625" style="237"/>
  </cols>
  <sheetData>
    <row r="4" spans="2:19">
      <c r="O4" s="238"/>
    </row>
    <row r="5" spans="2:19">
      <c r="B5" s="241" t="s">
        <v>218</v>
      </c>
      <c r="C5" s="242"/>
      <c r="D5" s="244">
        <v>0.8</v>
      </c>
      <c r="O5" s="238"/>
      <c r="S5" s="236"/>
    </row>
    <row r="6" spans="2:19">
      <c r="B6" s="232"/>
      <c r="C6" s="232"/>
      <c r="O6" s="240">
        <v>1.5999999999999996</v>
      </c>
      <c r="S6" s="236"/>
    </row>
    <row r="7" spans="2:19">
      <c r="B7" s="233"/>
      <c r="C7" s="233" t="s">
        <v>106</v>
      </c>
      <c r="D7" s="233" t="s">
        <v>21</v>
      </c>
      <c r="N7" s="233"/>
      <c r="O7" s="233" t="s">
        <v>21</v>
      </c>
      <c r="P7" s="233" t="s">
        <v>106</v>
      </c>
      <c r="S7" s="236"/>
    </row>
    <row r="8" spans="2:19">
      <c r="B8" s="233" t="s">
        <v>10</v>
      </c>
      <c r="C8" s="233" t="s">
        <v>107</v>
      </c>
      <c r="D8" s="233" t="s">
        <v>107</v>
      </c>
      <c r="N8" s="233" t="s">
        <v>10</v>
      </c>
      <c r="O8" s="233" t="s">
        <v>107</v>
      </c>
      <c r="P8" s="233" t="s">
        <v>107</v>
      </c>
      <c r="S8" s="236"/>
    </row>
    <row r="9" spans="2:19">
      <c r="B9" s="145" t="s">
        <v>137</v>
      </c>
      <c r="C9" s="145" t="s">
        <v>137</v>
      </c>
      <c r="D9" s="145" t="s">
        <v>137</v>
      </c>
      <c r="N9" s="145" t="s">
        <v>137</v>
      </c>
      <c r="O9" s="145" t="s">
        <v>137</v>
      </c>
      <c r="P9" s="145" t="s">
        <v>137</v>
      </c>
      <c r="S9" s="236"/>
    </row>
    <row r="10" spans="2:19">
      <c r="B10" s="239">
        <v>0</v>
      </c>
      <c r="C10" s="239">
        <v>100</v>
      </c>
      <c r="D10" s="238">
        <f>100-C10</f>
        <v>0</v>
      </c>
      <c r="N10" s="238">
        <v>0</v>
      </c>
      <c r="O10" s="238"/>
      <c r="P10" s="235"/>
      <c r="S10" s="236"/>
    </row>
    <row r="11" spans="2:19">
      <c r="B11" s="239">
        <v>0.5</v>
      </c>
      <c r="C11" s="239">
        <v>99.5</v>
      </c>
      <c r="D11" s="238">
        <f t="shared" ref="D11:D40" si="0">100-C11</f>
        <v>0.5</v>
      </c>
      <c r="N11" s="238">
        <v>0.25</v>
      </c>
      <c r="O11" s="238">
        <v>0.5</v>
      </c>
      <c r="P11" s="235">
        <v>99.5</v>
      </c>
      <c r="S11" s="236"/>
    </row>
    <row r="12" spans="2:19">
      <c r="B12" s="239">
        <v>1</v>
      </c>
      <c r="C12" s="239">
        <v>99</v>
      </c>
      <c r="D12" s="238">
        <f t="shared" si="0"/>
        <v>1</v>
      </c>
      <c r="N12" s="238">
        <v>0.5</v>
      </c>
      <c r="O12" s="238">
        <v>1</v>
      </c>
      <c r="P12" s="235">
        <v>99</v>
      </c>
      <c r="S12" s="236"/>
    </row>
    <row r="13" spans="2:19">
      <c r="B13" s="239">
        <v>1.5</v>
      </c>
      <c r="C13" s="239">
        <v>94.5</v>
      </c>
      <c r="D13" s="238">
        <f t="shared" si="0"/>
        <v>5.5</v>
      </c>
      <c r="N13" s="238">
        <v>0.75</v>
      </c>
      <c r="O13" s="238">
        <v>1.5</v>
      </c>
      <c r="P13" s="235">
        <v>98.5</v>
      </c>
      <c r="S13" s="236"/>
    </row>
    <row r="14" spans="2:19">
      <c r="B14" s="239">
        <v>2</v>
      </c>
      <c r="C14" s="239">
        <v>90</v>
      </c>
      <c r="D14" s="238">
        <f t="shared" si="0"/>
        <v>10</v>
      </c>
      <c r="N14" s="238">
        <v>1</v>
      </c>
      <c r="O14" s="238">
        <v>0.40000000000000036</v>
      </c>
      <c r="P14" s="235">
        <v>99.6</v>
      </c>
      <c r="S14" s="236"/>
    </row>
    <row r="15" spans="2:19">
      <c r="B15" s="239">
        <v>2.5</v>
      </c>
      <c r="C15" s="239">
        <v>97.5</v>
      </c>
      <c r="D15" s="238">
        <f t="shared" si="0"/>
        <v>2.5</v>
      </c>
      <c r="N15" s="238">
        <v>1.25</v>
      </c>
      <c r="O15" s="238">
        <v>0.90000000000000036</v>
      </c>
      <c r="P15" s="235">
        <v>99.1</v>
      </c>
      <c r="S15" s="236"/>
    </row>
    <row r="16" spans="2:19">
      <c r="B16" s="239">
        <v>3</v>
      </c>
      <c r="C16" s="239">
        <v>89</v>
      </c>
      <c r="D16" s="238">
        <f t="shared" si="0"/>
        <v>11</v>
      </c>
      <c r="N16" s="238">
        <v>1.5</v>
      </c>
      <c r="O16" s="238">
        <v>4.5999999999999996</v>
      </c>
      <c r="P16" s="235">
        <v>95.4</v>
      </c>
      <c r="S16" s="236"/>
    </row>
    <row r="17" spans="2:16">
      <c r="B17" s="239">
        <v>3.5</v>
      </c>
      <c r="C17" s="239">
        <v>88.5</v>
      </c>
      <c r="D17" s="238">
        <f t="shared" si="0"/>
        <v>11.5</v>
      </c>
      <c r="N17" s="238">
        <v>1.75</v>
      </c>
      <c r="O17" s="238">
        <v>5.0999999999999996</v>
      </c>
      <c r="P17" s="235">
        <v>94.9</v>
      </c>
    </row>
    <row r="18" spans="2:16">
      <c r="B18" s="239">
        <v>4</v>
      </c>
      <c r="C18" s="239">
        <v>80</v>
      </c>
      <c r="D18" s="238">
        <f t="shared" si="0"/>
        <v>20</v>
      </c>
      <c r="N18" s="238">
        <v>2</v>
      </c>
      <c r="O18" s="238">
        <v>7.1999999999999993</v>
      </c>
      <c r="P18" s="235">
        <v>92.8</v>
      </c>
    </row>
    <row r="19" spans="2:16">
      <c r="B19" s="239">
        <v>4.5</v>
      </c>
      <c r="C19" s="239">
        <v>83.5</v>
      </c>
      <c r="D19" s="238">
        <f t="shared" si="0"/>
        <v>16.5</v>
      </c>
      <c r="N19" s="238">
        <v>2.25</v>
      </c>
      <c r="O19" s="238">
        <v>1.3000000000000007</v>
      </c>
      <c r="P19" s="235">
        <v>98.7</v>
      </c>
    </row>
    <row r="20" spans="2:16">
      <c r="B20" s="239">
        <v>5</v>
      </c>
      <c r="C20" s="239">
        <v>83</v>
      </c>
      <c r="D20" s="238">
        <f t="shared" si="0"/>
        <v>17</v>
      </c>
      <c r="N20" s="238">
        <v>2.5</v>
      </c>
      <c r="O20" s="238">
        <v>8.1999999999999993</v>
      </c>
      <c r="P20" s="235">
        <v>91.8</v>
      </c>
    </row>
    <row r="21" spans="2:16">
      <c r="B21" s="239">
        <v>5.5</v>
      </c>
      <c r="C21" s="239">
        <v>74.5</v>
      </c>
      <c r="D21" s="238">
        <f t="shared" si="0"/>
        <v>25.5</v>
      </c>
      <c r="N21" s="238">
        <v>2.75</v>
      </c>
      <c r="O21" s="238">
        <v>3.9000000000000004</v>
      </c>
      <c r="P21" s="235">
        <v>96.1</v>
      </c>
    </row>
    <row r="22" spans="2:16">
      <c r="B22" s="239">
        <v>6</v>
      </c>
      <c r="C22" s="239">
        <v>70</v>
      </c>
      <c r="D22" s="238">
        <f t="shared" si="0"/>
        <v>30</v>
      </c>
      <c r="N22" s="238">
        <v>3</v>
      </c>
      <c r="O22" s="238">
        <v>6</v>
      </c>
      <c r="P22" s="235">
        <v>94</v>
      </c>
    </row>
    <row r="23" spans="2:16">
      <c r="B23" s="239">
        <v>6.5</v>
      </c>
      <c r="C23" s="239">
        <v>77.5</v>
      </c>
      <c r="D23" s="238">
        <f t="shared" si="0"/>
        <v>22.5</v>
      </c>
      <c r="N23" s="238">
        <v>3.25</v>
      </c>
      <c r="O23" s="238">
        <v>9.6999999999999993</v>
      </c>
      <c r="P23" s="235">
        <v>90.3</v>
      </c>
    </row>
    <row r="24" spans="2:16">
      <c r="B24" s="239">
        <v>7</v>
      </c>
      <c r="C24" s="239">
        <v>69</v>
      </c>
      <c r="D24" s="238">
        <f t="shared" si="0"/>
        <v>31</v>
      </c>
      <c r="N24" s="238">
        <v>3.5</v>
      </c>
      <c r="O24" s="238">
        <v>8.6</v>
      </c>
      <c r="P24" s="235">
        <v>91.4</v>
      </c>
    </row>
    <row r="25" spans="2:16">
      <c r="B25" s="239">
        <v>7.5</v>
      </c>
      <c r="C25" s="239">
        <v>88.5</v>
      </c>
      <c r="D25" s="238">
        <f t="shared" si="0"/>
        <v>11.5</v>
      </c>
      <c r="N25" s="238">
        <v>3.75</v>
      </c>
      <c r="O25" s="238">
        <v>2.7000000000000011</v>
      </c>
      <c r="P25" s="235">
        <v>97.3</v>
      </c>
    </row>
    <row r="26" spans="2:16">
      <c r="B26" s="239">
        <v>8</v>
      </c>
      <c r="C26" s="239">
        <v>60</v>
      </c>
      <c r="D26" s="238">
        <f t="shared" si="0"/>
        <v>40</v>
      </c>
      <c r="N26" s="238">
        <v>4</v>
      </c>
      <c r="O26" s="238">
        <v>12.799999999999999</v>
      </c>
      <c r="P26" s="235">
        <v>87.2</v>
      </c>
    </row>
    <row r="27" spans="2:16">
      <c r="B27" s="239">
        <v>8.5</v>
      </c>
      <c r="C27" s="239">
        <v>87.5</v>
      </c>
      <c r="D27" s="238">
        <f t="shared" si="0"/>
        <v>12.5</v>
      </c>
      <c r="N27" s="238">
        <v>4.25</v>
      </c>
      <c r="O27" s="238">
        <v>13.299999999999999</v>
      </c>
      <c r="P27" s="235">
        <v>86.7</v>
      </c>
    </row>
    <row r="28" spans="2:16">
      <c r="B28" s="239">
        <v>9</v>
      </c>
      <c r="C28" s="239">
        <v>79</v>
      </c>
      <c r="D28" s="238">
        <f t="shared" si="0"/>
        <v>21</v>
      </c>
      <c r="N28" s="238">
        <v>4.5</v>
      </c>
      <c r="O28" s="238">
        <v>9</v>
      </c>
      <c r="P28" s="235">
        <v>91</v>
      </c>
    </row>
    <row r="29" spans="2:16">
      <c r="B29" s="239">
        <v>9.5</v>
      </c>
      <c r="C29" s="239">
        <v>82.5</v>
      </c>
      <c r="D29" s="238">
        <f t="shared" si="0"/>
        <v>17.5</v>
      </c>
      <c r="N29" s="238">
        <v>4.75</v>
      </c>
      <c r="O29" s="238">
        <v>3.1000000000000014</v>
      </c>
      <c r="P29" s="235">
        <v>96.9</v>
      </c>
    </row>
    <row r="30" spans="2:16">
      <c r="B30" s="239">
        <v>10</v>
      </c>
      <c r="C30" s="239">
        <v>90</v>
      </c>
      <c r="D30" s="238">
        <f t="shared" si="0"/>
        <v>10</v>
      </c>
      <c r="N30" s="238">
        <v>5</v>
      </c>
      <c r="O30" s="238">
        <v>8.4</v>
      </c>
      <c r="P30" s="235">
        <v>91.6</v>
      </c>
    </row>
    <row r="31" spans="2:16">
      <c r="B31" s="239">
        <v>10.5</v>
      </c>
      <c r="C31" s="239">
        <v>73.5</v>
      </c>
      <c r="D31" s="238">
        <f t="shared" si="0"/>
        <v>26.5</v>
      </c>
      <c r="N31" s="238">
        <v>5.25</v>
      </c>
      <c r="O31" s="238">
        <v>10.5</v>
      </c>
      <c r="P31" s="235">
        <v>89.5</v>
      </c>
    </row>
    <row r="32" spans="2:16">
      <c r="B32" s="239">
        <v>11</v>
      </c>
      <c r="C32" s="239">
        <v>77</v>
      </c>
      <c r="D32" s="238">
        <f t="shared" si="0"/>
        <v>23</v>
      </c>
      <c r="N32" s="238">
        <v>5.5</v>
      </c>
      <c r="O32" s="238">
        <v>3.0000000000000018</v>
      </c>
      <c r="P32" s="235">
        <v>97</v>
      </c>
    </row>
    <row r="33" spans="2:16">
      <c r="B33" s="239">
        <v>11.5</v>
      </c>
      <c r="C33" s="239">
        <v>72.5</v>
      </c>
      <c r="D33" s="238">
        <f t="shared" si="0"/>
        <v>27.5</v>
      </c>
      <c r="N33" s="238">
        <v>5.75</v>
      </c>
      <c r="O33" s="238">
        <v>17.899999999999999</v>
      </c>
      <c r="P33" s="235">
        <v>82.1</v>
      </c>
    </row>
    <row r="34" spans="2:16">
      <c r="B34" s="239">
        <v>12</v>
      </c>
      <c r="C34" s="239">
        <v>72</v>
      </c>
      <c r="D34" s="238">
        <f t="shared" si="0"/>
        <v>28</v>
      </c>
      <c r="N34" s="238">
        <v>6</v>
      </c>
      <c r="O34" s="238">
        <v>10.4</v>
      </c>
      <c r="P34" s="235">
        <v>89.6</v>
      </c>
    </row>
    <row r="35" spans="2:16">
      <c r="B35" s="239">
        <v>12.5</v>
      </c>
      <c r="C35" s="239">
        <v>75.5</v>
      </c>
      <c r="D35" s="238">
        <f t="shared" si="0"/>
        <v>24.5</v>
      </c>
      <c r="N35" s="238">
        <v>6.25</v>
      </c>
      <c r="O35" s="238">
        <v>10.9</v>
      </c>
      <c r="P35" s="235">
        <v>89.1</v>
      </c>
    </row>
    <row r="36" spans="2:16">
      <c r="B36" s="239">
        <v>13</v>
      </c>
      <c r="C36" s="239">
        <v>75</v>
      </c>
      <c r="D36" s="238">
        <f t="shared" si="0"/>
        <v>25</v>
      </c>
      <c r="N36" s="238">
        <v>6.5</v>
      </c>
      <c r="O36" s="238">
        <v>8.2000000000000011</v>
      </c>
      <c r="P36" s="235">
        <v>91.8</v>
      </c>
    </row>
    <row r="37" spans="2:16">
      <c r="B37" s="239">
        <v>13.5</v>
      </c>
      <c r="C37" s="239">
        <v>42.5</v>
      </c>
      <c r="D37" s="238">
        <f t="shared" si="0"/>
        <v>57.5</v>
      </c>
      <c r="N37" s="238">
        <v>6.75</v>
      </c>
      <c r="O37" s="238">
        <v>15.1</v>
      </c>
      <c r="P37" s="235">
        <v>84.9</v>
      </c>
    </row>
    <row r="38" spans="2:16">
      <c r="B38" s="239">
        <v>14</v>
      </c>
      <c r="C38" s="239">
        <v>70</v>
      </c>
      <c r="D38" s="238">
        <f t="shared" si="0"/>
        <v>30</v>
      </c>
      <c r="N38" s="238">
        <v>7</v>
      </c>
      <c r="O38" s="238">
        <v>20.399999999999999</v>
      </c>
      <c r="P38" s="235">
        <v>79.599999999999994</v>
      </c>
    </row>
    <row r="39" spans="2:16">
      <c r="B39" s="239">
        <v>14.5</v>
      </c>
      <c r="C39" s="239">
        <v>65.5</v>
      </c>
      <c r="D39" s="238">
        <f t="shared" si="0"/>
        <v>34.5</v>
      </c>
      <c r="N39" s="238">
        <v>7.25</v>
      </c>
      <c r="O39" s="238">
        <v>9.7000000000000011</v>
      </c>
      <c r="P39" s="235">
        <v>90.3</v>
      </c>
    </row>
    <row r="40" spans="2:16">
      <c r="B40" s="239">
        <v>15</v>
      </c>
      <c r="C40" s="239">
        <v>85</v>
      </c>
      <c r="D40" s="238">
        <f t="shared" si="0"/>
        <v>15</v>
      </c>
      <c r="N40" s="238">
        <v>7.5</v>
      </c>
      <c r="O40" s="238">
        <v>24.599999999999998</v>
      </c>
      <c r="P40" s="235">
        <v>75.400000000000006</v>
      </c>
    </row>
    <row r="41" spans="2:16">
      <c r="N41" s="238">
        <v>7.75</v>
      </c>
      <c r="O41" s="238">
        <v>18.7</v>
      </c>
      <c r="P41" s="235">
        <v>81.3</v>
      </c>
    </row>
    <row r="42" spans="2:16">
      <c r="N42" s="238">
        <v>8</v>
      </c>
      <c r="O42" s="238">
        <v>20.799999999999997</v>
      </c>
      <c r="P42" s="235">
        <v>79.2</v>
      </c>
    </row>
    <row r="43" spans="2:16">
      <c r="N43" s="238">
        <v>8.25</v>
      </c>
      <c r="O43" s="238">
        <v>8.5000000000000018</v>
      </c>
      <c r="P43" s="235">
        <v>91.5</v>
      </c>
    </row>
    <row r="44" spans="2:16">
      <c r="N44" s="238">
        <v>8.5</v>
      </c>
      <c r="O44" s="238">
        <v>17</v>
      </c>
      <c r="P44" s="235">
        <v>83</v>
      </c>
    </row>
    <row r="45" spans="2:16">
      <c r="N45" s="238">
        <v>8.75</v>
      </c>
      <c r="O45" s="238">
        <v>30.299999999999997</v>
      </c>
      <c r="P45" s="235">
        <v>69.7</v>
      </c>
    </row>
    <row r="46" spans="2:16">
      <c r="N46" s="238">
        <v>9</v>
      </c>
      <c r="O46" s="238">
        <v>32.4</v>
      </c>
      <c r="P46" s="235">
        <v>67.599999999999994</v>
      </c>
    </row>
    <row r="47" spans="2:16">
      <c r="N47" s="238">
        <v>9.25</v>
      </c>
      <c r="O47" s="238">
        <v>16.899999999999999</v>
      </c>
      <c r="P47" s="235">
        <v>83.1</v>
      </c>
    </row>
    <row r="48" spans="2:16">
      <c r="N48" s="238">
        <v>9.5</v>
      </c>
      <c r="O48" s="238">
        <v>4.6000000000000032</v>
      </c>
      <c r="P48" s="235">
        <v>95.399999999999991</v>
      </c>
    </row>
    <row r="49" spans="14:16">
      <c r="N49" s="238">
        <v>9.75</v>
      </c>
      <c r="O49" s="238">
        <v>33.9</v>
      </c>
      <c r="P49" s="235">
        <v>66.099999999999994</v>
      </c>
    </row>
    <row r="50" spans="14:16">
      <c r="N50" s="238">
        <v>10</v>
      </c>
      <c r="O50" s="238">
        <v>7.2000000000000028</v>
      </c>
      <c r="P50" s="235">
        <v>92.8</v>
      </c>
    </row>
    <row r="51" spans="14:16">
      <c r="N51" s="238">
        <v>10.25</v>
      </c>
      <c r="O51" s="238">
        <v>36.5</v>
      </c>
      <c r="P51" s="235">
        <v>63.5</v>
      </c>
    </row>
    <row r="52" spans="14:16">
      <c r="N52" s="238">
        <v>10.5</v>
      </c>
      <c r="O52" s="238">
        <v>37</v>
      </c>
      <c r="P52" s="235">
        <v>63</v>
      </c>
    </row>
    <row r="53" spans="14:16">
      <c r="N53" s="238">
        <v>10.75</v>
      </c>
      <c r="O53" s="238">
        <v>5.5000000000000036</v>
      </c>
      <c r="P53" s="235">
        <v>94.5</v>
      </c>
    </row>
    <row r="54" spans="14:16">
      <c r="N54" s="238">
        <v>11</v>
      </c>
      <c r="O54" s="238">
        <v>23.6</v>
      </c>
      <c r="P54" s="235">
        <v>76.400000000000006</v>
      </c>
    </row>
    <row r="55" spans="14:16">
      <c r="N55" s="238">
        <v>11.25</v>
      </c>
      <c r="O55" s="238">
        <v>35.299999999999997</v>
      </c>
      <c r="P55" s="235">
        <v>64.7</v>
      </c>
    </row>
    <row r="56" spans="14:16">
      <c r="N56" s="238">
        <v>11.5</v>
      </c>
      <c r="O56" s="238">
        <v>34.199999999999996</v>
      </c>
      <c r="P56" s="235">
        <v>65.800000000000011</v>
      </c>
    </row>
    <row r="57" spans="14:16">
      <c r="N57" s="238">
        <v>11.75</v>
      </c>
      <c r="O57" s="238">
        <v>9.1000000000000032</v>
      </c>
      <c r="P57" s="235">
        <v>90.899999999999991</v>
      </c>
    </row>
    <row r="58" spans="14:16">
      <c r="N58" s="238">
        <v>12</v>
      </c>
      <c r="O58" s="238">
        <v>9.6000000000000032</v>
      </c>
      <c r="P58" s="235">
        <v>90.399999999999991</v>
      </c>
    </row>
    <row r="59" spans="14:16">
      <c r="N59" s="238">
        <v>12.25</v>
      </c>
      <c r="O59" s="238">
        <v>30.9</v>
      </c>
      <c r="P59" s="235">
        <v>69.099999999999994</v>
      </c>
    </row>
    <row r="60" spans="14:16">
      <c r="N60" s="238">
        <v>12.5</v>
      </c>
      <c r="O60" s="238">
        <v>44.199999999999996</v>
      </c>
      <c r="P60" s="235">
        <v>55.800000000000004</v>
      </c>
    </row>
    <row r="61" spans="14:16">
      <c r="N61" s="238">
        <v>12.75</v>
      </c>
      <c r="O61" s="238">
        <v>39.9</v>
      </c>
      <c r="P61" s="235">
        <v>60.1</v>
      </c>
    </row>
    <row r="62" spans="14:16">
      <c r="N62" s="238">
        <v>13</v>
      </c>
      <c r="O62" s="238">
        <v>35.599999999999994</v>
      </c>
      <c r="P62" s="235">
        <v>64.400000000000006</v>
      </c>
    </row>
    <row r="63" spans="14:16">
      <c r="N63" s="238">
        <v>13.25</v>
      </c>
      <c r="O63" s="238">
        <v>34.5</v>
      </c>
      <c r="P63" s="235">
        <v>65.5</v>
      </c>
    </row>
    <row r="64" spans="14:16">
      <c r="N64" s="238">
        <v>13.5</v>
      </c>
      <c r="O64" s="238">
        <v>14.200000000000003</v>
      </c>
      <c r="P64" s="235">
        <v>85.8</v>
      </c>
    </row>
    <row r="65" spans="14:16">
      <c r="N65" s="238">
        <v>13.75</v>
      </c>
      <c r="O65" s="238">
        <v>21.1</v>
      </c>
      <c r="P65" s="235">
        <v>78.900000000000006</v>
      </c>
    </row>
    <row r="66" spans="14:16">
      <c r="N66" s="238">
        <v>14</v>
      </c>
      <c r="O66" s="238">
        <v>44</v>
      </c>
      <c r="P66" s="235">
        <v>56</v>
      </c>
    </row>
    <row r="67" spans="14:16">
      <c r="N67" s="238">
        <v>14.25</v>
      </c>
      <c r="O67" s="238">
        <v>38.099999999999994</v>
      </c>
      <c r="P67" s="235">
        <v>61.900000000000006</v>
      </c>
    </row>
    <row r="68" spans="14:16">
      <c r="N68" s="238">
        <v>14.5</v>
      </c>
      <c r="O68" s="238">
        <v>6.600000000000005</v>
      </c>
      <c r="P68" s="235">
        <v>93.399999999999991</v>
      </c>
    </row>
    <row r="69" spans="14:16">
      <c r="N69" s="238">
        <v>14.75</v>
      </c>
      <c r="O69" s="238">
        <v>48.699999999999996</v>
      </c>
      <c r="P69" s="235">
        <v>51.300000000000004</v>
      </c>
    </row>
    <row r="70" spans="14:16">
      <c r="N70" s="238">
        <v>15</v>
      </c>
      <c r="O70" s="238">
        <v>15.600000000000003</v>
      </c>
      <c r="P70" s="235">
        <v>84.399999999999991</v>
      </c>
    </row>
    <row r="71" spans="14:16">
      <c r="N71" s="238">
        <v>15.25</v>
      </c>
      <c r="O71" s="238">
        <v>35.299999999999997</v>
      </c>
      <c r="P71" s="235">
        <v>64.7</v>
      </c>
    </row>
    <row r="72" spans="14:16">
      <c r="N72" s="238">
        <v>15.5</v>
      </c>
      <c r="O72" s="238">
        <v>45.4</v>
      </c>
      <c r="P72" s="235">
        <v>54.6</v>
      </c>
    </row>
    <row r="73" spans="14:16">
      <c r="N73" s="238">
        <v>15.75</v>
      </c>
      <c r="O73" s="238">
        <v>21.900000000000002</v>
      </c>
      <c r="P73" s="235">
        <v>78.099999999999994</v>
      </c>
    </row>
    <row r="74" spans="14:16">
      <c r="N74" s="238">
        <v>16</v>
      </c>
      <c r="O74" s="238">
        <v>16.000000000000004</v>
      </c>
      <c r="P74" s="235">
        <v>84</v>
      </c>
    </row>
    <row r="75" spans="14:16">
      <c r="N75" s="238">
        <v>16.25</v>
      </c>
      <c r="O75" s="238">
        <v>43.699999999999996</v>
      </c>
      <c r="P75" s="235">
        <v>56.300000000000004</v>
      </c>
    </row>
    <row r="76" spans="14:16">
      <c r="N76" s="238">
        <v>16.5</v>
      </c>
      <c r="O76" s="238">
        <v>13.800000000000004</v>
      </c>
      <c r="P76" s="235">
        <v>86.199999999999989</v>
      </c>
    </row>
    <row r="77" spans="14:16">
      <c r="N77" s="238">
        <v>16.75</v>
      </c>
      <c r="O77" s="238">
        <v>30.3</v>
      </c>
      <c r="P77" s="235">
        <v>69.7</v>
      </c>
    </row>
    <row r="78" spans="14:16">
      <c r="N78" s="238">
        <v>17</v>
      </c>
      <c r="O78" s="238">
        <v>53.199999999999996</v>
      </c>
      <c r="P78" s="235">
        <v>46.800000000000004</v>
      </c>
    </row>
    <row r="79" spans="14:16">
      <c r="N79" s="238">
        <v>17.25</v>
      </c>
      <c r="O79" s="238">
        <v>56.899999999999991</v>
      </c>
      <c r="P79" s="235">
        <v>43.100000000000009</v>
      </c>
    </row>
    <row r="80" spans="14:16">
      <c r="N80" s="238">
        <v>17.5</v>
      </c>
      <c r="O80" s="238">
        <v>7.8000000000000043</v>
      </c>
      <c r="P80" s="235">
        <v>92.199999999999989</v>
      </c>
    </row>
    <row r="81" spans="14:16">
      <c r="N81" s="238">
        <v>17.75</v>
      </c>
      <c r="O81" s="238">
        <v>33.9</v>
      </c>
      <c r="P81" s="235">
        <v>66.099999999999994</v>
      </c>
    </row>
    <row r="82" spans="14:16">
      <c r="N82" s="238">
        <v>18</v>
      </c>
      <c r="O82" s="238">
        <v>31.200000000000003</v>
      </c>
      <c r="P82" s="235">
        <v>68.8</v>
      </c>
    </row>
    <row r="83" spans="14:16">
      <c r="N83" s="238">
        <v>18.25</v>
      </c>
      <c r="O83" s="238">
        <v>7.7000000000000064</v>
      </c>
      <c r="P83" s="235">
        <v>92.3</v>
      </c>
    </row>
    <row r="84" spans="14:16">
      <c r="N84" s="238">
        <v>18.5</v>
      </c>
      <c r="O84" s="238">
        <v>16.200000000000003</v>
      </c>
      <c r="P84" s="235">
        <v>83.8</v>
      </c>
    </row>
    <row r="85" spans="14:16">
      <c r="N85" s="238">
        <v>18.75</v>
      </c>
      <c r="O85" s="238">
        <v>27.900000000000002</v>
      </c>
      <c r="P85" s="235">
        <v>72.099999999999994</v>
      </c>
    </row>
    <row r="86" spans="14:16">
      <c r="N86" s="238">
        <v>19</v>
      </c>
      <c r="O86" s="238">
        <v>31.6</v>
      </c>
      <c r="P86" s="235">
        <v>68.400000000000006</v>
      </c>
    </row>
    <row r="87" spans="14:16">
      <c r="N87" s="238">
        <v>19.25</v>
      </c>
      <c r="O87" s="238">
        <v>35.299999999999997</v>
      </c>
      <c r="P87" s="235">
        <v>64.7</v>
      </c>
    </row>
    <row r="88" spans="14:16">
      <c r="N88" s="238">
        <v>19.5</v>
      </c>
      <c r="O88" s="238">
        <v>45.4</v>
      </c>
      <c r="P88" s="235">
        <v>54.6</v>
      </c>
    </row>
    <row r="89" spans="14:16">
      <c r="N89" s="238">
        <v>19.75</v>
      </c>
      <c r="O89" s="238">
        <v>57.099999999999994</v>
      </c>
      <c r="P89" s="235">
        <v>42.900000000000006</v>
      </c>
    </row>
    <row r="90" spans="14:16">
      <c r="N90" s="238">
        <v>20</v>
      </c>
      <c r="O90" s="238">
        <v>22.400000000000006</v>
      </c>
      <c r="P90" s="235">
        <v>77.599999999999994</v>
      </c>
    </row>
    <row r="91" spans="14:16">
      <c r="N91" s="238">
        <v>20.25</v>
      </c>
      <c r="O91" s="238">
        <v>38.9</v>
      </c>
      <c r="P91" s="235">
        <v>61.1</v>
      </c>
    </row>
    <row r="92" spans="14:16">
      <c r="N92" s="238">
        <v>20.5</v>
      </c>
      <c r="O92" s="238">
        <v>31.400000000000002</v>
      </c>
      <c r="P92" s="235">
        <v>68.599999999999994</v>
      </c>
    </row>
    <row r="93" spans="14:16">
      <c r="N93" s="238">
        <v>20.75</v>
      </c>
      <c r="O93" s="238">
        <v>62.3</v>
      </c>
      <c r="P93" s="235">
        <v>37.700000000000003</v>
      </c>
    </row>
    <row r="94" spans="14:16">
      <c r="N94" s="238">
        <v>21</v>
      </c>
      <c r="O94" s="238">
        <v>24.400000000000006</v>
      </c>
      <c r="P94" s="235">
        <v>75.599999999999994</v>
      </c>
    </row>
    <row r="95" spans="14:16">
      <c r="N95" s="238">
        <v>21.25</v>
      </c>
      <c r="O95" s="238">
        <v>63.3</v>
      </c>
      <c r="P95" s="235">
        <v>36.700000000000003</v>
      </c>
    </row>
    <row r="96" spans="14:16">
      <c r="N96" s="238">
        <v>21.5</v>
      </c>
      <c r="O96" s="238">
        <v>54.199999999999996</v>
      </c>
      <c r="P96" s="235">
        <v>45.800000000000004</v>
      </c>
    </row>
    <row r="97" spans="14:16">
      <c r="N97" s="238">
        <v>21.75</v>
      </c>
      <c r="O97" s="238">
        <v>19.500000000000007</v>
      </c>
      <c r="P97" s="235">
        <v>80.5</v>
      </c>
    </row>
    <row r="98" spans="14:16">
      <c r="N98" s="238">
        <v>22</v>
      </c>
      <c r="O98" s="238">
        <v>26.400000000000006</v>
      </c>
      <c r="P98" s="235">
        <v>73.599999999999994</v>
      </c>
    </row>
    <row r="99" spans="14:16">
      <c r="N99" s="238">
        <v>22.25</v>
      </c>
      <c r="O99" s="238">
        <v>38.1</v>
      </c>
      <c r="P99" s="235">
        <v>61.9</v>
      </c>
    </row>
    <row r="100" spans="14:16">
      <c r="N100" s="238">
        <v>22.5</v>
      </c>
      <c r="O100" s="238">
        <v>33.800000000000004</v>
      </c>
      <c r="P100" s="235">
        <v>66.199999999999989</v>
      </c>
    </row>
    <row r="101" spans="14:16">
      <c r="N101" s="238">
        <v>22.75</v>
      </c>
      <c r="O101" s="238">
        <v>53.5</v>
      </c>
      <c r="P101" s="235">
        <v>46.5</v>
      </c>
    </row>
    <row r="102" spans="14:16">
      <c r="N102" s="238">
        <v>23</v>
      </c>
      <c r="O102" s="238">
        <v>36.400000000000006</v>
      </c>
      <c r="P102" s="235">
        <v>63.599999999999994</v>
      </c>
    </row>
    <row r="103" spans="14:16">
      <c r="N103" s="238">
        <v>23.25</v>
      </c>
      <c r="O103" s="238">
        <v>32.1</v>
      </c>
      <c r="P103" s="235">
        <v>67.900000000000006</v>
      </c>
    </row>
    <row r="104" spans="14:16">
      <c r="N104" s="238">
        <v>23.5</v>
      </c>
      <c r="O104" s="238">
        <v>35.800000000000004</v>
      </c>
      <c r="P104" s="235">
        <v>64.199999999999989</v>
      </c>
    </row>
    <row r="105" spans="14:16">
      <c r="N105" s="238">
        <v>23.75</v>
      </c>
      <c r="O105" s="238">
        <v>23.500000000000007</v>
      </c>
      <c r="P105" s="235">
        <v>76.5</v>
      </c>
    </row>
    <row r="106" spans="14:16">
      <c r="N106" s="238">
        <v>24</v>
      </c>
      <c r="O106" s="238">
        <v>70.399999999999991</v>
      </c>
      <c r="P106" s="235">
        <v>29.600000000000009</v>
      </c>
    </row>
    <row r="107" spans="14:16">
      <c r="N107" s="238">
        <v>24.25</v>
      </c>
      <c r="O107" s="238">
        <v>22.900000000000006</v>
      </c>
      <c r="P107" s="235">
        <v>77.099999999999994</v>
      </c>
    </row>
    <row r="108" spans="14:16">
      <c r="N108" s="238">
        <v>24.5</v>
      </c>
      <c r="O108" s="238">
        <v>45.8</v>
      </c>
      <c r="P108" s="235">
        <v>54.2</v>
      </c>
    </row>
    <row r="109" spans="14:16">
      <c r="N109" s="238">
        <v>24.75</v>
      </c>
      <c r="O109" s="238">
        <v>52.7</v>
      </c>
      <c r="P109" s="235">
        <v>47.3</v>
      </c>
    </row>
    <row r="110" spans="14:16">
      <c r="N110" s="238">
        <v>25</v>
      </c>
      <c r="O110" s="238">
        <v>13.20000000000001</v>
      </c>
      <c r="P110" s="235">
        <v>86.799999999999983</v>
      </c>
    </row>
    <row r="111" spans="14:16">
      <c r="N111" s="238">
        <v>25.25</v>
      </c>
      <c r="O111" s="238">
        <v>47.3</v>
      </c>
      <c r="P111" s="235">
        <v>52.7</v>
      </c>
    </row>
    <row r="112" spans="14:16">
      <c r="N112" s="238">
        <v>25.5</v>
      </c>
      <c r="O112" s="238">
        <v>89.399999999999991</v>
      </c>
      <c r="P112" s="235">
        <v>10.600000000000009</v>
      </c>
    </row>
    <row r="113" spans="14:16">
      <c r="N113" s="238">
        <v>25.75</v>
      </c>
      <c r="O113" s="238">
        <v>70.699999999999989</v>
      </c>
      <c r="P113" s="235">
        <v>29.300000000000011</v>
      </c>
    </row>
    <row r="114" spans="14:16">
      <c r="N114" s="238">
        <v>26</v>
      </c>
      <c r="O114" s="238">
        <v>47.2</v>
      </c>
      <c r="P114" s="235">
        <v>52.8</v>
      </c>
    </row>
    <row r="115" spans="14:16">
      <c r="N115" s="238">
        <v>26.25</v>
      </c>
      <c r="O115" s="238">
        <v>62.099999999999994</v>
      </c>
      <c r="P115" s="235">
        <v>37.900000000000006</v>
      </c>
    </row>
    <row r="116" spans="14:16">
      <c r="N116" s="238">
        <v>26.5</v>
      </c>
      <c r="O116" s="238">
        <v>89.799999999999983</v>
      </c>
      <c r="P116" s="235">
        <v>10.200000000000017</v>
      </c>
    </row>
    <row r="117" spans="14:16">
      <c r="N117" s="238">
        <v>26.75</v>
      </c>
      <c r="O117" s="238">
        <v>75.899999999999991</v>
      </c>
      <c r="P117" s="235">
        <v>24.100000000000009</v>
      </c>
    </row>
    <row r="118" spans="14:16">
      <c r="N118" s="238">
        <v>27</v>
      </c>
      <c r="O118" s="238">
        <v>23.600000000000009</v>
      </c>
      <c r="P118" s="235">
        <v>76.399999999999991</v>
      </c>
    </row>
    <row r="119" spans="14:16">
      <c r="N119" s="238">
        <v>27.25</v>
      </c>
      <c r="O119" s="238">
        <v>24.100000000000009</v>
      </c>
      <c r="P119" s="235">
        <v>75.899999999999991</v>
      </c>
    </row>
    <row r="120" spans="14:16">
      <c r="N120" s="238">
        <v>27.5</v>
      </c>
      <c r="O120" s="238">
        <v>67.8</v>
      </c>
      <c r="P120" s="235">
        <v>32.200000000000003</v>
      </c>
    </row>
    <row r="121" spans="14:16">
      <c r="N121" s="238">
        <v>27.75</v>
      </c>
      <c r="O121" s="238">
        <v>71.5</v>
      </c>
      <c r="P121" s="235">
        <v>28.5</v>
      </c>
    </row>
    <row r="122" spans="14:16">
      <c r="N122" s="238">
        <v>28</v>
      </c>
      <c r="O122" s="238">
        <v>33.600000000000009</v>
      </c>
      <c r="P122" s="235">
        <v>66.399999999999991</v>
      </c>
    </row>
    <row r="123" spans="14:16">
      <c r="N123" s="238">
        <v>28.25</v>
      </c>
      <c r="O123" s="238">
        <v>46.900000000000006</v>
      </c>
      <c r="P123" s="235">
        <v>53.099999999999994</v>
      </c>
    </row>
    <row r="124" spans="14:16">
      <c r="N124" s="238">
        <v>28.5</v>
      </c>
      <c r="O124" s="238">
        <v>61.8</v>
      </c>
      <c r="P124" s="235">
        <v>38.200000000000003</v>
      </c>
    </row>
    <row r="125" spans="14:16">
      <c r="N125" s="238">
        <v>28.75</v>
      </c>
      <c r="O125" s="238">
        <v>30.300000000000004</v>
      </c>
      <c r="P125" s="235">
        <v>69.699999999999989</v>
      </c>
    </row>
    <row r="126" spans="14:16">
      <c r="N126" s="238">
        <v>29</v>
      </c>
      <c r="O126" s="238">
        <v>78.8</v>
      </c>
      <c r="P126" s="235">
        <v>21.200000000000003</v>
      </c>
    </row>
    <row r="127" spans="14:16">
      <c r="N127" s="238">
        <v>29.25</v>
      </c>
      <c r="O127" s="238">
        <v>88.899999999999991</v>
      </c>
      <c r="P127" s="235">
        <v>11.100000000000009</v>
      </c>
    </row>
    <row r="128" spans="14:16">
      <c r="N128" s="238">
        <v>29.5</v>
      </c>
      <c r="O128" s="238">
        <v>76.599999999999994</v>
      </c>
      <c r="P128" s="235">
        <v>23.400000000000006</v>
      </c>
    </row>
    <row r="129" spans="14:16">
      <c r="N129" s="238">
        <v>29.75</v>
      </c>
      <c r="O129" s="238">
        <v>46.7</v>
      </c>
      <c r="P129" s="235">
        <v>53.3</v>
      </c>
    </row>
    <row r="130" spans="14:16">
      <c r="N130" s="238">
        <v>30</v>
      </c>
      <c r="O130" s="238">
        <v>92</v>
      </c>
      <c r="P130" s="235">
        <v>8</v>
      </c>
    </row>
    <row r="131" spans="14:16">
      <c r="N131" s="238">
        <v>30.25</v>
      </c>
      <c r="O131" s="238">
        <v>76.5</v>
      </c>
      <c r="P131" s="235">
        <v>23.5</v>
      </c>
    </row>
    <row r="132" spans="14:16">
      <c r="N132" s="238">
        <v>30.5</v>
      </c>
      <c r="O132" s="238">
        <v>88.199999999999989</v>
      </c>
      <c r="P132" s="235">
        <v>11.800000000000011</v>
      </c>
    </row>
    <row r="133" spans="14:16">
      <c r="N133" s="238">
        <v>30.75</v>
      </c>
      <c r="O133" s="238">
        <v>91.899999999999991</v>
      </c>
      <c r="P133" s="235">
        <v>8.1000000000000085</v>
      </c>
    </row>
    <row r="134" spans="14:16">
      <c r="N134" s="238">
        <v>31</v>
      </c>
      <c r="O134" s="238">
        <v>42.800000000000004</v>
      </c>
      <c r="P134" s="235">
        <v>57.199999999999996</v>
      </c>
    </row>
    <row r="135" spans="14:16">
      <c r="N135" s="238">
        <v>31.25</v>
      </c>
      <c r="O135" s="238">
        <v>65.7</v>
      </c>
      <c r="P135" s="235">
        <v>34.299999999999997</v>
      </c>
    </row>
    <row r="136" spans="14:16">
      <c r="N136" s="238">
        <v>31.5</v>
      </c>
      <c r="O136" s="238">
        <v>58.2</v>
      </c>
      <c r="P136" s="235">
        <v>41.8</v>
      </c>
    </row>
    <row r="137" spans="14:16">
      <c r="N137" s="238">
        <v>31.75</v>
      </c>
      <c r="O137" s="238">
        <v>71.5</v>
      </c>
      <c r="P137" s="235">
        <v>28.5</v>
      </c>
    </row>
    <row r="138" spans="14:16">
      <c r="N138" s="238">
        <v>32</v>
      </c>
      <c r="O138" s="238">
        <v>76.8</v>
      </c>
      <c r="P138" s="235">
        <v>23.200000000000003</v>
      </c>
    </row>
    <row r="139" spans="14:16">
      <c r="N139" s="238">
        <v>32.25</v>
      </c>
      <c r="O139" s="238">
        <v>64.5</v>
      </c>
      <c r="P139" s="235">
        <v>35.5</v>
      </c>
    </row>
    <row r="140" spans="14:16">
      <c r="N140" s="238">
        <v>32.5</v>
      </c>
      <c r="O140" s="238">
        <v>58.6</v>
      </c>
      <c r="P140" s="235">
        <v>41.4</v>
      </c>
    </row>
    <row r="141" spans="14:16">
      <c r="N141" s="238">
        <v>32.75</v>
      </c>
      <c r="O141" s="238">
        <v>78.3</v>
      </c>
      <c r="P141" s="235">
        <v>21.700000000000003</v>
      </c>
    </row>
    <row r="142" spans="14:16">
      <c r="N142" s="238">
        <v>33</v>
      </c>
      <c r="O142" s="238">
        <v>66</v>
      </c>
      <c r="P142" s="235">
        <v>34</v>
      </c>
    </row>
    <row r="143" spans="14:16">
      <c r="N143" s="238">
        <v>33.25</v>
      </c>
      <c r="O143" s="238">
        <v>48.900000000000006</v>
      </c>
      <c r="P143" s="235">
        <v>51.099999999999994</v>
      </c>
    </row>
    <row r="144" spans="14:16">
      <c r="N144" s="238">
        <v>33.5</v>
      </c>
      <c r="O144" s="238">
        <v>65.400000000000006</v>
      </c>
      <c r="P144" s="235">
        <v>34.599999999999994</v>
      </c>
    </row>
    <row r="145" spans="14:16">
      <c r="N145" s="238">
        <v>33.75</v>
      </c>
      <c r="O145" s="238">
        <v>57.900000000000006</v>
      </c>
      <c r="P145" s="235">
        <v>42.099999999999994</v>
      </c>
    </row>
    <row r="146" spans="14:16">
      <c r="N146" s="238">
        <v>34</v>
      </c>
      <c r="O146" s="238">
        <v>47.2</v>
      </c>
      <c r="P146" s="235">
        <v>52.8</v>
      </c>
    </row>
    <row r="147" spans="14:16">
      <c r="N147" s="238">
        <v>34.25</v>
      </c>
      <c r="O147" s="238">
        <v>66.900000000000006</v>
      </c>
      <c r="P147" s="235">
        <v>33.099999999999994</v>
      </c>
    </row>
    <row r="148" spans="14:16">
      <c r="N148" s="238">
        <v>34.5</v>
      </c>
      <c r="O148" s="238">
        <v>78.599999999999994</v>
      </c>
      <c r="P148" s="235">
        <v>21.400000000000006</v>
      </c>
    </row>
    <row r="149" spans="14:16">
      <c r="N149" s="238">
        <v>34.75</v>
      </c>
      <c r="O149" s="238">
        <v>63.1</v>
      </c>
      <c r="P149" s="235">
        <v>36.9</v>
      </c>
    </row>
    <row r="150" spans="14:16">
      <c r="N150" s="238">
        <v>35</v>
      </c>
      <c r="O150" s="238">
        <v>50.800000000000004</v>
      </c>
      <c r="P150" s="235">
        <v>49.199999999999996</v>
      </c>
    </row>
    <row r="151" spans="14:16">
      <c r="N151" s="238">
        <v>35.25</v>
      </c>
      <c r="O151" s="238">
        <v>56.1</v>
      </c>
      <c r="P151" s="235">
        <v>43.9</v>
      </c>
    </row>
    <row r="152" spans="14:16">
      <c r="N152" s="238">
        <v>35.5</v>
      </c>
      <c r="O152" s="238">
        <v>56.6</v>
      </c>
      <c r="P152" s="235">
        <v>43.4</v>
      </c>
    </row>
    <row r="153" spans="14:16">
      <c r="N153" s="238">
        <v>35.75</v>
      </c>
      <c r="O153" s="238">
        <v>81.099999999999994</v>
      </c>
      <c r="P153" s="235">
        <v>18.900000000000006</v>
      </c>
    </row>
    <row r="154" spans="14:16">
      <c r="N154" s="238">
        <v>36</v>
      </c>
      <c r="O154" s="238">
        <v>83.2</v>
      </c>
      <c r="P154" s="235">
        <v>16.799999999999997</v>
      </c>
    </row>
    <row r="155" spans="14:16">
      <c r="N155" s="238">
        <v>36.25</v>
      </c>
      <c r="O155" s="238">
        <v>67.7</v>
      </c>
      <c r="P155" s="235">
        <v>32.299999999999997</v>
      </c>
    </row>
    <row r="156" spans="14:16">
      <c r="N156" s="238">
        <v>36.5</v>
      </c>
      <c r="O156" s="238">
        <v>53.800000000000004</v>
      </c>
      <c r="P156" s="235">
        <v>46.199999999999996</v>
      </c>
    </row>
    <row r="157" spans="14:16">
      <c r="N157" s="238">
        <v>36.75</v>
      </c>
      <c r="O157" s="238">
        <v>63.900000000000006</v>
      </c>
      <c r="P157" s="235">
        <v>36.099999999999994</v>
      </c>
    </row>
    <row r="158" spans="14:16">
      <c r="N158" s="238">
        <v>37</v>
      </c>
      <c r="O158" s="238">
        <v>78.8</v>
      </c>
      <c r="P158" s="235">
        <v>21.200000000000003</v>
      </c>
    </row>
    <row r="159" spans="14:16">
      <c r="N159" s="238">
        <v>37.25</v>
      </c>
      <c r="O159" s="238">
        <v>76.099999999999994</v>
      </c>
      <c r="P159" s="235">
        <v>23.900000000000006</v>
      </c>
    </row>
    <row r="160" spans="14:16">
      <c r="N160" s="238">
        <v>37.5</v>
      </c>
      <c r="O160" s="238">
        <v>78.2</v>
      </c>
      <c r="P160" s="235">
        <v>21.799999999999997</v>
      </c>
    </row>
    <row r="161" spans="14:16">
      <c r="N161" s="238">
        <v>37.75</v>
      </c>
      <c r="O161" s="238">
        <v>69.099999999999994</v>
      </c>
      <c r="P161" s="235">
        <v>30.900000000000006</v>
      </c>
    </row>
    <row r="162" spans="14:16">
      <c r="N162" s="238">
        <v>38</v>
      </c>
      <c r="O162" s="238">
        <v>85.6</v>
      </c>
      <c r="P162" s="235">
        <v>14.400000000000006</v>
      </c>
    </row>
    <row r="163" spans="14:16">
      <c r="N163" s="238">
        <v>38.25</v>
      </c>
      <c r="O163" s="238">
        <v>84.5</v>
      </c>
      <c r="P163" s="235">
        <v>15.5</v>
      </c>
    </row>
    <row r="164" spans="14:16">
      <c r="N164" s="238">
        <v>38.5</v>
      </c>
      <c r="O164" s="238">
        <v>78.599999999999994</v>
      </c>
      <c r="P164" s="235">
        <v>21.400000000000006</v>
      </c>
    </row>
    <row r="165" spans="14:16">
      <c r="N165" s="238">
        <v>38.75</v>
      </c>
      <c r="O165" s="238">
        <v>71.099999999999994</v>
      </c>
      <c r="P165" s="235">
        <v>28.900000000000006</v>
      </c>
    </row>
    <row r="166" spans="14:16">
      <c r="N166" s="238">
        <v>39</v>
      </c>
      <c r="O166" s="238">
        <v>65.2</v>
      </c>
      <c r="P166" s="235">
        <v>34.799999999999997</v>
      </c>
    </row>
    <row r="167" spans="14:16">
      <c r="N167" s="238">
        <v>39.25</v>
      </c>
      <c r="O167" s="238">
        <v>80.099999999999994</v>
      </c>
      <c r="P167" s="235">
        <v>19.900000000000006</v>
      </c>
    </row>
    <row r="168" spans="14:16">
      <c r="N168" s="238">
        <v>39.5</v>
      </c>
      <c r="O168" s="238">
        <v>63</v>
      </c>
      <c r="P168" s="235">
        <v>37</v>
      </c>
    </row>
    <row r="169" spans="14:16">
      <c r="N169" s="238">
        <v>39.75</v>
      </c>
      <c r="O169" s="238">
        <v>71.5</v>
      </c>
      <c r="P169" s="235">
        <v>28.5</v>
      </c>
    </row>
    <row r="170" spans="14:16">
      <c r="N170" s="238">
        <v>40</v>
      </c>
      <c r="O170" s="238">
        <v>65.600000000000009</v>
      </c>
      <c r="P170" s="235">
        <v>34.399999999999991</v>
      </c>
    </row>
    <row r="171" spans="14:16">
      <c r="N171" s="238">
        <v>40.25</v>
      </c>
      <c r="O171" s="238">
        <v>70.900000000000006</v>
      </c>
      <c r="P171" s="235">
        <v>29.099999999999994</v>
      </c>
    </row>
    <row r="172" spans="14:16">
      <c r="N172" s="238">
        <v>40.5</v>
      </c>
      <c r="O172" s="238">
        <v>84.2</v>
      </c>
      <c r="P172" s="235">
        <v>15.799999999999997</v>
      </c>
    </row>
    <row r="173" spans="14:16">
      <c r="N173" s="238">
        <v>40.75</v>
      </c>
      <c r="O173" s="238">
        <v>89.5</v>
      </c>
      <c r="P173" s="235">
        <v>10.5</v>
      </c>
    </row>
    <row r="174" spans="14:16">
      <c r="N174" s="238">
        <v>41</v>
      </c>
      <c r="O174" s="238">
        <v>72.400000000000006</v>
      </c>
      <c r="P174" s="235">
        <v>27.599999999999994</v>
      </c>
    </row>
    <row r="175" spans="14:16">
      <c r="N175" s="238">
        <v>41.25</v>
      </c>
      <c r="O175" s="238">
        <v>74.5</v>
      </c>
      <c r="P175" s="235">
        <v>25.5</v>
      </c>
    </row>
    <row r="176" spans="14:16">
      <c r="N176" s="238">
        <v>41.5</v>
      </c>
      <c r="O176" s="238">
        <v>95.8</v>
      </c>
      <c r="P176" s="235">
        <v>4.2000000000000028</v>
      </c>
    </row>
    <row r="177" spans="14:16">
      <c r="N177" s="238">
        <v>41.75</v>
      </c>
      <c r="O177" s="238">
        <v>88.3</v>
      </c>
      <c r="P177" s="235">
        <v>11.700000000000003</v>
      </c>
    </row>
    <row r="178" spans="14:16">
      <c r="N178" s="238">
        <v>42</v>
      </c>
      <c r="O178" s="238">
        <v>95.2</v>
      </c>
      <c r="P178" s="235">
        <v>4.7999999999999972</v>
      </c>
    </row>
    <row r="179" spans="14:16">
      <c r="N179" s="238">
        <v>42.25</v>
      </c>
      <c r="O179" s="238">
        <v>76.5</v>
      </c>
      <c r="P179" s="235">
        <v>23.5</v>
      </c>
    </row>
    <row r="180" spans="14:16">
      <c r="N180" s="238">
        <v>42.5</v>
      </c>
      <c r="O180" s="238">
        <v>88.2</v>
      </c>
      <c r="P180" s="235">
        <v>11.799999999999997</v>
      </c>
    </row>
    <row r="181" spans="14:16">
      <c r="N181" s="238">
        <v>42.75</v>
      </c>
      <c r="O181" s="238">
        <v>87.1</v>
      </c>
      <c r="P181" s="235">
        <v>12.900000000000006</v>
      </c>
    </row>
    <row r="182" spans="14:16">
      <c r="N182" s="238">
        <v>43</v>
      </c>
      <c r="O182" s="238">
        <v>97.2</v>
      </c>
      <c r="P182" s="235">
        <v>2.7999999999999972</v>
      </c>
    </row>
    <row r="183" spans="14:16">
      <c r="N183" s="238">
        <v>43.25</v>
      </c>
      <c r="O183" s="238">
        <v>86.5</v>
      </c>
      <c r="P183" s="235">
        <v>13.5</v>
      </c>
    </row>
    <row r="184" spans="14:16">
      <c r="N184" s="238">
        <v>43.5</v>
      </c>
      <c r="O184" s="238">
        <v>90.2</v>
      </c>
      <c r="P184" s="235">
        <v>9.7999999999999972</v>
      </c>
    </row>
    <row r="185" spans="14:16">
      <c r="N185" s="238">
        <v>43.75</v>
      </c>
      <c r="O185" s="238">
        <v>85.9</v>
      </c>
      <c r="P185" s="235">
        <v>14.099999999999994</v>
      </c>
    </row>
    <row r="186" spans="14:16">
      <c r="N186" s="238">
        <v>44</v>
      </c>
      <c r="O186" s="238">
        <v>88</v>
      </c>
      <c r="P186" s="235">
        <v>12</v>
      </c>
    </row>
    <row r="187" spans="14:16">
      <c r="N187" s="238">
        <v>44.25</v>
      </c>
      <c r="O187" s="238">
        <v>94.9</v>
      </c>
      <c r="P187" s="235">
        <v>5.0999999999999943</v>
      </c>
    </row>
    <row r="188" spans="14:16">
      <c r="N188" s="238">
        <v>44.5</v>
      </c>
      <c r="O188" s="238">
        <v>81</v>
      </c>
      <c r="P188" s="235">
        <v>19</v>
      </c>
    </row>
    <row r="189" spans="14:16">
      <c r="N189" s="238">
        <v>44.75</v>
      </c>
      <c r="O189" s="238">
        <v>91.1</v>
      </c>
      <c r="P189" s="235">
        <v>8.9000000000000057</v>
      </c>
    </row>
    <row r="190" spans="14:16">
      <c r="N190" s="238">
        <v>45</v>
      </c>
      <c r="O190" s="238">
        <v>82</v>
      </c>
      <c r="P190" s="235">
        <v>18</v>
      </c>
    </row>
    <row r="191" spans="14:16">
      <c r="N191" s="238">
        <v>45.25</v>
      </c>
      <c r="O191" s="238">
        <v>88.9</v>
      </c>
      <c r="P191" s="235">
        <v>11.099999999999994</v>
      </c>
    </row>
    <row r="192" spans="14:16">
      <c r="N192" s="238">
        <v>45.5</v>
      </c>
      <c r="O192" s="238">
        <v>91</v>
      </c>
      <c r="P192" s="235">
        <v>9</v>
      </c>
    </row>
    <row r="193" spans="14:16">
      <c r="N193" s="238">
        <v>45.75</v>
      </c>
      <c r="O193" s="238">
        <v>88.3</v>
      </c>
      <c r="P193" s="235">
        <v>11.700000000000003</v>
      </c>
    </row>
    <row r="194" spans="14:16">
      <c r="N194" s="238">
        <v>46</v>
      </c>
      <c r="O194" s="238">
        <v>93.6</v>
      </c>
      <c r="P194" s="235">
        <v>6.4000000000000057</v>
      </c>
    </row>
    <row r="195" spans="14:16">
      <c r="N195" s="238">
        <v>46.25</v>
      </c>
      <c r="O195" s="238">
        <v>95.7</v>
      </c>
      <c r="P195" s="235">
        <v>4.2999999999999972</v>
      </c>
    </row>
    <row r="196" spans="14:16">
      <c r="N196" s="238">
        <v>46.5</v>
      </c>
      <c r="O196" s="238">
        <v>94.6</v>
      </c>
      <c r="P196" s="235">
        <v>5.4000000000000057</v>
      </c>
    </row>
    <row r="197" spans="14:16">
      <c r="N197" s="238">
        <v>46.75</v>
      </c>
      <c r="O197" s="238">
        <v>90.3</v>
      </c>
      <c r="P197" s="235">
        <v>9.7000000000000028</v>
      </c>
    </row>
    <row r="198" spans="14:16">
      <c r="N198" s="238">
        <v>47</v>
      </c>
      <c r="O198" s="238">
        <v>98.8</v>
      </c>
      <c r="P198" s="235">
        <v>1.2000000000000028</v>
      </c>
    </row>
    <row r="199" spans="14:16">
      <c r="N199" s="238">
        <v>47.25</v>
      </c>
      <c r="O199" s="238">
        <v>94.5</v>
      </c>
      <c r="P199" s="235">
        <v>5.5</v>
      </c>
    </row>
    <row r="200" spans="14:16">
      <c r="N200" s="238">
        <v>47.5</v>
      </c>
      <c r="O200" s="238">
        <v>95</v>
      </c>
      <c r="P200" s="235">
        <v>5</v>
      </c>
    </row>
    <row r="201" spans="14:16">
      <c r="N201" s="238">
        <v>47.75</v>
      </c>
      <c r="O201" s="238">
        <v>95.5</v>
      </c>
      <c r="P201" s="235">
        <v>4.5</v>
      </c>
    </row>
    <row r="202" spans="14:16">
      <c r="N202" s="238">
        <v>48</v>
      </c>
      <c r="O202" s="238">
        <v>94.4</v>
      </c>
      <c r="P202" s="235">
        <v>5.5999999999999943</v>
      </c>
    </row>
    <row r="203" spans="14:16">
      <c r="N203" s="238">
        <v>48.25</v>
      </c>
      <c r="O203" s="238">
        <v>96.5</v>
      </c>
      <c r="P203" s="235">
        <v>3.5</v>
      </c>
    </row>
    <row r="204" spans="14:16">
      <c r="N204" s="238">
        <v>48.5</v>
      </c>
      <c r="O204" s="238">
        <v>98.6</v>
      </c>
      <c r="P204" s="235">
        <v>1.4000000000000057</v>
      </c>
    </row>
    <row r="205" spans="14:16">
      <c r="N205" s="238">
        <v>48.75</v>
      </c>
      <c r="O205" s="238">
        <v>99.1</v>
      </c>
      <c r="P205" s="235">
        <v>0.90000000000000568</v>
      </c>
    </row>
    <row r="206" spans="14:16">
      <c r="N206" s="238">
        <v>49</v>
      </c>
      <c r="O206" s="238">
        <v>96.4</v>
      </c>
      <c r="P206" s="235">
        <v>3.5999999999999943</v>
      </c>
    </row>
    <row r="207" spans="14:16">
      <c r="N207" s="238">
        <v>49.25</v>
      </c>
      <c r="O207" s="238">
        <v>98.5</v>
      </c>
      <c r="P207" s="235">
        <v>1.5</v>
      </c>
    </row>
    <row r="208" spans="14:16">
      <c r="N208" s="238">
        <v>49.5</v>
      </c>
      <c r="O208" s="238">
        <v>99</v>
      </c>
      <c r="P208" s="235">
        <v>1</v>
      </c>
    </row>
    <row r="209" spans="14:16">
      <c r="N209" s="238">
        <v>49.75</v>
      </c>
      <c r="O209" s="238">
        <v>99.5</v>
      </c>
      <c r="P209" s="235">
        <v>0.5</v>
      </c>
    </row>
    <row r="210" spans="14:16">
      <c r="N210" s="238">
        <v>50</v>
      </c>
      <c r="O210" s="238">
        <v>100</v>
      </c>
      <c r="P210" s="235">
        <v>0</v>
      </c>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2290" r:id="rId4" name="CommandButton2">
          <controlPr defaultSize="0" autoLine="0" r:id="rId5">
            <anchor moveWithCells="1">
              <from>
                <xdr:col>13</xdr:col>
                <xdr:colOff>57150</xdr:colOff>
                <xdr:row>2</xdr:row>
                <xdr:rowOff>47625</xdr:rowOff>
              </from>
              <to>
                <xdr:col>16</xdr:col>
                <xdr:colOff>0</xdr:colOff>
                <xdr:row>6</xdr:row>
                <xdr:rowOff>0</xdr:rowOff>
              </to>
            </anchor>
          </controlPr>
        </control>
      </mc:Choice>
      <mc:Fallback>
        <control shapeId="12290" r:id="rId4" name="CommandButton2"/>
      </mc:Fallback>
    </mc:AlternateContent>
    <mc:AlternateContent xmlns:mc="http://schemas.openxmlformats.org/markup-compatibility/2006">
      <mc:Choice Requires="x14">
        <control shapeId="12289" r:id="rId6" name="CommandButton1">
          <controlPr defaultSize="0" autoLine="0" r:id="rId7">
            <anchor moveWithCells="1">
              <from>
                <xdr:col>0</xdr:col>
                <xdr:colOff>295275</xdr:colOff>
                <xdr:row>0</xdr:row>
                <xdr:rowOff>133350</xdr:rowOff>
              </from>
              <to>
                <xdr:col>4</xdr:col>
                <xdr:colOff>161925</xdr:colOff>
                <xdr:row>3</xdr:row>
                <xdr:rowOff>123825</xdr:rowOff>
              </to>
            </anchor>
          </controlPr>
        </control>
      </mc:Choice>
      <mc:Fallback>
        <control shapeId="12289"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B1:AB56"/>
  <sheetViews>
    <sheetView showGridLines="0" zoomScaleNormal="100" workbookViewId="0">
      <selection activeCell="H6" sqref="H6:M18"/>
    </sheetView>
  </sheetViews>
  <sheetFormatPr defaultRowHeight="11.25"/>
  <cols>
    <col min="1" max="1" width="1" style="11" customWidth="1"/>
    <col min="2" max="2" width="15.5703125" style="11" customWidth="1"/>
    <col min="3" max="3" width="18.42578125" style="11" customWidth="1"/>
    <col min="4" max="4" width="13.7109375" style="11" customWidth="1"/>
    <col min="5" max="5" width="12.140625" style="11" customWidth="1"/>
    <col min="6" max="6" width="1.7109375" style="11" customWidth="1"/>
    <col min="7" max="7" width="13.140625" style="74" customWidth="1"/>
    <col min="8" max="8" width="12.140625" style="74" customWidth="1"/>
    <col min="9" max="10" width="13.5703125" style="11" customWidth="1"/>
    <col min="11" max="12" width="12.140625" style="11" customWidth="1"/>
    <col min="13" max="13" width="12.28515625" style="11" customWidth="1"/>
    <col min="14" max="14" width="1" style="11" customWidth="1"/>
    <col min="15" max="15" width="12.28515625" style="74" customWidth="1"/>
    <col min="16" max="17" width="8.42578125" style="11" customWidth="1"/>
    <col min="18" max="18" width="12.5703125" style="11" customWidth="1"/>
    <col min="19" max="27" width="10.28515625" style="11" customWidth="1"/>
    <col min="28" max="16384" width="9.140625" style="11"/>
  </cols>
  <sheetData>
    <row r="1" spans="2:27" ht="16.5" customHeight="1">
      <c r="B1" s="97" t="s">
        <v>103</v>
      </c>
      <c r="C1" s="98"/>
      <c r="D1" s="103">
        <v>100000</v>
      </c>
      <c r="E1" s="99"/>
    </row>
    <row r="2" spans="2:27" ht="19.5" customHeight="1">
      <c r="B2" s="94"/>
      <c r="C2" s="95"/>
      <c r="D2" s="100" t="s">
        <v>53</v>
      </c>
      <c r="E2" s="96"/>
      <c r="G2" s="78" t="s">
        <v>102</v>
      </c>
      <c r="H2" s="188"/>
      <c r="I2" s="86"/>
      <c r="J2" s="86"/>
      <c r="K2" s="86"/>
      <c r="L2" s="86"/>
      <c r="M2" s="87"/>
      <c r="O2" s="78" t="s">
        <v>102</v>
      </c>
      <c r="P2" s="86"/>
      <c r="Q2" s="86"/>
      <c r="R2" s="86"/>
      <c r="S2" s="86"/>
      <c r="T2" s="86"/>
      <c r="U2" s="86"/>
      <c r="V2" s="86"/>
      <c r="W2" s="86"/>
      <c r="X2" s="86"/>
      <c r="Y2" s="86"/>
      <c r="Z2" s="86"/>
      <c r="AA2" s="87"/>
    </row>
    <row r="3" spans="2:27" ht="19.5" customHeight="1">
      <c r="B3" s="91"/>
      <c r="C3" s="92"/>
      <c r="D3" s="101" t="s">
        <v>51</v>
      </c>
      <c r="E3" s="93"/>
      <c r="G3" s="75"/>
      <c r="H3" s="19" t="s">
        <v>204</v>
      </c>
      <c r="I3" s="19" t="s">
        <v>41</v>
      </c>
      <c r="J3" s="19" t="s">
        <v>206</v>
      </c>
      <c r="K3" s="19" t="s">
        <v>21</v>
      </c>
      <c r="L3" s="19" t="s">
        <v>89</v>
      </c>
      <c r="M3" s="53" t="s">
        <v>47</v>
      </c>
      <c r="O3" s="75"/>
      <c r="P3" s="19"/>
      <c r="Q3" s="19"/>
      <c r="R3" s="133" t="s">
        <v>129</v>
      </c>
      <c r="S3" s="19"/>
      <c r="T3" s="19"/>
      <c r="U3" s="19" t="s">
        <v>106</v>
      </c>
      <c r="V3" s="19" t="s">
        <v>188</v>
      </c>
      <c r="W3" s="19" t="s">
        <v>199</v>
      </c>
      <c r="X3" s="19"/>
      <c r="Y3" s="19" t="s">
        <v>21</v>
      </c>
      <c r="Z3" s="19" t="s">
        <v>47</v>
      </c>
      <c r="AA3" s="53" t="s">
        <v>21</v>
      </c>
    </row>
    <row r="4" spans="2:27" ht="19.5" customHeight="1">
      <c r="B4" s="88"/>
      <c r="C4" s="89"/>
      <c r="D4" s="102" t="s">
        <v>51</v>
      </c>
      <c r="E4" s="90"/>
      <c r="G4" s="76"/>
      <c r="H4" s="120" t="s">
        <v>105</v>
      </c>
      <c r="I4" s="120" t="s">
        <v>42</v>
      </c>
      <c r="J4" s="120" t="s">
        <v>207</v>
      </c>
      <c r="K4" s="9" t="s">
        <v>43</v>
      </c>
      <c r="L4" s="9" t="s">
        <v>90</v>
      </c>
      <c r="M4" s="54" t="s">
        <v>43</v>
      </c>
      <c r="O4" s="76"/>
      <c r="P4" s="120" t="s">
        <v>7</v>
      </c>
      <c r="Q4" s="120" t="s">
        <v>8</v>
      </c>
      <c r="R4" s="120" t="s">
        <v>105</v>
      </c>
      <c r="S4" s="120" t="s">
        <v>55</v>
      </c>
      <c r="T4" s="120" t="s">
        <v>10</v>
      </c>
      <c r="U4" s="120" t="s">
        <v>107</v>
      </c>
      <c r="V4" s="120" t="s">
        <v>189</v>
      </c>
      <c r="W4" s="120" t="s">
        <v>127</v>
      </c>
      <c r="X4" s="120" t="s">
        <v>114</v>
      </c>
      <c r="Y4" s="120" t="s">
        <v>108</v>
      </c>
      <c r="Z4" s="120" t="s">
        <v>108</v>
      </c>
      <c r="AA4" s="121" t="s">
        <v>109</v>
      </c>
    </row>
    <row r="5" spans="2:27" ht="16.5" customHeight="1">
      <c r="G5" s="77" t="s">
        <v>31</v>
      </c>
      <c r="H5" s="118" t="s">
        <v>44</v>
      </c>
      <c r="I5" s="118" t="s">
        <v>44</v>
      </c>
      <c r="J5" s="118" t="s">
        <v>44</v>
      </c>
      <c r="K5" s="10" t="s">
        <v>44</v>
      </c>
      <c r="L5" s="10" t="s">
        <v>63</v>
      </c>
      <c r="M5" s="55" t="s">
        <v>63</v>
      </c>
      <c r="O5" s="77" t="s">
        <v>31</v>
      </c>
      <c r="P5" s="118" t="s">
        <v>110</v>
      </c>
      <c r="Q5" s="118" t="s">
        <v>12</v>
      </c>
      <c r="R5" s="118" t="s">
        <v>111</v>
      </c>
      <c r="S5" s="118" t="s">
        <v>13</v>
      </c>
      <c r="T5" s="118" t="s">
        <v>13</v>
      </c>
      <c r="U5" s="118" t="s">
        <v>13</v>
      </c>
      <c r="V5" s="118" t="s">
        <v>116</v>
      </c>
      <c r="W5" s="118" t="s">
        <v>132</v>
      </c>
      <c r="X5" s="118" t="s">
        <v>15</v>
      </c>
      <c r="Y5" s="118" t="s">
        <v>13</v>
      </c>
      <c r="Z5" s="118" t="s">
        <v>13</v>
      </c>
      <c r="AA5" s="119" t="s">
        <v>13</v>
      </c>
    </row>
    <row r="6" spans="2:27" ht="16.5" customHeight="1">
      <c r="G6" s="80" t="s">
        <v>33</v>
      </c>
      <c r="H6" s="56">
        <v>0.74657352796729404</v>
      </c>
      <c r="I6" s="56">
        <v>0.73910779268762095</v>
      </c>
      <c r="J6" s="56">
        <v>0.36824532191387099</v>
      </c>
      <c r="K6" s="56">
        <v>0.35818852120233502</v>
      </c>
      <c r="L6" s="57">
        <v>1.4586286458885336E-3</v>
      </c>
      <c r="M6" s="58">
        <v>7.4237474790910907E-4</v>
      </c>
      <c r="O6" s="80" t="s">
        <v>33</v>
      </c>
      <c r="P6" s="57">
        <v>0</v>
      </c>
      <c r="Q6" s="57">
        <v>0</v>
      </c>
      <c r="R6" s="112">
        <v>269.4877128013253</v>
      </c>
      <c r="S6" s="57">
        <v>1.8710041992488002E-2</v>
      </c>
      <c r="T6" s="57">
        <v>1.4674215374126E-2</v>
      </c>
      <c r="U6" s="57">
        <v>3.9171685051826445E-5</v>
      </c>
      <c r="V6" s="146">
        <v>2.2916748023753923E-3</v>
      </c>
      <c r="W6" s="57">
        <v>335.08677545865635</v>
      </c>
      <c r="X6" s="112">
        <v>0.50000675441697595</v>
      </c>
      <c r="Y6" s="57">
        <v>0.45000116187147898</v>
      </c>
      <c r="Z6" s="57">
        <v>0.45000015748664701</v>
      </c>
      <c r="AA6" s="58">
        <v>0.97000000647269202</v>
      </c>
    </row>
    <row r="7" spans="2:27" ht="16.5" customHeight="1">
      <c r="C7" s="23"/>
      <c r="D7" s="23"/>
      <c r="E7" s="24"/>
      <c r="G7" s="84" t="s">
        <v>28</v>
      </c>
      <c r="H7" s="59">
        <v>24.717786630384932</v>
      </c>
      <c r="I7" s="59">
        <v>24.470608764081081</v>
      </c>
      <c r="J7" s="59">
        <v>12.203612232538674</v>
      </c>
      <c r="K7" s="59">
        <v>11.902225134221707</v>
      </c>
      <c r="L7" s="60">
        <v>2.5253112928138002E-2</v>
      </c>
      <c r="M7" s="61">
        <v>1.2568104990417E-2</v>
      </c>
      <c r="O7" s="84" t="s">
        <v>28</v>
      </c>
      <c r="P7" s="60">
        <v>0</v>
      </c>
      <c r="Q7" s="60">
        <v>0</v>
      </c>
      <c r="R7" s="111">
        <v>998.01938330302255</v>
      </c>
      <c r="S7" s="60">
        <v>6.9237600171347002E-2</v>
      </c>
      <c r="T7" s="60">
        <v>3.0167835283502999E-2</v>
      </c>
      <c r="U7" s="60">
        <v>7.1265580490901995E-2</v>
      </c>
      <c r="V7" s="226">
        <v>2.2968819554225043E-3</v>
      </c>
      <c r="W7" s="60">
        <v>336.06144307826997</v>
      </c>
      <c r="X7" s="111">
        <v>0.51528431243043604</v>
      </c>
      <c r="Y7" s="60">
        <v>0.45100339893298402</v>
      </c>
      <c r="Z7" s="60">
        <v>0.45097846197941299</v>
      </c>
      <c r="AA7" s="61">
        <v>0.970100063541951</v>
      </c>
    </row>
    <row r="8" spans="2:27" ht="16.5" customHeight="1" thickBot="1">
      <c r="B8" s="25" t="s">
        <v>48</v>
      </c>
      <c r="C8" s="26" t="s">
        <v>49</v>
      </c>
      <c r="D8" s="27"/>
      <c r="E8" s="28" t="s">
        <v>50</v>
      </c>
      <c r="G8" s="634" t="s">
        <v>3</v>
      </c>
      <c r="H8" s="639">
        <v>97.987673204328118</v>
      </c>
      <c r="I8" s="639">
        <v>97.007796472284838</v>
      </c>
      <c r="J8" s="639">
        <v>48.385682362089987</v>
      </c>
      <c r="K8" s="639">
        <v>47.138938970225595</v>
      </c>
      <c r="L8" s="640">
        <v>0.105461584503819</v>
      </c>
      <c r="M8" s="641">
        <v>5.2422289556182E-2</v>
      </c>
      <c r="O8" s="634" t="s">
        <v>3</v>
      </c>
      <c r="P8" s="635">
        <v>0</v>
      </c>
      <c r="Q8" s="635">
        <v>0</v>
      </c>
      <c r="R8" s="636">
        <v>2622.9130047924205</v>
      </c>
      <c r="S8" s="635">
        <v>0.143911357471847</v>
      </c>
      <c r="T8" s="635">
        <v>4.0113984657936003E-2</v>
      </c>
      <c r="U8" s="635">
        <v>0.35603050232122202</v>
      </c>
      <c r="V8" s="637">
        <v>2.3454965762796597E-3</v>
      </c>
      <c r="W8" s="635">
        <v>345.26767417268138</v>
      </c>
      <c r="X8" s="636">
        <v>0.65052568314155801</v>
      </c>
      <c r="Y8" s="635">
        <v>0.46007364648863402</v>
      </c>
      <c r="Z8" s="635">
        <v>0.45985721708734401</v>
      </c>
      <c r="AA8" s="638">
        <v>0.97100479377014803</v>
      </c>
    </row>
    <row r="9" spans="2:27" ht="16.5" customHeight="1">
      <c r="B9" s="29" t="s">
        <v>51</v>
      </c>
      <c r="C9" s="1" t="s">
        <v>7</v>
      </c>
      <c r="D9" s="1" t="s">
        <v>52</v>
      </c>
      <c r="E9" s="547"/>
      <c r="G9" s="84" t="s">
        <v>34</v>
      </c>
      <c r="H9" s="59">
        <v>171.65489536648403</v>
      </c>
      <c r="I9" s="59">
        <v>169.93834641281919</v>
      </c>
      <c r="J9" s="59">
        <v>84.822603407185767</v>
      </c>
      <c r="K9" s="59">
        <v>82.677170268741051</v>
      </c>
      <c r="L9" s="60">
        <v>0.18897421445690499</v>
      </c>
      <c r="M9" s="61">
        <v>9.4021829846605995E-2</v>
      </c>
      <c r="O9" s="84" t="s">
        <v>34</v>
      </c>
      <c r="P9" s="60">
        <v>0</v>
      </c>
      <c r="Q9" s="60">
        <v>0</v>
      </c>
      <c r="R9" s="111">
        <v>3601.7878097571875</v>
      </c>
      <c r="S9" s="60">
        <v>0.19630459444682899</v>
      </c>
      <c r="T9" s="60">
        <v>4.5069605587005998E-2</v>
      </c>
      <c r="U9" s="60">
        <v>0.48749406590593097</v>
      </c>
      <c r="V9" s="226">
        <v>2.4028592050272814E-3</v>
      </c>
      <c r="W9" s="60">
        <v>355.32740203114719</v>
      </c>
      <c r="X9" s="111">
        <v>0.80218226872486198</v>
      </c>
      <c r="Y9" s="60">
        <v>0.46993097342547502</v>
      </c>
      <c r="Z9" s="60">
        <v>0.46968295351587402</v>
      </c>
      <c r="AA9" s="61">
        <v>0.97200877271220498</v>
      </c>
    </row>
    <row r="10" spans="2:27" ht="16.5" customHeight="1">
      <c r="B10" s="30" t="s">
        <v>51</v>
      </c>
      <c r="C10" s="31" t="s">
        <v>8</v>
      </c>
      <c r="D10" s="31" t="s">
        <v>12</v>
      </c>
      <c r="E10" s="547"/>
      <c r="G10" s="82" t="s">
        <v>35</v>
      </c>
      <c r="H10" s="62">
        <v>253.79843696643053</v>
      </c>
      <c r="I10" s="62">
        <v>251.26045259676621</v>
      </c>
      <c r="J10" s="62">
        <v>125.42975350541759</v>
      </c>
      <c r="K10" s="62">
        <v>122.27786343059559</v>
      </c>
      <c r="L10" s="64">
        <v>0.28446778673545198</v>
      </c>
      <c r="M10" s="65">
        <v>0.14182795765984799</v>
      </c>
      <c r="O10" s="82" t="s">
        <v>35</v>
      </c>
      <c r="P10" s="64">
        <v>0</v>
      </c>
      <c r="Q10" s="64">
        <v>0</v>
      </c>
      <c r="R10" s="113">
        <v>4394.96955360012</v>
      </c>
      <c r="S10" s="64">
        <v>0.244429907805186</v>
      </c>
      <c r="T10" s="64">
        <v>4.9118713283640002E-2</v>
      </c>
      <c r="U10" s="64">
        <v>0.570668938170245</v>
      </c>
      <c r="V10" s="227">
        <v>2.462243178928028E-3</v>
      </c>
      <c r="W10" s="64">
        <v>365.5705227782567</v>
      </c>
      <c r="X10" s="113">
        <v>0.95082142853681995</v>
      </c>
      <c r="Y10" s="64">
        <v>0.47994697141924297</v>
      </c>
      <c r="Z10" s="64">
        <v>0.47972763331128598</v>
      </c>
      <c r="AA10" s="65">
        <v>0.97301630213997203</v>
      </c>
    </row>
    <row r="11" spans="2:27" ht="16.5" customHeight="1">
      <c r="B11" s="29" t="s">
        <v>53</v>
      </c>
      <c r="C11" s="32" t="s">
        <v>9</v>
      </c>
      <c r="D11" s="33" t="s">
        <v>54</v>
      </c>
      <c r="E11" s="220">
        <f>+Input_Data!C4</f>
        <v>3852</v>
      </c>
      <c r="G11" s="84" t="s">
        <v>36</v>
      </c>
      <c r="H11" s="59">
        <v>352.98162528668308</v>
      </c>
      <c r="I11" s="59">
        <v>349.45180903381623</v>
      </c>
      <c r="J11" s="59">
        <v>174.23171440344635</v>
      </c>
      <c r="K11" s="59">
        <v>169.82943986183864</v>
      </c>
      <c r="L11" s="60">
        <v>0.40026165576592498</v>
      </c>
      <c r="M11" s="61">
        <v>0.19967546776008899</v>
      </c>
      <c r="O11" s="84" t="s">
        <v>36</v>
      </c>
      <c r="P11" s="60">
        <v>0</v>
      </c>
      <c r="Q11" s="60">
        <v>0</v>
      </c>
      <c r="R11" s="111">
        <v>5231.6455100250041</v>
      </c>
      <c r="S11" s="60">
        <v>0.29384063670251398</v>
      </c>
      <c r="T11" s="60">
        <v>5.2819496321395001E-2</v>
      </c>
      <c r="U11" s="60">
        <v>0.63273376912887103</v>
      </c>
      <c r="V11" s="226">
        <v>2.5260204046412293E-3</v>
      </c>
      <c r="W11" s="60">
        <v>375.64340459896198</v>
      </c>
      <c r="X11" s="111">
        <v>1.098753901710154</v>
      </c>
      <c r="Y11" s="60">
        <v>0.49008744821887801</v>
      </c>
      <c r="Z11" s="60">
        <v>0.48986443860450002</v>
      </c>
      <c r="AA11" s="61">
        <v>0.97400771458354196</v>
      </c>
    </row>
    <row r="12" spans="2:27" ht="16.5" customHeight="1">
      <c r="B12" s="30" t="s">
        <v>53</v>
      </c>
      <c r="C12" s="34" t="s">
        <v>55</v>
      </c>
      <c r="D12" s="34" t="s">
        <v>13</v>
      </c>
      <c r="E12" s="220">
        <f>+Input_Data!C14/100</f>
        <v>0.4892428001620206</v>
      </c>
      <c r="G12" s="634" t="s">
        <v>2</v>
      </c>
      <c r="H12" s="639">
        <v>474.00494280130403</v>
      </c>
      <c r="I12" s="639">
        <v>469.26489337329099</v>
      </c>
      <c r="J12" s="639">
        <v>234.24265690760507</v>
      </c>
      <c r="K12" s="639">
        <v>228.4164343043652</v>
      </c>
      <c r="L12" s="640">
        <v>0.54732769979430296</v>
      </c>
      <c r="M12" s="641">
        <v>0.27315898138693701</v>
      </c>
      <c r="O12" s="634" t="s">
        <v>2</v>
      </c>
      <c r="P12" s="635">
        <v>0</v>
      </c>
      <c r="Q12" s="635">
        <v>0</v>
      </c>
      <c r="R12" s="636">
        <v>6143.4713708329491</v>
      </c>
      <c r="S12" s="635">
        <v>0.34698770521337202</v>
      </c>
      <c r="T12" s="635">
        <v>5.6577510114769997E-2</v>
      </c>
      <c r="U12" s="635">
        <v>0.68283512763324095</v>
      </c>
      <c r="V12" s="637">
        <v>2.5922940257894706E-3</v>
      </c>
      <c r="W12" s="635">
        <v>385.75832920319334</v>
      </c>
      <c r="X12" s="636">
        <v>1.2483156876397861</v>
      </c>
      <c r="Y12" s="635">
        <v>0.50017161520671605</v>
      </c>
      <c r="Z12" s="635">
        <v>0.49987899188412299</v>
      </c>
      <c r="AA12" s="638">
        <v>0.97500621276209398</v>
      </c>
    </row>
    <row r="13" spans="2:27" ht="16.5" customHeight="1">
      <c r="B13" s="29" t="s">
        <v>53</v>
      </c>
      <c r="C13" s="33" t="s">
        <v>10</v>
      </c>
      <c r="D13" s="33" t="s">
        <v>13</v>
      </c>
      <c r="E13" s="220">
        <f>+Input_Data!C15/100</f>
        <v>5.8675367005103618E-2</v>
      </c>
      <c r="G13" s="84" t="s">
        <v>37</v>
      </c>
      <c r="H13" s="59">
        <v>634.84321875685987</v>
      </c>
      <c r="I13" s="59">
        <v>628.49478656929125</v>
      </c>
      <c r="J13" s="59">
        <v>313.7967866051182</v>
      </c>
      <c r="K13" s="59">
        <v>306.02167724353592</v>
      </c>
      <c r="L13" s="60">
        <v>0.74691461222073896</v>
      </c>
      <c r="M13" s="61">
        <v>0.37279012081193103</v>
      </c>
      <c r="O13" s="84" t="s">
        <v>37</v>
      </c>
      <c r="P13" s="60">
        <v>0</v>
      </c>
      <c r="Q13" s="60">
        <v>0</v>
      </c>
      <c r="R13" s="111">
        <v>7167.3071555488314</v>
      </c>
      <c r="S13" s="60">
        <v>0.40985272900425801</v>
      </c>
      <c r="T13" s="60">
        <v>6.0585118363534002E-2</v>
      </c>
      <c r="U13" s="60">
        <v>0.72671671418081896</v>
      </c>
      <c r="V13" s="226">
        <v>2.6620860127241027E-3</v>
      </c>
      <c r="W13" s="60">
        <v>395.87841795905649</v>
      </c>
      <c r="X13" s="111">
        <v>1.399333080462801</v>
      </c>
      <c r="Y13" s="60">
        <v>0.51009185042236604</v>
      </c>
      <c r="Z13" s="60">
        <v>0.50978863446963396</v>
      </c>
      <c r="AA13" s="61">
        <v>0.975995081228202</v>
      </c>
    </row>
    <row r="14" spans="2:27" ht="16.5" customHeight="1">
      <c r="B14" s="30" t="s">
        <v>53</v>
      </c>
      <c r="C14" s="34" t="s">
        <v>11</v>
      </c>
      <c r="D14" s="34" t="s">
        <v>13</v>
      </c>
      <c r="E14" s="220">
        <f>+Input_Data!C17/100</f>
        <v>0.61182238010738543</v>
      </c>
      <c r="G14" s="82" t="s">
        <v>38</v>
      </c>
      <c r="H14" s="62">
        <v>862.44195087600701</v>
      </c>
      <c r="I14" s="62">
        <v>853.81753136724694</v>
      </c>
      <c r="J14" s="62">
        <v>426.91450933258142</v>
      </c>
      <c r="K14" s="62">
        <v>416.2049165206322</v>
      </c>
      <c r="L14" s="64">
        <v>1.0275263716770151</v>
      </c>
      <c r="M14" s="65">
        <v>0.51300232721470895</v>
      </c>
      <c r="O14" s="82" t="s">
        <v>38</v>
      </c>
      <c r="P14" s="64">
        <v>0</v>
      </c>
      <c r="Q14" s="64">
        <v>0</v>
      </c>
      <c r="R14" s="113">
        <v>8308.8548540217125</v>
      </c>
      <c r="S14" s="64">
        <v>0.48524621445613503</v>
      </c>
      <c r="T14" s="64">
        <v>6.5197005105708E-2</v>
      </c>
      <c r="U14" s="64">
        <v>0.76730399199731103</v>
      </c>
      <c r="V14" s="227">
        <v>2.7354306812308183E-3</v>
      </c>
      <c r="W14" s="64">
        <v>406.13364193601382</v>
      </c>
      <c r="X14" s="113">
        <v>1.54894945982329</v>
      </c>
      <c r="Y14" s="64">
        <v>0.51992269981183203</v>
      </c>
      <c r="Z14" s="64">
        <v>0.51981289734589498</v>
      </c>
      <c r="AA14" s="65">
        <v>0.97700552640343297</v>
      </c>
    </row>
    <row r="15" spans="2:27" ht="16.5" customHeight="1">
      <c r="B15" s="29" t="s">
        <v>53</v>
      </c>
      <c r="C15" s="33" t="s">
        <v>113</v>
      </c>
      <c r="D15" s="33" t="s">
        <v>116</v>
      </c>
      <c r="E15" s="219">
        <f>+Input_Data!C21</f>
        <v>2.6635870149470963E-3</v>
      </c>
      <c r="G15" s="84" t="s">
        <v>39</v>
      </c>
      <c r="H15" s="59">
        <v>1222.9318052208005</v>
      </c>
      <c r="I15" s="59">
        <v>1210.7024871685924</v>
      </c>
      <c r="J15" s="59">
        <v>605.52367384187698</v>
      </c>
      <c r="K15" s="59">
        <v>590.02866394633418</v>
      </c>
      <c r="L15" s="60">
        <v>1.4889561743420581</v>
      </c>
      <c r="M15" s="61">
        <v>0.74439624568630203</v>
      </c>
      <c r="O15" s="84" t="s">
        <v>39</v>
      </c>
      <c r="P15" s="60">
        <v>0</v>
      </c>
      <c r="Q15" s="60">
        <v>0</v>
      </c>
      <c r="R15" s="111">
        <v>9662.8685569618992</v>
      </c>
      <c r="S15" s="60">
        <v>0.58580558172011998</v>
      </c>
      <c r="T15" s="60">
        <v>7.1034852061277007E-2</v>
      </c>
      <c r="U15" s="60">
        <v>0.80746493298780198</v>
      </c>
      <c r="V15" s="226">
        <v>2.8142997985230686E-3</v>
      </c>
      <c r="W15" s="60">
        <v>416.1702944755566</v>
      </c>
      <c r="X15" s="111">
        <v>1.7004942636473539</v>
      </c>
      <c r="Y15" s="60">
        <v>0.53000522660091798</v>
      </c>
      <c r="Z15" s="60">
        <v>0.52990895434278495</v>
      </c>
      <c r="AA15" s="61">
        <v>0.97801920205262405</v>
      </c>
    </row>
    <row r="16" spans="2:27" ht="16.5" customHeight="1">
      <c r="B16" s="30" t="s">
        <v>51</v>
      </c>
      <c r="C16" s="34" t="s">
        <v>26</v>
      </c>
      <c r="D16" s="34" t="s">
        <v>132</v>
      </c>
      <c r="E16" s="218">
        <f>+Input_Data!C22</f>
        <v>375.43357674758067</v>
      </c>
      <c r="G16" s="634" t="s">
        <v>1</v>
      </c>
      <c r="H16" s="639">
        <v>1954.8544095795842</v>
      </c>
      <c r="I16" s="639">
        <v>1935.3058654837882</v>
      </c>
      <c r="J16" s="639">
        <v>969.30663946046923</v>
      </c>
      <c r="K16" s="639">
        <v>945.14328404855189</v>
      </c>
      <c r="L16" s="640">
        <v>2.4445925149532051</v>
      </c>
      <c r="M16" s="641">
        <v>1.220941314072387</v>
      </c>
      <c r="O16" s="634" t="s">
        <v>1</v>
      </c>
      <c r="P16" s="635">
        <v>0</v>
      </c>
      <c r="Q16" s="635">
        <v>0</v>
      </c>
      <c r="R16" s="636">
        <v>11450.039071967572</v>
      </c>
      <c r="S16" s="635">
        <v>0.73089453906113</v>
      </c>
      <c r="T16" s="635">
        <v>7.9953688547013999E-2</v>
      </c>
      <c r="U16" s="635">
        <v>0.85126869259708404</v>
      </c>
      <c r="V16" s="637">
        <v>2.8962979202061022E-3</v>
      </c>
      <c r="W16" s="635">
        <v>426.34754826116648</v>
      </c>
      <c r="X16" s="636">
        <v>1.849114794679505</v>
      </c>
      <c r="Y16" s="635">
        <v>0.539933904395408</v>
      </c>
      <c r="Z16" s="635">
        <v>0.53998528657946099</v>
      </c>
      <c r="AA16" s="638">
        <v>0.97901140174316803</v>
      </c>
    </row>
    <row r="17" spans="2:27" ht="16.5" customHeight="1">
      <c r="B17" s="29" t="s">
        <v>53</v>
      </c>
      <c r="C17" s="33" t="s">
        <v>114</v>
      </c>
      <c r="D17" s="2" t="s">
        <v>115</v>
      </c>
      <c r="E17" s="217">
        <f>+Input_Data!C23</f>
        <v>1.25</v>
      </c>
      <c r="G17" s="84" t="s">
        <v>27</v>
      </c>
      <c r="H17" s="59">
        <v>5364.6175813017971</v>
      </c>
      <c r="I17" s="59">
        <v>5310.9714054887791</v>
      </c>
      <c r="J17" s="59">
        <v>2662.8118484613651</v>
      </c>
      <c r="K17" s="59">
        <v>2593.9057469999261</v>
      </c>
      <c r="L17" s="60">
        <v>7.2327978997007687</v>
      </c>
      <c r="M17" s="61">
        <v>3.6232477476026981</v>
      </c>
      <c r="O17" s="84" t="s">
        <v>27</v>
      </c>
      <c r="P17" s="60">
        <v>0</v>
      </c>
      <c r="Q17" s="60">
        <v>0</v>
      </c>
      <c r="R17" s="111">
        <v>14384.082588089279</v>
      </c>
      <c r="S17" s="60">
        <v>0.95996704881315797</v>
      </c>
      <c r="T17" s="60">
        <v>0.106008523866433</v>
      </c>
      <c r="U17" s="60">
        <v>0.91947513619373999</v>
      </c>
      <c r="V17" s="147">
        <v>2.975642907009403E-3</v>
      </c>
      <c r="W17" s="60">
        <v>435.37189559783798</v>
      </c>
      <c r="X17" s="111">
        <v>1.9847462088729939</v>
      </c>
      <c r="Y17" s="60">
        <v>0.54900543941138602</v>
      </c>
      <c r="Z17" s="60">
        <v>0.54897919045713695</v>
      </c>
      <c r="AA17" s="61">
        <v>0.97990360045335401</v>
      </c>
    </row>
    <row r="18" spans="2:27" ht="16.5" customHeight="1">
      <c r="B18" s="30" t="s">
        <v>51</v>
      </c>
      <c r="C18" s="34" t="s">
        <v>88</v>
      </c>
      <c r="D18" s="34" t="s">
        <v>13</v>
      </c>
      <c r="E18" s="218">
        <f>+Input_Data!C30</f>
        <v>0.5</v>
      </c>
      <c r="G18" s="85" t="s">
        <v>40</v>
      </c>
      <c r="H18" s="66">
        <v>22178.008293539075</v>
      </c>
      <c r="I18" s="66">
        <v>21956.228210603684</v>
      </c>
      <c r="J18" s="66">
        <v>10844.095211789741</v>
      </c>
      <c r="K18" s="66">
        <v>10530.784712493767</v>
      </c>
      <c r="L18" s="67">
        <v>43.224071741193534</v>
      </c>
      <c r="M18" s="68">
        <v>23.188896154819357</v>
      </c>
      <c r="O18" s="85" t="s">
        <v>40</v>
      </c>
      <c r="P18" s="67">
        <v>0</v>
      </c>
      <c r="Q18" s="67">
        <v>0</v>
      </c>
      <c r="R18" s="115">
        <v>15689.483050228473</v>
      </c>
      <c r="S18" s="67">
        <v>0.999996053475118</v>
      </c>
      <c r="T18" s="67">
        <v>0.18403056965777501</v>
      </c>
      <c r="U18" s="67">
        <v>0.97484331154626203</v>
      </c>
      <c r="V18" s="148">
        <v>2.9843015995818728E-3</v>
      </c>
      <c r="W18" s="67">
        <v>436.36208722261506</v>
      </c>
      <c r="X18" s="115">
        <v>1.99998424202203</v>
      </c>
      <c r="Y18" s="67">
        <v>0.54999899892136395</v>
      </c>
      <c r="Z18" s="67">
        <v>0.54999922853894501</v>
      </c>
      <c r="AA18" s="68">
        <v>0.97999994109384703</v>
      </c>
    </row>
    <row r="19" spans="2:27" ht="16.5" customHeight="1">
      <c r="B19" s="29" t="s">
        <v>51</v>
      </c>
      <c r="C19" s="33" t="s">
        <v>82</v>
      </c>
      <c r="D19" s="33" t="s">
        <v>13</v>
      </c>
      <c r="E19" s="218">
        <f>+Input_Data!C27</f>
        <v>0.5</v>
      </c>
    </row>
    <row r="20" spans="2:27" ht="15" customHeight="1">
      <c r="B20" s="30" t="s">
        <v>51</v>
      </c>
      <c r="C20" s="35" t="s">
        <v>201</v>
      </c>
      <c r="D20" s="34" t="s">
        <v>13</v>
      </c>
      <c r="E20" s="218">
        <f>+Input_Data!C28</f>
        <v>0.97499999999999998</v>
      </c>
      <c r="G20" s="78" t="s">
        <v>91</v>
      </c>
      <c r="H20" s="188"/>
      <c r="I20" s="86"/>
      <c r="J20" s="86"/>
      <c r="K20" s="86"/>
      <c r="L20" s="86"/>
      <c r="M20" s="87"/>
      <c r="O20" s="172"/>
      <c r="P20" s="133"/>
      <c r="Q20" s="133"/>
      <c r="R20" s="133" t="s">
        <v>129</v>
      </c>
      <c r="S20" s="133"/>
      <c r="T20" s="133"/>
      <c r="U20" s="133" t="s">
        <v>106</v>
      </c>
      <c r="V20" s="133" t="s">
        <v>188</v>
      </c>
      <c r="W20" s="133" t="s">
        <v>199</v>
      </c>
      <c r="X20" s="133"/>
      <c r="Y20" s="133" t="s">
        <v>21</v>
      </c>
      <c r="Z20" s="133" t="s">
        <v>47</v>
      </c>
      <c r="AA20" s="173" t="s">
        <v>21</v>
      </c>
    </row>
    <row r="21" spans="2:27" ht="15" customHeight="1">
      <c r="C21" s="37"/>
      <c r="D21" s="37"/>
      <c r="E21" s="37"/>
      <c r="G21" s="79"/>
      <c r="H21" s="221" t="s">
        <v>204</v>
      </c>
      <c r="I21" s="19" t="s">
        <v>41</v>
      </c>
      <c r="J21" s="19" t="s">
        <v>206</v>
      </c>
      <c r="K21" s="19" t="s">
        <v>21</v>
      </c>
      <c r="L21" s="19" t="s">
        <v>89</v>
      </c>
      <c r="M21" s="53" t="s">
        <v>47</v>
      </c>
      <c r="O21" s="174"/>
      <c r="P21" s="116" t="s">
        <v>7</v>
      </c>
      <c r="Q21" s="116" t="s">
        <v>8</v>
      </c>
      <c r="R21" s="116" t="s">
        <v>105</v>
      </c>
      <c r="S21" s="116" t="s">
        <v>55</v>
      </c>
      <c r="T21" s="116" t="s">
        <v>10</v>
      </c>
      <c r="U21" s="116" t="s">
        <v>107</v>
      </c>
      <c r="V21" s="116" t="s">
        <v>189</v>
      </c>
      <c r="W21" s="116" t="s">
        <v>127</v>
      </c>
      <c r="X21" s="116" t="s">
        <v>114</v>
      </c>
      <c r="Y21" s="116" t="s">
        <v>108</v>
      </c>
      <c r="Z21" s="116" t="s">
        <v>108</v>
      </c>
      <c r="AA21" s="117" t="s">
        <v>109</v>
      </c>
    </row>
    <row r="22" spans="2:27" ht="15" customHeight="1" thickBot="1">
      <c r="C22" s="52" t="s">
        <v>56</v>
      </c>
      <c r="D22" s="52"/>
      <c r="E22" s="52"/>
      <c r="G22" s="77" t="s">
        <v>6</v>
      </c>
      <c r="H22" s="222" t="s">
        <v>105</v>
      </c>
      <c r="I22" s="118" t="s">
        <v>42</v>
      </c>
      <c r="J22" s="118" t="s">
        <v>207</v>
      </c>
      <c r="K22" s="118" t="s">
        <v>43</v>
      </c>
      <c r="L22" s="118" t="s">
        <v>90</v>
      </c>
      <c r="M22" s="119" t="s">
        <v>43</v>
      </c>
      <c r="O22" s="175" t="s">
        <v>6</v>
      </c>
      <c r="P22" s="118"/>
      <c r="Q22" s="118"/>
      <c r="R22" s="118"/>
      <c r="S22" s="118"/>
      <c r="T22" s="118"/>
      <c r="U22" s="118"/>
      <c r="V22" s="118"/>
      <c r="W22" s="118"/>
      <c r="X22" s="118"/>
      <c r="Y22" s="118"/>
      <c r="Z22" s="118"/>
      <c r="AA22" s="119"/>
    </row>
    <row r="23" spans="2:27" ht="15" customHeight="1">
      <c r="C23" s="49" t="s">
        <v>205</v>
      </c>
      <c r="D23" s="41" t="s">
        <v>44</v>
      </c>
      <c r="E23" s="42">
        <f>+E24/Input_Data!C29</f>
        <v>569.07487149097824</v>
      </c>
      <c r="G23" s="80" t="s">
        <v>92</v>
      </c>
      <c r="H23" s="189">
        <v>100000</v>
      </c>
      <c r="I23" s="190">
        <v>100000</v>
      </c>
      <c r="J23" s="190">
        <v>100000</v>
      </c>
      <c r="K23" s="70">
        <v>100000</v>
      </c>
      <c r="L23" s="70">
        <v>100000</v>
      </c>
      <c r="M23" s="71">
        <v>100000</v>
      </c>
      <c r="O23" s="82"/>
      <c r="P23" s="114" t="s">
        <v>51</v>
      </c>
      <c r="Q23" s="114" t="s">
        <v>51</v>
      </c>
      <c r="R23" s="114">
        <v>100000</v>
      </c>
      <c r="S23" s="114">
        <v>100000</v>
      </c>
      <c r="T23" s="114">
        <v>100000</v>
      </c>
      <c r="U23" s="114">
        <v>100000</v>
      </c>
      <c r="V23" s="114">
        <v>100000</v>
      </c>
      <c r="W23" s="114">
        <v>100000</v>
      </c>
      <c r="X23" s="114">
        <v>100000</v>
      </c>
      <c r="Y23" s="114">
        <v>100000</v>
      </c>
      <c r="Z23" s="114">
        <v>100000</v>
      </c>
      <c r="AA23" s="110">
        <v>100000</v>
      </c>
    </row>
    <row r="24" spans="2:27" ht="15" customHeight="1">
      <c r="C24" s="49" t="s">
        <v>60</v>
      </c>
      <c r="D24" s="41" t="s">
        <v>44</v>
      </c>
      <c r="E24" s="42">
        <f>+(43560*((3.2808^3)/43560*1000000)*E11*E13*E12*(1-E14)*Input_Data!C29/E15)/1000000000</f>
        <v>563.38412277606847</v>
      </c>
      <c r="G24" s="81" t="s">
        <v>45</v>
      </c>
      <c r="H24" s="191">
        <v>837.11566328362051</v>
      </c>
      <c r="I24" s="134">
        <v>828.74450665077973</v>
      </c>
      <c r="J24" s="134">
        <v>414.23997289397562</v>
      </c>
      <c r="K24" s="134">
        <v>403.87780567869589</v>
      </c>
      <c r="L24" s="134">
        <v>1.0360207121475575</v>
      </c>
      <c r="M24" s="135">
        <v>0.51801160433805316</v>
      </c>
      <c r="O24" s="81"/>
      <c r="P24" s="138" t="s">
        <v>51</v>
      </c>
      <c r="Q24" s="138" t="s">
        <v>51</v>
      </c>
      <c r="R24" s="138">
        <v>6614.4244277259168</v>
      </c>
      <c r="S24" s="138">
        <v>0.39439948882925929</v>
      </c>
      <c r="T24" s="138">
        <v>5.8701777606793078E-2</v>
      </c>
      <c r="U24" s="138">
        <v>0.63967182216393581</v>
      </c>
      <c r="V24" s="138">
        <v>2.6072418479334068E-3</v>
      </c>
      <c r="W24" s="138">
        <v>385.77686234336159</v>
      </c>
      <c r="X24" s="138">
        <v>1.2499187270780108</v>
      </c>
      <c r="Y24" s="138">
        <v>0.5000102829340155</v>
      </c>
      <c r="Z24" s="138">
        <v>0.49985212378000249</v>
      </c>
      <c r="AA24" s="139">
        <v>0.97500706801395098</v>
      </c>
    </row>
    <row r="25" spans="2:27" ht="15" customHeight="1">
      <c r="C25" s="49" t="s">
        <v>202</v>
      </c>
      <c r="D25" s="41" t="s">
        <v>44</v>
      </c>
      <c r="E25" s="42">
        <f>+E24*E18</f>
        <v>281.69206138803423</v>
      </c>
      <c r="F25" s="36"/>
      <c r="G25" s="82" t="s">
        <v>93</v>
      </c>
      <c r="H25" s="192">
        <v>474.00868939796555</v>
      </c>
      <c r="I25" s="62">
        <v>469.2686025039859</v>
      </c>
      <c r="J25" s="62">
        <v>234.26245831160423</v>
      </c>
      <c r="K25" s="62">
        <v>228.41654963000838</v>
      </c>
      <c r="L25" s="62">
        <v>0.54732776701349406</v>
      </c>
      <c r="M25" s="63">
        <v>0.27316404774311481</v>
      </c>
      <c r="O25" s="82"/>
      <c r="P25" s="64" t="s">
        <v>51</v>
      </c>
      <c r="Q25" s="64" t="s">
        <v>51</v>
      </c>
      <c r="R25" s="64">
        <v>6143.4715918180736</v>
      </c>
      <c r="S25" s="64">
        <v>0.34698901644386348</v>
      </c>
      <c r="T25" s="64">
        <v>5.6577512771351195E-2</v>
      </c>
      <c r="U25" s="64">
        <v>0.68283803233181772</v>
      </c>
      <c r="V25" s="64">
        <v>2.5922953061351681E-3</v>
      </c>
      <c r="W25" s="64">
        <v>385.75851973096997</v>
      </c>
      <c r="X25" s="64">
        <v>1.2483313436379337</v>
      </c>
      <c r="Y25" s="64">
        <v>0.50017378444325822</v>
      </c>
      <c r="Z25" s="64">
        <v>0.49987915595987775</v>
      </c>
      <c r="AA25" s="65">
        <v>0.97500623335130809</v>
      </c>
    </row>
    <row r="26" spans="2:27" ht="15" customHeight="1">
      <c r="C26" s="49" t="s">
        <v>61</v>
      </c>
      <c r="D26" s="41" t="s">
        <v>44</v>
      </c>
      <c r="E26" s="42">
        <f>+E25*E20</f>
        <v>274.64975985333336</v>
      </c>
      <c r="F26" s="36"/>
      <c r="G26" s="81" t="s">
        <v>94</v>
      </c>
      <c r="H26" s="191" t="s">
        <v>296</v>
      </c>
      <c r="I26" s="72" t="s">
        <v>296</v>
      </c>
      <c r="J26" s="72" t="s">
        <v>296</v>
      </c>
      <c r="K26" s="72" t="s">
        <v>296</v>
      </c>
      <c r="L26" s="72" t="s">
        <v>296</v>
      </c>
      <c r="M26" s="73" t="s">
        <v>296</v>
      </c>
      <c r="O26" s="81"/>
      <c r="P26" s="138" t="s">
        <v>51</v>
      </c>
      <c r="Q26" s="138" t="s">
        <v>51</v>
      </c>
      <c r="R26" s="138" t="s">
        <v>51</v>
      </c>
      <c r="S26" s="138" t="s">
        <v>51</v>
      </c>
      <c r="T26" s="138" t="s">
        <v>51</v>
      </c>
      <c r="U26" s="138" t="s">
        <v>51</v>
      </c>
      <c r="V26" s="138" t="s">
        <v>51</v>
      </c>
      <c r="W26" s="138" t="s">
        <v>51</v>
      </c>
      <c r="X26" s="138" t="s">
        <v>51</v>
      </c>
      <c r="Y26" s="138" t="s">
        <v>51</v>
      </c>
      <c r="Z26" s="138" t="s">
        <v>51</v>
      </c>
      <c r="AA26" s="139" t="s">
        <v>51</v>
      </c>
    </row>
    <row r="27" spans="2:27" ht="15" customHeight="1">
      <c r="C27" s="49" t="s">
        <v>62</v>
      </c>
      <c r="D27" s="41" t="s">
        <v>63</v>
      </c>
      <c r="E27" s="187">
        <f>+E24*E17/1000</f>
        <v>0.70423015347008566</v>
      </c>
      <c r="F27" s="36"/>
      <c r="G27" s="82" t="s">
        <v>123</v>
      </c>
      <c r="H27" s="192">
        <v>1100.4270025014894</v>
      </c>
      <c r="I27" s="62">
        <v>1089.4227324764756</v>
      </c>
      <c r="J27" s="62">
        <v>546.24802903833438</v>
      </c>
      <c r="K27" s="62">
        <v>532.57868435451621</v>
      </c>
      <c r="L27" s="62">
        <v>1.4937302965124708</v>
      </c>
      <c r="M27" s="63">
        <v>0.75001353459362885</v>
      </c>
      <c r="O27" s="82"/>
      <c r="P27" s="64" t="s">
        <v>51</v>
      </c>
      <c r="Q27" s="64" t="s">
        <v>51</v>
      </c>
      <c r="R27" s="64">
        <v>3302.2570773947114</v>
      </c>
      <c r="S27" s="64">
        <v>0.22103478305120791</v>
      </c>
      <c r="T27" s="64">
        <v>1.6192795231285341E-2</v>
      </c>
      <c r="U27" s="64">
        <v>0.19468805188803817</v>
      </c>
      <c r="V27" s="64">
        <v>1.9915326005225659E-4</v>
      </c>
      <c r="W27" s="64">
        <v>29.259674409169062</v>
      </c>
      <c r="X27" s="64">
        <v>0.43255723454882605</v>
      </c>
      <c r="Y27" s="64">
        <v>2.8870216044672759E-2</v>
      </c>
      <c r="Z27" s="64">
        <v>2.8911539124413511E-2</v>
      </c>
      <c r="AA27" s="65">
        <v>2.8862897107113073E-3</v>
      </c>
    </row>
    <row r="28" spans="2:27" ht="15" customHeight="1">
      <c r="C28" s="49" t="s">
        <v>64</v>
      </c>
      <c r="D28" s="41" t="s">
        <v>63</v>
      </c>
      <c r="E28" s="187">
        <f>+E27*E19</f>
        <v>0.35211507673504283</v>
      </c>
      <c r="F28" s="36"/>
      <c r="G28" s="81" t="s">
        <v>95</v>
      </c>
      <c r="H28" s="191">
        <v>1210939.5878344129</v>
      </c>
      <c r="I28" s="134">
        <v>1186841.8900365108</v>
      </c>
      <c r="J28" s="134">
        <v>298386.90922826499</v>
      </c>
      <c r="K28" s="134">
        <v>283640.05502878746</v>
      </c>
      <c r="L28" s="134">
        <v>2.231230198719234</v>
      </c>
      <c r="M28" s="135">
        <v>0.56252030207362858</v>
      </c>
      <c r="O28" s="81"/>
      <c r="P28" s="138" t="s">
        <v>51</v>
      </c>
      <c r="Q28" s="138" t="s">
        <v>51</v>
      </c>
      <c r="R28" s="138">
        <v>10904901.805203462</v>
      </c>
      <c r="S28" s="138">
        <v>4.8856375318494544E-2</v>
      </c>
      <c r="T28" s="138">
        <v>2.6220661740233728E-4</v>
      </c>
      <c r="U28" s="138">
        <v>3.7903437547959447E-2</v>
      </c>
      <c r="V28" s="138">
        <v>3.9662020989441739E-8</v>
      </c>
      <c r="W28" s="138">
        <v>856.12854653058298</v>
      </c>
      <c r="X28" s="138">
        <v>0.1871057611605281</v>
      </c>
      <c r="Y28" s="138">
        <v>8.3348937446608041E-4</v>
      </c>
      <c r="Z28" s="138">
        <v>8.3587709454249314E-4</v>
      </c>
      <c r="AA28" s="139">
        <v>8.3306682941579616E-6</v>
      </c>
    </row>
    <row r="29" spans="2:27" ht="15" customHeight="1">
      <c r="F29" s="36"/>
      <c r="G29" s="82" t="s">
        <v>96</v>
      </c>
      <c r="H29" s="192">
        <v>3.9243896665990587</v>
      </c>
      <c r="I29" s="62">
        <v>3.9243896665990596</v>
      </c>
      <c r="J29" s="62">
        <v>3.958953948818956</v>
      </c>
      <c r="K29" s="62">
        <v>3.9598022922511582</v>
      </c>
      <c r="L29" s="62">
        <v>4.7390855597659556</v>
      </c>
      <c r="M29" s="63">
        <v>4.8551036905556995</v>
      </c>
      <c r="O29" s="82"/>
      <c r="P29" s="64" t="s">
        <v>51</v>
      </c>
      <c r="Q29" s="64" t="s">
        <v>51</v>
      </c>
      <c r="R29" s="64">
        <v>0.44104650334572809</v>
      </c>
      <c r="S29" s="64">
        <v>0.73134911200457897</v>
      </c>
      <c r="T29" s="64">
        <v>0.88532095950231615</v>
      </c>
      <c r="U29" s="64">
        <v>-0.95182276656491582</v>
      </c>
      <c r="V29" s="64">
        <v>0.18477839284350694</v>
      </c>
      <c r="W29" s="64">
        <v>-1.6551477858664091E-3</v>
      </c>
      <c r="X29" s="64">
        <v>1.5485673688102641E-3</v>
      </c>
      <c r="Y29" s="64">
        <v>-2.8143048122088541E-3</v>
      </c>
      <c r="Z29" s="64">
        <v>4.3406561114158922E-3</v>
      </c>
      <c r="AA29" s="65">
        <v>-6.0475639320523678E-5</v>
      </c>
    </row>
    <row r="30" spans="2:27" ht="15" customHeight="1">
      <c r="F30" s="37"/>
      <c r="G30" s="81" t="s">
        <v>97</v>
      </c>
      <c r="H30" s="191">
        <v>29.629739040944699</v>
      </c>
      <c r="I30" s="134">
        <v>29.629739040944642</v>
      </c>
      <c r="J30" s="134">
        <v>30.06734604923281</v>
      </c>
      <c r="K30" s="134">
        <v>30.092814639756277</v>
      </c>
      <c r="L30" s="134">
        <v>45.939939377300881</v>
      </c>
      <c r="M30" s="135">
        <v>49.683169539371825</v>
      </c>
      <c r="O30" s="81"/>
      <c r="P30" s="138" t="s">
        <v>51</v>
      </c>
      <c r="Q30" s="138" t="s">
        <v>51</v>
      </c>
      <c r="R30" s="138">
        <v>2.400969739573628</v>
      </c>
      <c r="S30" s="138">
        <v>2.7669075309953022</v>
      </c>
      <c r="T30" s="138">
        <v>4.5402639577422805</v>
      </c>
      <c r="U30" s="138">
        <v>3.4604397146082451</v>
      </c>
      <c r="V30" s="138">
        <v>1.840833280997054</v>
      </c>
      <c r="W30" s="138">
        <v>1.7986341264048717</v>
      </c>
      <c r="X30" s="138">
        <v>1.801537142756255</v>
      </c>
      <c r="Y30" s="138">
        <v>1.7972769242788973</v>
      </c>
      <c r="Z30" s="138">
        <v>1.7965963945273546</v>
      </c>
      <c r="AA30" s="139">
        <v>1.8023761340462674</v>
      </c>
    </row>
    <row r="31" spans="2:27" ht="15" customHeight="1">
      <c r="F31" s="37"/>
      <c r="G31" s="82" t="s">
        <v>130</v>
      </c>
      <c r="H31" s="192">
        <v>1.3145459471932699</v>
      </c>
      <c r="I31" s="62">
        <v>1.3145459471932786</v>
      </c>
      <c r="J31" s="62">
        <v>1.3186753205445629</v>
      </c>
      <c r="K31" s="62">
        <v>1.3186629145405628</v>
      </c>
      <c r="L31" s="62">
        <v>1.4417957855457653</v>
      </c>
      <c r="M31" s="63">
        <v>1.4478701409634287</v>
      </c>
      <c r="O31" s="82"/>
      <c r="P31" s="64" t="s">
        <v>51</v>
      </c>
      <c r="Q31" s="64" t="s">
        <v>51</v>
      </c>
      <c r="R31" s="64">
        <v>0.499250859009368</v>
      </c>
      <c r="S31" s="64">
        <v>0.56043374626912046</v>
      </c>
      <c r="T31" s="64">
        <v>0.27584846475605673</v>
      </c>
      <c r="U31" s="64">
        <v>0.30435614817209083</v>
      </c>
      <c r="V31" s="64">
        <v>7.6384651546657481E-2</v>
      </c>
      <c r="W31" s="64">
        <v>7.5846110187724067E-2</v>
      </c>
      <c r="X31" s="64">
        <v>0.34606828842386728</v>
      </c>
      <c r="Y31" s="64">
        <v>5.7739244631660212E-2</v>
      </c>
      <c r="Z31" s="64">
        <v>5.7840184624559497E-2</v>
      </c>
      <c r="AA31" s="65">
        <v>2.960275679427186E-3</v>
      </c>
    </row>
    <row r="32" spans="2:27" ht="15" customHeight="1">
      <c r="B32" s="106" t="s">
        <v>104</v>
      </c>
      <c r="C32" s="89"/>
      <c r="D32" s="107"/>
      <c r="E32" s="89"/>
      <c r="G32" s="81" t="s">
        <v>98</v>
      </c>
      <c r="H32" s="191">
        <v>0.74657352796729382</v>
      </c>
      <c r="I32" s="134">
        <v>0.73910779268762083</v>
      </c>
      <c r="J32" s="134">
        <v>0.36824532191387138</v>
      </c>
      <c r="K32" s="134">
        <v>0.35818852120233524</v>
      </c>
      <c r="L32" s="134">
        <v>1.4586286458885336E-3</v>
      </c>
      <c r="M32" s="135">
        <v>7.4237474790910907E-4</v>
      </c>
      <c r="O32" s="81"/>
      <c r="P32" s="138" t="s">
        <v>51</v>
      </c>
      <c r="Q32" s="138" t="s">
        <v>51</v>
      </c>
      <c r="R32" s="138">
        <v>269.4877128013253</v>
      </c>
      <c r="S32" s="138">
        <v>1.8710041992487637E-2</v>
      </c>
      <c r="T32" s="138">
        <v>1.4674215374125872E-2</v>
      </c>
      <c r="U32" s="138">
        <v>3.9171685051826445E-5</v>
      </c>
      <c r="V32" s="138">
        <v>2.2916748023753923E-3</v>
      </c>
      <c r="W32" s="138">
        <v>335.08677545865635</v>
      </c>
      <c r="X32" s="138">
        <v>0.50000675441697551</v>
      </c>
      <c r="Y32" s="138">
        <v>0.45000116187147854</v>
      </c>
      <c r="Z32" s="138">
        <v>0.45000015748664746</v>
      </c>
      <c r="AA32" s="139">
        <v>0.97000000647269191</v>
      </c>
    </row>
    <row r="33" spans="2:28" ht="15" customHeight="1">
      <c r="B33" s="105" t="s">
        <v>6</v>
      </c>
      <c r="C33" s="39" t="s">
        <v>57</v>
      </c>
      <c r="D33" s="39" t="s">
        <v>58</v>
      </c>
      <c r="E33" s="40" t="s">
        <v>59</v>
      </c>
      <c r="G33" s="82" t="s">
        <v>99</v>
      </c>
      <c r="H33" s="192">
        <v>22178.008293539075</v>
      </c>
      <c r="I33" s="62">
        <v>21956.228210603684</v>
      </c>
      <c r="J33" s="62">
        <v>10844.095211789741</v>
      </c>
      <c r="K33" s="62">
        <v>10530.784712493767</v>
      </c>
      <c r="L33" s="62">
        <v>43.224071741193534</v>
      </c>
      <c r="M33" s="63">
        <v>23.188896154819357</v>
      </c>
      <c r="O33" s="82"/>
      <c r="P33" s="64" t="s">
        <v>51</v>
      </c>
      <c r="Q33" s="64" t="s">
        <v>51</v>
      </c>
      <c r="R33" s="64">
        <v>15689.483050228473</v>
      </c>
      <c r="S33" s="64">
        <v>0.99999605347511844</v>
      </c>
      <c r="T33" s="64">
        <v>0.18403056965777537</v>
      </c>
      <c r="U33" s="64">
        <v>0.97484331154626214</v>
      </c>
      <c r="V33" s="64">
        <v>2.9843015995818728E-3</v>
      </c>
      <c r="W33" s="64">
        <v>436.36208722261506</v>
      </c>
      <c r="X33" s="64">
        <v>1.9999842420220302</v>
      </c>
      <c r="Y33" s="64">
        <v>0.54999899892136417</v>
      </c>
      <c r="Z33" s="64">
        <v>0.54999922853894501</v>
      </c>
      <c r="AA33" s="65">
        <v>0.97999994109384714</v>
      </c>
    </row>
    <row r="34" spans="2:28" ht="15" customHeight="1">
      <c r="B34" s="43" t="s">
        <v>60</v>
      </c>
      <c r="C34" s="43"/>
      <c r="D34" s="44"/>
      <c r="E34" s="108" t="s">
        <v>51</v>
      </c>
      <c r="G34" s="81" t="s">
        <v>100</v>
      </c>
      <c r="H34" s="191">
        <v>22177.261720011109</v>
      </c>
      <c r="I34" s="134">
        <v>21955.489102810996</v>
      </c>
      <c r="J34" s="134">
        <v>10843.726966467828</v>
      </c>
      <c r="K34" s="134">
        <v>10530.426523972565</v>
      </c>
      <c r="L34" s="134">
        <v>43.222613112547648</v>
      </c>
      <c r="M34" s="135">
        <v>23.188153780071449</v>
      </c>
      <c r="O34" s="81"/>
      <c r="P34" s="138" t="s">
        <v>51</v>
      </c>
      <c r="Q34" s="138" t="s">
        <v>51</v>
      </c>
      <c r="R34" s="138">
        <v>15419.995337427148</v>
      </c>
      <c r="S34" s="138">
        <v>0.98128601148263084</v>
      </c>
      <c r="T34" s="138">
        <v>0.16935635428364951</v>
      </c>
      <c r="U34" s="138">
        <v>0.97480413986121028</v>
      </c>
      <c r="V34" s="138">
        <v>6.9262679720648052E-4</v>
      </c>
      <c r="W34" s="138">
        <v>101.27531176395871</v>
      </c>
      <c r="X34" s="138">
        <v>1.4999774876050547</v>
      </c>
      <c r="Y34" s="138">
        <v>9.9997837049885629E-2</v>
      </c>
      <c r="Z34" s="138">
        <v>9.999907105229755E-2</v>
      </c>
      <c r="AA34" s="139">
        <v>9.9999346211552265E-3</v>
      </c>
    </row>
    <row r="35" spans="2:28" ht="15" customHeight="1">
      <c r="B35" s="45" t="s">
        <v>61</v>
      </c>
      <c r="C35" s="45">
        <v>-100</v>
      </c>
      <c r="D35" s="46">
        <v>145.80000000000001</v>
      </c>
      <c r="E35" s="109" t="s">
        <v>51</v>
      </c>
      <c r="G35" s="82" t="s">
        <v>131</v>
      </c>
      <c r="H35" s="192">
        <v>3.4798557266565133</v>
      </c>
      <c r="I35" s="62">
        <v>3.4450571693899517</v>
      </c>
      <c r="J35" s="62">
        <v>1.7273879391389331</v>
      </c>
      <c r="K35" s="62">
        <v>1.6841616758161535</v>
      </c>
      <c r="L35" s="62">
        <v>4.7235899469780761E-3</v>
      </c>
      <c r="M35" s="63">
        <v>2.3717510452693565E-3</v>
      </c>
      <c r="O35" s="82"/>
      <c r="P35" s="64" t="s">
        <v>51</v>
      </c>
      <c r="Q35" s="64" t="s">
        <v>51</v>
      </c>
      <c r="R35" s="64">
        <v>10.442653783978219</v>
      </c>
      <c r="S35" s="64">
        <v>6.9897335656299916E-4</v>
      </c>
      <c r="T35" s="64">
        <v>5.1206114615574699E-5</v>
      </c>
      <c r="U35" s="64">
        <v>6.1565767718724544E-4</v>
      </c>
      <c r="V35" s="64">
        <v>6.2977790521295477E-7</v>
      </c>
      <c r="W35" s="64">
        <v>9.2527214727915752E-2</v>
      </c>
      <c r="X35" s="64">
        <v>1.3678660795579665E-3</v>
      </c>
      <c r="Y35" s="64">
        <v>9.1295639242303377E-5</v>
      </c>
      <c r="Z35" s="64">
        <v>9.1426314294216915E-5</v>
      </c>
      <c r="AA35" s="65">
        <v>9.1272494729562218E-6</v>
      </c>
    </row>
    <row r="36" spans="2:28" ht="15" customHeight="1">
      <c r="B36" s="44" t="s">
        <v>62</v>
      </c>
      <c r="C36" s="44"/>
      <c r="D36" s="44"/>
      <c r="E36" s="108" t="s">
        <v>51</v>
      </c>
      <c r="G36" s="83" t="s">
        <v>101</v>
      </c>
      <c r="H36" s="193">
        <v>569.07487149097824</v>
      </c>
      <c r="I36" s="136">
        <v>563.38412277606847</v>
      </c>
      <c r="J36" s="136">
        <v>281.69206138803423</v>
      </c>
      <c r="K36" s="136">
        <v>274.64975985333336</v>
      </c>
      <c r="L36" s="136">
        <v>0.70423015347008566</v>
      </c>
      <c r="M36" s="137">
        <v>0.35211507673504283</v>
      </c>
      <c r="O36" s="83"/>
      <c r="P36" s="140" t="s">
        <v>51</v>
      </c>
      <c r="Q36" s="140" t="s">
        <v>51</v>
      </c>
      <c r="R36" s="140">
        <v>3852</v>
      </c>
      <c r="S36" s="140">
        <v>0.4892428001620206</v>
      </c>
      <c r="T36" s="140">
        <v>5.8675367005103618E-2</v>
      </c>
      <c r="U36" s="140">
        <v>0.61182238010738543</v>
      </c>
      <c r="V36" s="140">
        <v>2.6635870149470963E-3</v>
      </c>
      <c r="W36" s="140">
        <v>375.43357674758067</v>
      </c>
      <c r="X36" s="140">
        <v>1.25</v>
      </c>
      <c r="Y36" s="140">
        <v>0.5</v>
      </c>
      <c r="Z36" s="140">
        <v>0.5</v>
      </c>
      <c r="AA36" s="141">
        <v>0.97499999999999998</v>
      </c>
    </row>
    <row r="37" spans="2:28" ht="15">
      <c r="B37" s="46" t="s">
        <v>64</v>
      </c>
      <c r="C37" s="46"/>
      <c r="D37" s="46"/>
      <c r="E37" s="109" t="s">
        <v>51</v>
      </c>
      <c r="R37"/>
      <c r="S37"/>
      <c r="T37"/>
      <c r="U37"/>
      <c r="V37"/>
      <c r="W37"/>
    </row>
    <row r="38" spans="2:28" ht="15">
      <c r="G38" s="214" t="s">
        <v>211</v>
      </c>
      <c r="R38" s="169" t="s">
        <v>190</v>
      </c>
      <c r="S38" s="169"/>
      <c r="T38" s="169"/>
      <c r="U38" s="169"/>
      <c r="V38" s="181"/>
      <c r="W38" s="181"/>
      <c r="X38" s="182"/>
      <c r="Y38" s="182"/>
      <c r="Z38" s="182"/>
      <c r="AA38" s="182"/>
      <c r="AB38" s="182"/>
    </row>
    <row r="39" spans="2:28" ht="18.75" customHeight="1">
      <c r="B39" s="38"/>
      <c r="G39" s="687" t="s">
        <v>6</v>
      </c>
      <c r="H39" s="688"/>
      <c r="I39" s="691" t="s">
        <v>209</v>
      </c>
      <c r="J39" s="223" t="s">
        <v>210</v>
      </c>
      <c r="K39" s="224"/>
      <c r="L39" s="225"/>
    </row>
    <row r="40" spans="2:28" ht="18.75" customHeight="1">
      <c r="G40" s="689"/>
      <c r="H40" s="690"/>
      <c r="I40" s="690"/>
      <c r="J40" s="215" t="s">
        <v>3</v>
      </c>
      <c r="K40" s="216" t="s">
        <v>2</v>
      </c>
      <c r="L40" s="207" t="s">
        <v>1</v>
      </c>
      <c r="R40" s="167" t="s">
        <v>31</v>
      </c>
      <c r="S40" s="162" t="s">
        <v>105</v>
      </c>
      <c r="T40" s="69" t="s">
        <v>105</v>
      </c>
      <c r="U40" s="163" t="s">
        <v>195</v>
      </c>
      <c r="V40" s="176" t="s">
        <v>198</v>
      </c>
      <c r="X40" s="161" t="s">
        <v>31</v>
      </c>
      <c r="Y40" s="162" t="s">
        <v>25</v>
      </c>
      <c r="Z40" s="69" t="s">
        <v>25</v>
      </c>
      <c r="AA40" s="163" t="s">
        <v>195</v>
      </c>
      <c r="AB40" s="176" t="s">
        <v>198</v>
      </c>
    </row>
    <row r="41" spans="2:28" ht="18.75" customHeight="1">
      <c r="G41" s="196" t="s">
        <v>205</v>
      </c>
      <c r="H41" s="197"/>
      <c r="I41" s="205" t="s">
        <v>44</v>
      </c>
      <c r="J41" s="198">
        <f>+H8</f>
        <v>97.987673204328118</v>
      </c>
      <c r="K41" s="198">
        <f>+H12</f>
        <v>474.00494280130403</v>
      </c>
      <c r="L41" s="199">
        <f>+H16</f>
        <v>1954.8544095795842</v>
      </c>
      <c r="R41" s="168" t="s">
        <v>111</v>
      </c>
      <c r="S41" s="165" t="s">
        <v>193</v>
      </c>
      <c r="T41" s="129" t="s">
        <v>194</v>
      </c>
      <c r="U41" s="166"/>
      <c r="V41" s="177" t="s">
        <v>137</v>
      </c>
      <c r="X41" s="164" t="s">
        <v>196</v>
      </c>
      <c r="Y41" s="165" t="s">
        <v>193</v>
      </c>
      <c r="Z41" s="129" t="s">
        <v>194</v>
      </c>
      <c r="AA41" s="166"/>
      <c r="AB41" s="177" t="s">
        <v>137</v>
      </c>
    </row>
    <row r="42" spans="2:28" ht="18.75" customHeight="1">
      <c r="G42" s="196" t="s">
        <v>60</v>
      </c>
      <c r="H42" s="197"/>
      <c r="I42" s="205" t="s">
        <v>44</v>
      </c>
      <c r="J42" s="198">
        <f>+I8</f>
        <v>97.007796472284838</v>
      </c>
      <c r="K42" s="198">
        <f>+I12</f>
        <v>469.26489337329099</v>
      </c>
      <c r="L42" s="199">
        <f>+I16</f>
        <v>1935.3058654837882</v>
      </c>
      <c r="R42" s="158" t="s">
        <v>98</v>
      </c>
      <c r="S42" s="149">
        <f>+Input_Data!F4</f>
        <v>250</v>
      </c>
      <c r="T42" s="150">
        <f>+R32</f>
        <v>269.4877128013253</v>
      </c>
      <c r="U42" s="151">
        <f>+T42-S42</f>
        <v>19.487712801325301</v>
      </c>
      <c r="V42" s="178">
        <f t="shared" ref="V42:V44" si="0">ABS(100*U42/S42)</f>
        <v>7.7950851205301204</v>
      </c>
      <c r="X42" s="158" t="s">
        <v>3</v>
      </c>
      <c r="Y42" s="149">
        <f>+Input_Data!D17</f>
        <v>30</v>
      </c>
      <c r="Z42" s="150">
        <f>+U8*100</f>
        <v>35.6030502321222</v>
      </c>
      <c r="AA42" s="151">
        <f>+Z42-Y42</f>
        <v>5.6030502321222002</v>
      </c>
      <c r="AB42" s="178">
        <f t="shared" ref="AB42:AB44" si="1">ABS(100*AA42/Y42)</f>
        <v>18.676834107074001</v>
      </c>
    </row>
    <row r="43" spans="2:28" ht="18.75" customHeight="1">
      <c r="G43" s="196" t="s">
        <v>202</v>
      </c>
      <c r="H43" s="197"/>
      <c r="I43" s="205" t="s">
        <v>44</v>
      </c>
      <c r="J43" s="198">
        <f>+J8</f>
        <v>48.385682362089987</v>
      </c>
      <c r="K43" s="198">
        <f>+J12</f>
        <v>234.24265690760507</v>
      </c>
      <c r="L43" s="199">
        <f>+J16</f>
        <v>969.30663946046923</v>
      </c>
      <c r="R43" s="159" t="s">
        <v>93</v>
      </c>
      <c r="S43" s="152">
        <f>+Input_Data!E4</f>
        <v>3852</v>
      </c>
      <c r="T43" s="153">
        <f>+R12</f>
        <v>6143.4713708329491</v>
      </c>
      <c r="U43" s="154">
        <f t="shared" ref="U43" si="2">+T43-S43</f>
        <v>2291.4713708329491</v>
      </c>
      <c r="V43" s="179">
        <f t="shared" si="0"/>
        <v>59.48783413377334</v>
      </c>
      <c r="X43" s="159" t="s">
        <v>2</v>
      </c>
      <c r="Y43" s="152">
        <f>+Input_Data!E17</f>
        <v>50</v>
      </c>
      <c r="Z43" s="153">
        <f>+U12*100</f>
        <v>68.283512763324097</v>
      </c>
      <c r="AA43" s="154">
        <f t="shared" ref="AA43:AA44" si="3">+Z43-Y43</f>
        <v>18.283512763324097</v>
      </c>
      <c r="AB43" s="179">
        <f t="shared" si="1"/>
        <v>36.567025526648195</v>
      </c>
    </row>
    <row r="44" spans="2:28" ht="18.75" customHeight="1">
      <c r="G44" s="200" t="s">
        <v>61</v>
      </c>
      <c r="H44" s="201"/>
      <c r="I44" s="206" t="s">
        <v>44</v>
      </c>
      <c r="J44" s="202">
        <f>+K8</f>
        <v>47.138938970225595</v>
      </c>
      <c r="K44" s="202">
        <f>+K12</f>
        <v>228.4164343043652</v>
      </c>
      <c r="L44" s="203">
        <f>+K16</f>
        <v>945.14328404855189</v>
      </c>
      <c r="R44" s="160" t="s">
        <v>99</v>
      </c>
      <c r="S44" s="155">
        <f>+Input_Data!D4</f>
        <v>15723</v>
      </c>
      <c r="T44" s="156">
        <f>+R33</f>
        <v>15689.483050228473</v>
      </c>
      <c r="U44" s="157">
        <f>+T44-S44</f>
        <v>-33.516949771526924</v>
      </c>
      <c r="V44" s="180">
        <f t="shared" si="0"/>
        <v>0.21317146709614529</v>
      </c>
      <c r="X44" s="160" t="s">
        <v>1</v>
      </c>
      <c r="Y44" s="155">
        <f>+Input_Data!F17</f>
        <v>85</v>
      </c>
      <c r="Z44" s="156">
        <f>+U16*100</f>
        <v>85.1268692597084</v>
      </c>
      <c r="AA44" s="157">
        <f t="shared" si="3"/>
        <v>0.1268692597083998</v>
      </c>
      <c r="AB44" s="180">
        <f t="shared" si="1"/>
        <v>0.14925795259811742</v>
      </c>
    </row>
    <row r="45" spans="2:28" ht="16.5" customHeight="1">
      <c r="B45" s="245" t="s">
        <v>220</v>
      </c>
      <c r="C45" s="246"/>
      <c r="G45" s="194" t="s">
        <v>62</v>
      </c>
      <c r="H45" s="195"/>
      <c r="I45" s="204" t="s">
        <v>63</v>
      </c>
      <c r="J45" s="208">
        <f>+L8</f>
        <v>0.105461584503819</v>
      </c>
      <c r="K45" s="208">
        <f>+L12</f>
        <v>0.54732769979430296</v>
      </c>
      <c r="L45" s="209">
        <f>+L16</f>
        <v>2.4445925149532051</v>
      </c>
      <c r="R45"/>
      <c r="S45"/>
      <c r="T45"/>
      <c r="U45"/>
      <c r="V45"/>
      <c r="X45"/>
    </row>
    <row r="46" spans="2:28" ht="16.5" customHeight="1">
      <c r="B46" s="247" t="s">
        <v>221</v>
      </c>
      <c r="C46" s="248" t="s">
        <v>223</v>
      </c>
      <c r="D46" s="249"/>
      <c r="E46" s="250"/>
      <c r="G46" s="200" t="s">
        <v>64</v>
      </c>
      <c r="H46" s="201"/>
      <c r="I46" s="206" t="s">
        <v>63</v>
      </c>
      <c r="J46" s="210">
        <f>+M8</f>
        <v>5.2422289556182E-2</v>
      </c>
      <c r="K46" s="210">
        <f>+M12</f>
        <v>0.27315898138693701</v>
      </c>
      <c r="L46" s="211">
        <f>+M16</f>
        <v>1.220941314072387</v>
      </c>
      <c r="R46" s="161" t="s">
        <v>31</v>
      </c>
      <c r="S46" s="162" t="s">
        <v>191</v>
      </c>
      <c r="T46" s="69" t="s">
        <v>191</v>
      </c>
      <c r="U46" s="163" t="s">
        <v>195</v>
      </c>
      <c r="V46" s="176" t="s">
        <v>198</v>
      </c>
      <c r="X46" s="161" t="s">
        <v>31</v>
      </c>
      <c r="Y46" s="162" t="s">
        <v>197</v>
      </c>
      <c r="Z46" s="69" t="s">
        <v>197</v>
      </c>
      <c r="AA46" s="163" t="s">
        <v>195</v>
      </c>
      <c r="AB46" s="176" t="s">
        <v>198</v>
      </c>
    </row>
    <row r="47" spans="2:28" ht="16.5" customHeight="1">
      <c r="B47" s="251" t="s">
        <v>222</v>
      </c>
      <c r="C47" s="252" t="s">
        <v>224</v>
      </c>
      <c r="D47" s="253"/>
      <c r="E47" s="254"/>
      <c r="R47" s="164" t="s">
        <v>200</v>
      </c>
      <c r="S47" s="165" t="s">
        <v>193</v>
      </c>
      <c r="T47" s="129" t="s">
        <v>194</v>
      </c>
      <c r="U47" s="166"/>
      <c r="V47" s="177" t="s">
        <v>137</v>
      </c>
      <c r="X47" s="164" t="s">
        <v>182</v>
      </c>
      <c r="Y47" s="165" t="s">
        <v>193</v>
      </c>
      <c r="Z47" s="129" t="s">
        <v>194</v>
      </c>
      <c r="AA47" s="166"/>
      <c r="AB47" s="177" t="s">
        <v>137</v>
      </c>
    </row>
    <row r="48" spans="2:28" ht="14.25" customHeight="1">
      <c r="G48" s="214" t="s">
        <v>212</v>
      </c>
      <c r="R48" s="158" t="s">
        <v>3</v>
      </c>
      <c r="S48" s="149">
        <f>+Input_Data!F14</f>
        <v>15</v>
      </c>
      <c r="T48" s="150">
        <f>+S8</f>
        <v>0.143911357471847</v>
      </c>
      <c r="U48" s="151">
        <f>+T48-S48</f>
        <v>-14.856088642528153</v>
      </c>
      <c r="V48" s="178">
        <f t="shared" ref="V48:V50" si="4">ABS(100*U48/S48)</f>
        <v>99.040590950187678</v>
      </c>
      <c r="X48" s="158" t="s">
        <v>99</v>
      </c>
      <c r="Y48" s="149">
        <f>+Input_Data!D22</f>
        <v>436.36276529399424</v>
      </c>
      <c r="Z48" s="150">
        <f>+W33</f>
        <v>436.36208722261506</v>
      </c>
      <c r="AA48" s="151">
        <f>+Z48-Y48</f>
        <v>-6.7807137918407534E-4</v>
      </c>
      <c r="AB48" s="178">
        <f>ABS(100*AA48/Y48)</f>
        <v>1.5539166792272774E-4</v>
      </c>
    </row>
    <row r="49" spans="7:28" ht="14.25" customHeight="1">
      <c r="G49" s="687" t="s">
        <v>6</v>
      </c>
      <c r="H49" s="688"/>
      <c r="I49" s="691" t="s">
        <v>209</v>
      </c>
      <c r="J49" s="223" t="s">
        <v>43</v>
      </c>
      <c r="K49" s="224"/>
      <c r="L49" s="225"/>
      <c r="R49" s="159" t="s">
        <v>2</v>
      </c>
      <c r="S49" s="152">
        <f>+Input_Data!E14</f>
        <v>45</v>
      </c>
      <c r="T49" s="153">
        <f>+S12</f>
        <v>0.34698770521337202</v>
      </c>
      <c r="U49" s="154">
        <f t="shared" ref="U49:U50" si="5">+T49-S49</f>
        <v>-44.653012294786627</v>
      </c>
      <c r="V49" s="179">
        <f t="shared" si="4"/>
        <v>99.228916210636953</v>
      </c>
      <c r="X49" s="160" t="s">
        <v>98</v>
      </c>
      <c r="Y49" s="155">
        <f>+Input_Data!F22</f>
        <v>335.08670476530557</v>
      </c>
      <c r="Z49" s="156">
        <f>+W32</f>
        <v>335.08677545865635</v>
      </c>
      <c r="AA49" s="157">
        <f>+Z49-Y49</f>
        <v>7.0693350778583408E-5</v>
      </c>
      <c r="AB49" s="180">
        <f>ABS(100*AA49/Y49)</f>
        <v>2.1097032431679726E-5</v>
      </c>
    </row>
    <row r="50" spans="7:28" ht="14.25" customHeight="1">
      <c r="G50" s="689"/>
      <c r="H50" s="690"/>
      <c r="I50" s="690"/>
      <c r="J50" s="215" t="s">
        <v>27</v>
      </c>
      <c r="K50" s="216" t="s">
        <v>125</v>
      </c>
      <c r="L50" s="207" t="s">
        <v>126</v>
      </c>
      <c r="R50" s="160" t="s">
        <v>1</v>
      </c>
      <c r="S50" s="155">
        <f>+Input_Data!D14</f>
        <v>95</v>
      </c>
      <c r="T50" s="156">
        <f>+S16</f>
        <v>0.73089453906113</v>
      </c>
      <c r="U50" s="157">
        <f t="shared" si="5"/>
        <v>-94.269105460938874</v>
      </c>
      <c r="V50" s="180">
        <f t="shared" si="4"/>
        <v>99.23063732730408</v>
      </c>
    </row>
    <row r="51" spans="7:28" ht="14.25" customHeight="1">
      <c r="G51" s="194" t="s">
        <v>61</v>
      </c>
      <c r="H51" s="195"/>
      <c r="I51" s="204" t="s">
        <v>44</v>
      </c>
      <c r="J51" s="198">
        <f>+J44</f>
        <v>47.138938970225595</v>
      </c>
      <c r="K51" s="198">
        <f>+K44-J44</f>
        <v>181.27749533413959</v>
      </c>
      <c r="L51" s="199">
        <f>+L44-K44</f>
        <v>716.72684974418667</v>
      </c>
      <c r="R51"/>
      <c r="S51"/>
      <c r="T51"/>
      <c r="U51"/>
      <c r="V51"/>
      <c r="X51"/>
    </row>
    <row r="52" spans="7:28" ht="14.25" customHeight="1">
      <c r="G52" s="200" t="s">
        <v>64</v>
      </c>
      <c r="H52" s="201"/>
      <c r="I52" s="206" t="s">
        <v>63</v>
      </c>
      <c r="J52" s="212">
        <f>+J46</f>
        <v>5.2422289556182E-2</v>
      </c>
      <c r="K52" s="212">
        <f>+K46-J46</f>
        <v>0.22073669183075501</v>
      </c>
      <c r="L52" s="213">
        <f>+L46-K46</f>
        <v>0.94778233268544998</v>
      </c>
      <c r="R52" s="161" t="s">
        <v>31</v>
      </c>
      <c r="S52" s="162" t="s">
        <v>10</v>
      </c>
      <c r="T52" s="69" t="s">
        <v>10</v>
      </c>
      <c r="U52" s="163" t="s">
        <v>195</v>
      </c>
      <c r="V52" s="176" t="s">
        <v>198</v>
      </c>
      <c r="X52" s="161" t="s">
        <v>31</v>
      </c>
      <c r="Y52" s="162" t="s">
        <v>192</v>
      </c>
      <c r="Z52" s="69" t="s">
        <v>192</v>
      </c>
      <c r="AA52" s="163" t="s">
        <v>195</v>
      </c>
      <c r="AB52" s="176" t="s">
        <v>198</v>
      </c>
    </row>
    <row r="53" spans="7:28">
      <c r="R53" s="164" t="s">
        <v>196</v>
      </c>
      <c r="S53" s="165" t="s">
        <v>193</v>
      </c>
      <c r="T53" s="129" t="s">
        <v>194</v>
      </c>
      <c r="U53" s="166"/>
      <c r="V53" s="177" t="s">
        <v>137</v>
      </c>
      <c r="X53" s="164" t="s">
        <v>170</v>
      </c>
      <c r="Y53" s="165" t="s">
        <v>193</v>
      </c>
      <c r="Z53" s="129" t="s">
        <v>194</v>
      </c>
      <c r="AA53" s="166"/>
      <c r="AB53" s="177" t="s">
        <v>137</v>
      </c>
    </row>
    <row r="54" spans="7:28">
      <c r="R54" s="158" t="s">
        <v>3</v>
      </c>
      <c r="S54" s="149">
        <f>+Input_Data!F15*100</f>
        <v>400</v>
      </c>
      <c r="T54" s="150">
        <f>+T8*100</f>
        <v>4.0113984657935999</v>
      </c>
      <c r="U54" s="151">
        <f>+T54-S54</f>
        <v>-395.9886015342064</v>
      </c>
      <c r="V54" s="178">
        <f t="shared" ref="V54:V56" si="6">ABS(100*U54/S54)</f>
        <v>98.997150383551599</v>
      </c>
      <c r="X54" s="158" t="s">
        <v>99</v>
      </c>
      <c r="Y54" s="183">
        <f>+Input_Data!F21</f>
        <v>2.9843022291809493E-3</v>
      </c>
      <c r="Z54" s="184">
        <f>+V33</f>
        <v>2.9843015995818728E-3</v>
      </c>
      <c r="AA54" s="170">
        <f>+Z54-Y54</f>
        <v>-6.2959907643281299E-10</v>
      </c>
      <c r="AB54" s="178">
        <f>ABS(100*AA54/Y54)</f>
        <v>2.1097027984515104E-5</v>
      </c>
    </row>
    <row r="55" spans="7:28">
      <c r="R55" s="159" t="s">
        <v>2</v>
      </c>
      <c r="S55" s="152">
        <f>+Input_Data!E15*100</f>
        <v>450</v>
      </c>
      <c r="T55" s="153">
        <f>+T12*100</f>
        <v>5.657751011477</v>
      </c>
      <c r="U55" s="154">
        <f t="shared" ref="U55:U56" si="7">+T55-S55</f>
        <v>-444.34224898852301</v>
      </c>
      <c r="V55" s="179">
        <f t="shared" si="6"/>
        <v>98.74272199744955</v>
      </c>
      <c r="X55" s="160" t="s">
        <v>98</v>
      </c>
      <c r="Y55" s="185">
        <f>+Input_Data!D21</f>
        <v>2.2916712413036935E-3</v>
      </c>
      <c r="Z55" s="186">
        <f>+V32</f>
        <v>2.2916748023753923E-3</v>
      </c>
      <c r="AA55" s="171">
        <f>+Z55-Y55</f>
        <v>3.5610716988057622E-9</v>
      </c>
      <c r="AB55" s="180">
        <f>ABS(100*AA55/Y55)</f>
        <v>1.5539190939010641E-4</v>
      </c>
    </row>
    <row r="56" spans="7:28">
      <c r="R56" s="160" t="s">
        <v>1</v>
      </c>
      <c r="S56" s="155">
        <f>+Input_Data!D15*100</f>
        <v>800</v>
      </c>
      <c r="T56" s="156">
        <f>+T16*100</f>
        <v>7.9953688547013995</v>
      </c>
      <c r="U56" s="157">
        <f t="shared" si="7"/>
        <v>-792.00463114529862</v>
      </c>
      <c r="V56" s="180">
        <f t="shared" si="6"/>
        <v>99.000578893162327</v>
      </c>
    </row>
  </sheetData>
  <mergeCells count="4">
    <mergeCell ref="G39:H40"/>
    <mergeCell ref="I39:I40"/>
    <mergeCell ref="G49:H50"/>
    <mergeCell ref="I49:I50"/>
  </mergeCells>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6167" r:id="rId4" name="CommandButton2">
          <controlPr defaultSize="0" autoLine="0" r:id="rId5">
            <anchor moveWithCells="1">
              <from>
                <xdr:col>2</xdr:col>
                <xdr:colOff>514350</xdr:colOff>
                <xdr:row>4</xdr:row>
                <xdr:rowOff>133350</xdr:rowOff>
              </from>
              <to>
                <xdr:col>3</xdr:col>
                <xdr:colOff>466725</xdr:colOff>
                <xdr:row>6</xdr:row>
                <xdr:rowOff>190500</xdr:rowOff>
              </to>
            </anchor>
          </controlPr>
        </control>
      </mc:Choice>
      <mc:Fallback>
        <control shapeId="6167" r:id="rId4" name="CommandButton2"/>
      </mc:Fallback>
    </mc:AlternateContent>
    <mc:AlternateContent xmlns:mc="http://schemas.openxmlformats.org/markup-compatibility/2006">
      <mc:Choice Requires="x14">
        <control shapeId="6166" r:id="rId6" name="CommandButton1">
          <controlPr defaultSize="0" autoLine="0" r:id="rId7">
            <anchor moveWithCells="1">
              <from>
                <xdr:col>1</xdr:col>
                <xdr:colOff>0</xdr:colOff>
                <xdr:row>4</xdr:row>
                <xdr:rowOff>123825</xdr:rowOff>
              </from>
              <to>
                <xdr:col>2</xdr:col>
                <xdr:colOff>419100</xdr:colOff>
                <xdr:row>6</xdr:row>
                <xdr:rowOff>180975</xdr:rowOff>
              </to>
            </anchor>
          </controlPr>
        </control>
      </mc:Choice>
      <mc:Fallback>
        <control shapeId="6166" r:id="rId6" name="CommandButton1"/>
      </mc:Fallback>
    </mc:AlternateContent>
    <mc:AlternateContent xmlns:mc="http://schemas.openxmlformats.org/markup-compatibility/2006">
      <mc:Choice Requires="x14">
        <control shapeId="6165" r:id="rId8" name="OptionButton3">
          <controlPr defaultSize="0" autoLine="0" r:id="rId9">
            <anchor moveWithCells="1">
              <from>
                <xdr:col>1</xdr:col>
                <xdr:colOff>257175</xdr:colOff>
                <xdr:row>3</xdr:row>
                <xdr:rowOff>28575</xdr:rowOff>
              </from>
              <to>
                <xdr:col>2</xdr:col>
                <xdr:colOff>485775</xdr:colOff>
                <xdr:row>4</xdr:row>
                <xdr:rowOff>19050</xdr:rowOff>
              </to>
            </anchor>
          </controlPr>
        </control>
      </mc:Choice>
      <mc:Fallback>
        <control shapeId="6165" r:id="rId8" name="OptionButton3"/>
      </mc:Fallback>
    </mc:AlternateContent>
    <mc:AlternateContent xmlns:mc="http://schemas.openxmlformats.org/markup-compatibility/2006">
      <mc:Choice Requires="x14">
        <control shapeId="6164" r:id="rId10" name="OptionButton2">
          <controlPr defaultSize="0" autoLine="0" r:id="rId11">
            <anchor moveWithCells="1">
              <from>
                <xdr:col>1</xdr:col>
                <xdr:colOff>257175</xdr:colOff>
                <xdr:row>2</xdr:row>
                <xdr:rowOff>28575</xdr:rowOff>
              </from>
              <to>
                <xdr:col>2</xdr:col>
                <xdr:colOff>485775</xdr:colOff>
                <xdr:row>3</xdr:row>
                <xdr:rowOff>19050</xdr:rowOff>
              </to>
            </anchor>
          </controlPr>
        </control>
      </mc:Choice>
      <mc:Fallback>
        <control shapeId="6164" r:id="rId10" name="OptionButton2"/>
      </mc:Fallback>
    </mc:AlternateContent>
    <mc:AlternateContent xmlns:mc="http://schemas.openxmlformats.org/markup-compatibility/2006">
      <mc:Choice Requires="x14">
        <control shapeId="6163" r:id="rId12" name="OptionButton1">
          <controlPr defaultSize="0" autoLine="0" r:id="rId13">
            <anchor moveWithCells="1">
              <from>
                <xdr:col>1</xdr:col>
                <xdr:colOff>257175</xdr:colOff>
                <xdr:row>1</xdr:row>
                <xdr:rowOff>28575</xdr:rowOff>
              </from>
              <to>
                <xdr:col>2</xdr:col>
                <xdr:colOff>485775</xdr:colOff>
                <xdr:row>2</xdr:row>
                <xdr:rowOff>19050</xdr:rowOff>
              </to>
            </anchor>
          </controlPr>
        </control>
      </mc:Choice>
      <mc:Fallback>
        <control shapeId="6163" r:id="rId12" name="OptionButton1"/>
      </mc:Fallback>
    </mc:AlternateContent>
    <mc:AlternateContent xmlns:mc="http://schemas.openxmlformats.org/markup-compatibility/2006">
      <mc:Choice Requires="x14">
        <control shapeId="6160" r:id="rId14" name="CheckBox16">
          <controlPr defaultSize="0" autoLine="0" r:id="rId15">
            <anchor moveWithCells="1">
              <from>
                <xdr:col>4</xdr:col>
                <xdr:colOff>66675</xdr:colOff>
                <xdr:row>36</xdr:row>
                <xdr:rowOff>47625</xdr:rowOff>
              </from>
              <to>
                <xdr:col>4</xdr:col>
                <xdr:colOff>219075</xdr:colOff>
                <xdr:row>37</xdr:row>
                <xdr:rowOff>9525</xdr:rowOff>
              </to>
            </anchor>
          </controlPr>
        </control>
      </mc:Choice>
      <mc:Fallback>
        <control shapeId="6160" r:id="rId14" name="CheckBox16"/>
      </mc:Fallback>
    </mc:AlternateContent>
    <mc:AlternateContent xmlns:mc="http://schemas.openxmlformats.org/markup-compatibility/2006">
      <mc:Choice Requires="x14">
        <control shapeId="6159" r:id="rId16" name="CheckBox15">
          <controlPr defaultSize="0" autoLine="0" r:id="rId15">
            <anchor moveWithCells="1">
              <from>
                <xdr:col>4</xdr:col>
                <xdr:colOff>66675</xdr:colOff>
                <xdr:row>35</xdr:row>
                <xdr:rowOff>47625</xdr:rowOff>
              </from>
              <to>
                <xdr:col>4</xdr:col>
                <xdr:colOff>219075</xdr:colOff>
                <xdr:row>36</xdr:row>
                <xdr:rowOff>9525</xdr:rowOff>
              </to>
            </anchor>
          </controlPr>
        </control>
      </mc:Choice>
      <mc:Fallback>
        <control shapeId="6159" r:id="rId16" name="CheckBox15"/>
      </mc:Fallback>
    </mc:AlternateContent>
    <mc:AlternateContent xmlns:mc="http://schemas.openxmlformats.org/markup-compatibility/2006">
      <mc:Choice Requires="x14">
        <control shapeId="6158" r:id="rId17" name="CheckBox14">
          <controlPr defaultSize="0" autoLine="0" r:id="rId15">
            <anchor moveWithCells="1">
              <from>
                <xdr:col>4</xdr:col>
                <xdr:colOff>66675</xdr:colOff>
                <xdr:row>34</xdr:row>
                <xdr:rowOff>47625</xdr:rowOff>
              </from>
              <to>
                <xdr:col>4</xdr:col>
                <xdr:colOff>219075</xdr:colOff>
                <xdr:row>35</xdr:row>
                <xdr:rowOff>9525</xdr:rowOff>
              </to>
            </anchor>
          </controlPr>
        </control>
      </mc:Choice>
      <mc:Fallback>
        <control shapeId="6158" r:id="rId17" name="CheckBox14"/>
      </mc:Fallback>
    </mc:AlternateContent>
    <mc:AlternateContent xmlns:mc="http://schemas.openxmlformats.org/markup-compatibility/2006">
      <mc:Choice Requires="x14">
        <control shapeId="6157" r:id="rId18" name="CheckBox13">
          <controlPr defaultSize="0" autoLine="0" r:id="rId15">
            <anchor moveWithCells="1">
              <from>
                <xdr:col>4</xdr:col>
                <xdr:colOff>66675</xdr:colOff>
                <xdr:row>33</xdr:row>
                <xdr:rowOff>47625</xdr:rowOff>
              </from>
              <to>
                <xdr:col>4</xdr:col>
                <xdr:colOff>219075</xdr:colOff>
                <xdr:row>34</xdr:row>
                <xdr:rowOff>9525</xdr:rowOff>
              </to>
            </anchor>
          </controlPr>
        </control>
      </mc:Choice>
      <mc:Fallback>
        <control shapeId="6157" r:id="rId18" name="CheckBox13"/>
      </mc:Fallback>
    </mc:AlternateContent>
    <mc:AlternateContent xmlns:mc="http://schemas.openxmlformats.org/markup-compatibility/2006">
      <mc:Choice Requires="x14">
        <control shapeId="6156" r:id="rId19" name="CheckBox12">
          <controlPr defaultSize="0" autoLine="0" r:id="rId20">
            <anchor moveWithCells="1">
              <from>
                <xdr:col>1</xdr:col>
                <xdr:colOff>66675</xdr:colOff>
                <xdr:row>19</xdr:row>
                <xdr:rowOff>47625</xdr:rowOff>
              </from>
              <to>
                <xdr:col>1</xdr:col>
                <xdr:colOff>219075</xdr:colOff>
                <xdr:row>20</xdr:row>
                <xdr:rowOff>66675</xdr:rowOff>
              </to>
            </anchor>
          </controlPr>
        </control>
      </mc:Choice>
      <mc:Fallback>
        <control shapeId="6156" r:id="rId19" name="CheckBox12"/>
      </mc:Fallback>
    </mc:AlternateContent>
    <mc:AlternateContent xmlns:mc="http://schemas.openxmlformats.org/markup-compatibility/2006">
      <mc:Choice Requires="x14">
        <control shapeId="6155" r:id="rId21" name="CheckBox11">
          <controlPr defaultSize="0" autoLine="0" r:id="rId22">
            <anchor moveWithCells="1">
              <from>
                <xdr:col>1</xdr:col>
                <xdr:colOff>66675</xdr:colOff>
                <xdr:row>18</xdr:row>
                <xdr:rowOff>9525</xdr:rowOff>
              </from>
              <to>
                <xdr:col>1</xdr:col>
                <xdr:colOff>219075</xdr:colOff>
                <xdr:row>19</xdr:row>
                <xdr:rowOff>19050</xdr:rowOff>
              </to>
            </anchor>
          </controlPr>
        </control>
      </mc:Choice>
      <mc:Fallback>
        <control shapeId="6155" r:id="rId21" name="CheckBox11"/>
      </mc:Fallback>
    </mc:AlternateContent>
    <mc:AlternateContent xmlns:mc="http://schemas.openxmlformats.org/markup-compatibility/2006">
      <mc:Choice Requires="x14">
        <control shapeId="6154" r:id="rId23" name="CheckBox10">
          <controlPr defaultSize="0" autoLine="0" r:id="rId20">
            <anchor moveWithCells="1">
              <from>
                <xdr:col>1</xdr:col>
                <xdr:colOff>66675</xdr:colOff>
                <xdr:row>17</xdr:row>
                <xdr:rowOff>9525</xdr:rowOff>
              </from>
              <to>
                <xdr:col>1</xdr:col>
                <xdr:colOff>219075</xdr:colOff>
                <xdr:row>18</xdr:row>
                <xdr:rowOff>9525</xdr:rowOff>
              </to>
            </anchor>
          </controlPr>
        </control>
      </mc:Choice>
      <mc:Fallback>
        <control shapeId="6154" r:id="rId23" name="CheckBox10"/>
      </mc:Fallback>
    </mc:AlternateContent>
    <mc:AlternateContent xmlns:mc="http://schemas.openxmlformats.org/markup-compatibility/2006">
      <mc:Choice Requires="x14">
        <control shapeId="6153" r:id="rId24" name="CheckBox9">
          <controlPr defaultSize="0" autoLine="0" r:id="rId25">
            <anchor moveWithCells="1">
              <from>
                <xdr:col>1</xdr:col>
                <xdr:colOff>66675</xdr:colOff>
                <xdr:row>16</xdr:row>
                <xdr:rowOff>9525</xdr:rowOff>
              </from>
              <to>
                <xdr:col>1</xdr:col>
                <xdr:colOff>219075</xdr:colOff>
                <xdr:row>17</xdr:row>
                <xdr:rowOff>19050</xdr:rowOff>
              </to>
            </anchor>
          </controlPr>
        </control>
      </mc:Choice>
      <mc:Fallback>
        <control shapeId="6153" r:id="rId24" name="CheckBox9"/>
      </mc:Fallback>
    </mc:AlternateContent>
    <mc:AlternateContent xmlns:mc="http://schemas.openxmlformats.org/markup-compatibility/2006">
      <mc:Choice Requires="x14">
        <control shapeId="6152" r:id="rId26" name="CheckBox8">
          <controlPr defaultSize="0" autoLine="0" r:id="rId20">
            <anchor moveWithCells="1">
              <from>
                <xdr:col>1</xdr:col>
                <xdr:colOff>66675</xdr:colOff>
                <xdr:row>15</xdr:row>
                <xdr:rowOff>9525</xdr:rowOff>
              </from>
              <to>
                <xdr:col>1</xdr:col>
                <xdr:colOff>219075</xdr:colOff>
                <xdr:row>16</xdr:row>
                <xdr:rowOff>9525</xdr:rowOff>
              </to>
            </anchor>
          </controlPr>
        </control>
      </mc:Choice>
      <mc:Fallback>
        <control shapeId="6152" r:id="rId26" name="CheckBox8"/>
      </mc:Fallback>
    </mc:AlternateContent>
    <mc:AlternateContent xmlns:mc="http://schemas.openxmlformats.org/markup-compatibility/2006">
      <mc:Choice Requires="x14">
        <control shapeId="6151" r:id="rId27" name="CheckBox7">
          <controlPr defaultSize="0" autoLine="0" r:id="rId25">
            <anchor moveWithCells="1">
              <from>
                <xdr:col>1</xdr:col>
                <xdr:colOff>66675</xdr:colOff>
                <xdr:row>14</xdr:row>
                <xdr:rowOff>9525</xdr:rowOff>
              </from>
              <to>
                <xdr:col>1</xdr:col>
                <xdr:colOff>219075</xdr:colOff>
                <xdr:row>15</xdr:row>
                <xdr:rowOff>19050</xdr:rowOff>
              </to>
            </anchor>
          </controlPr>
        </control>
      </mc:Choice>
      <mc:Fallback>
        <control shapeId="6151" r:id="rId27" name="CheckBox7"/>
      </mc:Fallback>
    </mc:AlternateContent>
    <mc:AlternateContent xmlns:mc="http://schemas.openxmlformats.org/markup-compatibility/2006">
      <mc:Choice Requires="x14">
        <control shapeId="6150" r:id="rId28" name="CheckBox6">
          <controlPr defaultSize="0" autoLine="0" r:id="rId29">
            <anchor moveWithCells="1">
              <from>
                <xdr:col>1</xdr:col>
                <xdr:colOff>66675</xdr:colOff>
                <xdr:row>13</xdr:row>
                <xdr:rowOff>9525</xdr:rowOff>
              </from>
              <to>
                <xdr:col>1</xdr:col>
                <xdr:colOff>219075</xdr:colOff>
                <xdr:row>14</xdr:row>
                <xdr:rowOff>9525</xdr:rowOff>
              </to>
            </anchor>
          </controlPr>
        </control>
      </mc:Choice>
      <mc:Fallback>
        <control shapeId="6150" r:id="rId28" name="CheckBox6"/>
      </mc:Fallback>
    </mc:AlternateContent>
    <mc:AlternateContent xmlns:mc="http://schemas.openxmlformats.org/markup-compatibility/2006">
      <mc:Choice Requires="x14">
        <control shapeId="6149" r:id="rId30" name="CheckBox5">
          <controlPr defaultSize="0" autoLine="0" r:id="rId25">
            <anchor moveWithCells="1">
              <from>
                <xdr:col>1</xdr:col>
                <xdr:colOff>66675</xdr:colOff>
                <xdr:row>12</xdr:row>
                <xdr:rowOff>9525</xdr:rowOff>
              </from>
              <to>
                <xdr:col>1</xdr:col>
                <xdr:colOff>219075</xdr:colOff>
                <xdr:row>13</xdr:row>
                <xdr:rowOff>19050</xdr:rowOff>
              </to>
            </anchor>
          </controlPr>
        </control>
      </mc:Choice>
      <mc:Fallback>
        <control shapeId="6149" r:id="rId30" name="CheckBox5"/>
      </mc:Fallback>
    </mc:AlternateContent>
    <mc:AlternateContent xmlns:mc="http://schemas.openxmlformats.org/markup-compatibility/2006">
      <mc:Choice Requires="x14">
        <control shapeId="6148" r:id="rId31" name="CheckBox4">
          <controlPr defaultSize="0" autoLine="0" r:id="rId29">
            <anchor moveWithCells="1">
              <from>
                <xdr:col>1</xdr:col>
                <xdr:colOff>66675</xdr:colOff>
                <xdr:row>11</xdr:row>
                <xdr:rowOff>9525</xdr:rowOff>
              </from>
              <to>
                <xdr:col>1</xdr:col>
                <xdr:colOff>219075</xdr:colOff>
                <xdr:row>12</xdr:row>
                <xdr:rowOff>9525</xdr:rowOff>
              </to>
            </anchor>
          </controlPr>
        </control>
      </mc:Choice>
      <mc:Fallback>
        <control shapeId="6148" r:id="rId31" name="CheckBox4"/>
      </mc:Fallback>
    </mc:AlternateContent>
    <mc:AlternateContent xmlns:mc="http://schemas.openxmlformats.org/markup-compatibility/2006">
      <mc:Choice Requires="x14">
        <control shapeId="6147" r:id="rId32" name="CheckBox3">
          <controlPr defaultSize="0" autoLine="0" r:id="rId29">
            <anchor moveWithCells="1">
              <from>
                <xdr:col>1</xdr:col>
                <xdr:colOff>66675</xdr:colOff>
                <xdr:row>10</xdr:row>
                <xdr:rowOff>9525</xdr:rowOff>
              </from>
              <to>
                <xdr:col>1</xdr:col>
                <xdr:colOff>219075</xdr:colOff>
                <xdr:row>11</xdr:row>
                <xdr:rowOff>9525</xdr:rowOff>
              </to>
            </anchor>
          </controlPr>
        </control>
      </mc:Choice>
      <mc:Fallback>
        <control shapeId="6147" r:id="rId32" name="CheckBox3"/>
      </mc:Fallback>
    </mc:AlternateContent>
    <mc:AlternateContent xmlns:mc="http://schemas.openxmlformats.org/markup-compatibility/2006">
      <mc:Choice Requires="x14">
        <control shapeId="6146" r:id="rId33" name="CheckBox2">
          <controlPr defaultSize="0" autoLine="0" r:id="rId20">
            <anchor moveWithCells="1">
              <from>
                <xdr:col>1</xdr:col>
                <xdr:colOff>66675</xdr:colOff>
                <xdr:row>9</xdr:row>
                <xdr:rowOff>9525</xdr:rowOff>
              </from>
              <to>
                <xdr:col>1</xdr:col>
                <xdr:colOff>219075</xdr:colOff>
                <xdr:row>10</xdr:row>
                <xdr:rowOff>9525</xdr:rowOff>
              </to>
            </anchor>
          </controlPr>
        </control>
      </mc:Choice>
      <mc:Fallback>
        <control shapeId="6146" r:id="rId33" name="CheckBox2"/>
      </mc:Fallback>
    </mc:AlternateContent>
    <mc:AlternateContent xmlns:mc="http://schemas.openxmlformats.org/markup-compatibility/2006">
      <mc:Choice Requires="x14">
        <control shapeId="6145" r:id="rId34" name="CheckBox1">
          <controlPr defaultSize="0" autoLine="0" r:id="rId20">
            <anchor moveWithCells="1">
              <from>
                <xdr:col>1</xdr:col>
                <xdr:colOff>66675</xdr:colOff>
                <xdr:row>8</xdr:row>
                <xdr:rowOff>9525</xdr:rowOff>
              </from>
              <to>
                <xdr:col>1</xdr:col>
                <xdr:colOff>219075</xdr:colOff>
                <xdr:row>9</xdr:row>
                <xdr:rowOff>9525</xdr:rowOff>
              </to>
            </anchor>
          </controlPr>
        </control>
      </mc:Choice>
      <mc:Fallback>
        <control shapeId="6145" r:id="rId34" name="CheckBox1"/>
      </mc:Fallback>
    </mc:AlternateContent>
    <mc:AlternateContent xmlns:mc="http://schemas.openxmlformats.org/markup-compatibility/2006">
      <mc:Choice Requires="x14">
        <control shapeId="6168" r:id="rId35" name="CommandButton3">
          <controlPr defaultSize="0" autoLine="0" r:id="rId36">
            <anchor moveWithCells="1">
              <from>
                <xdr:col>3</xdr:col>
                <xdr:colOff>619125</xdr:colOff>
                <xdr:row>4</xdr:row>
                <xdr:rowOff>142875</xdr:rowOff>
              </from>
              <to>
                <xdr:col>5</xdr:col>
                <xdr:colOff>76200</xdr:colOff>
                <xdr:row>6</xdr:row>
                <xdr:rowOff>200025</xdr:rowOff>
              </to>
            </anchor>
          </controlPr>
        </control>
      </mc:Choice>
      <mc:Fallback>
        <control shapeId="6168" r:id="rId35" name="CommandButton3"/>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C43:C50"/>
  <sheetViews>
    <sheetView showGridLines="0" workbookViewId="0"/>
  </sheetViews>
  <sheetFormatPr defaultRowHeight="15"/>
  <sheetData>
    <row r="43" spans="3:3">
      <c r="C43" t="s">
        <v>301</v>
      </c>
    </row>
    <row r="44" spans="3:3">
      <c r="C44" t="s">
        <v>302</v>
      </c>
    </row>
    <row r="45" spans="3:3">
      <c r="C45" t="s">
        <v>303</v>
      </c>
    </row>
    <row r="46" spans="3:3">
      <c r="C46" t="s">
        <v>304</v>
      </c>
    </row>
    <row r="47" spans="3:3">
      <c r="C47" t="s">
        <v>283</v>
      </c>
    </row>
    <row r="48" spans="3:3">
      <c r="C48" t="s">
        <v>284</v>
      </c>
    </row>
    <row r="49" spans="3:3">
      <c r="C49" t="s">
        <v>285</v>
      </c>
    </row>
    <row r="50" spans="3:3">
      <c r="C50" t="s">
        <v>286</v>
      </c>
    </row>
  </sheetData>
  <pageMargins left="0.7" right="0.7" top="0.75" bottom="0.75" header="0.3" footer="0.3"/>
  <drawing r:id="rId1"/>
  <legacyDrawing r:id="rId2"/>
  <controls>
    <mc:AlternateContent xmlns:mc="http://schemas.openxmlformats.org/markup-compatibility/2006">
      <mc:Choice Requires="x14">
        <control shapeId="7170" r:id="rId3" name="CommandButton1">
          <controlPr defaultSize="0" autoLine="0" r:id="rId4">
            <anchor moveWithCells="1">
              <from>
                <xdr:col>31</xdr:col>
                <xdr:colOff>352425</xdr:colOff>
                <xdr:row>21</xdr:row>
                <xdr:rowOff>85725</xdr:rowOff>
              </from>
              <to>
                <xdr:col>36</xdr:col>
                <xdr:colOff>381000</xdr:colOff>
                <xdr:row>25</xdr:row>
                <xdr:rowOff>85725</xdr:rowOff>
              </to>
            </anchor>
          </controlPr>
        </control>
      </mc:Choice>
      <mc:Fallback>
        <control shapeId="7170"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Composition</vt:lpstr>
      <vt:lpstr>Gas Properties PR EOS</vt:lpstr>
      <vt:lpstr>Reservoir Properties</vt:lpstr>
      <vt:lpstr>Reservoir</vt:lpstr>
      <vt:lpstr>Input_Data</vt:lpstr>
      <vt:lpstr>Statistics</vt:lpstr>
      <vt:lpstr>CB_DATA_</vt:lpstr>
      <vt:lpstr>PHI_Sw Corr</vt:lpstr>
      <vt:lpstr>Forecast_Variables_CB</vt:lpstr>
      <vt:lpstr>Charts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cp:lastPrinted>2017-01-19T13:37:28Z</cp:lastPrinted>
  <dcterms:created xsi:type="dcterms:W3CDTF">2016-03-02T13:12:55Z</dcterms:created>
  <dcterms:modified xsi:type="dcterms:W3CDTF">2023-03-26T13:30:34Z</dcterms:modified>
</cp:coreProperties>
</file>