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2.xml" ContentType="application/vnd.openxmlformats-officedocument.spreadsheetml.comments+xml"/>
  <Override PartName="/xl/charts/chart38.xml" ContentType="application/vnd.openxmlformats-officedocument.drawingml.chart+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7.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omments3.xml" ContentType="application/vnd.openxmlformats-officedocument.spreadsheetml.comments+xml"/>
  <Override PartName="/xl/charts/chart4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T:\Franco Cursos-Conferencias\Crystal Ball\09. Recursos\"/>
    </mc:Choice>
  </mc:AlternateContent>
  <bookViews>
    <workbookView xWindow="0" yWindow="0" windowWidth="23040" windowHeight="8844" tabRatio="775" activeTab="6"/>
  </bookViews>
  <sheets>
    <sheet name="Input_Data" sheetId="1" r:id="rId1"/>
    <sheet name="Probability_Scale_Data_HIDE" sheetId="4" state="hidden" r:id="rId2"/>
    <sheet name="CB_DATA_" sheetId="7" state="hidden" r:id="rId3"/>
    <sheet name="Poro vs Sw Corr" sheetId="11" r:id="rId4"/>
    <sheet name="Forecast_Variables_CB" sheetId="6" r:id="rId5"/>
    <sheet name="Charts" sheetId="8" r:id="rId6"/>
    <sheet name="Fluid Properties" sheetId="9" r:id="rId7"/>
    <sheet name="Pore Pressure" sheetId="10" r:id="rId8"/>
  </sheets>
  <functionGroups builtInGroupCount="18"/>
  <externalReferences>
    <externalReference r:id="rId9"/>
  </externalReferences>
  <definedNames>
    <definedName name="CB_06013314272a4ecd97496dbb5dfe4313" localSheetId="4" hidden="1">Forecast_Variables_CB!$E$28</definedName>
    <definedName name="CB_0a5124f9b34f40e4a5059aabbb72baf4" localSheetId="0" hidden="1">Input_Data!$C$30</definedName>
    <definedName name="CB_11cdc03c96414b14af91cac8f5fafa53" localSheetId="4" hidden="1">Forecast_Variables_CB!$E$19</definedName>
    <definedName name="CB_208b638a660c40e8b11a9dbe19c9e15f" localSheetId="0" hidden="1">Input_Data!$C$33</definedName>
    <definedName name="CB_2493cd49a9624f7eac6c5012019f32ed" localSheetId="0" hidden="1">Input_Data!$C$14</definedName>
    <definedName name="CB_262843e21e8144198232c143b5be0376" localSheetId="0" hidden="1">Input_Data!$C$31</definedName>
    <definedName name="CB_28b69b933c9e4fda8cfe97b1aebbe3b0" localSheetId="4" hidden="1">Forecast_Variables_CB!$E$27</definedName>
    <definedName name="CB_2bf730ab432f48ebb6ad3f97ec55efe9" localSheetId="4" hidden="1">Forecast_Variables_CB!$E$14</definedName>
    <definedName name="CB_3379cf9f8b7446c9abaf544e40a2e3e0" localSheetId="4" hidden="1">Forecast_Variables_CB!$E$18</definedName>
    <definedName name="CB_40d10c09955c4361aacbd174c14f4e59" localSheetId="4" hidden="1">Forecast_Variables_CB!$E$11</definedName>
    <definedName name="CB_605bb85b9ff041c0bb220c191ab1d13e" localSheetId="2" hidden="1">#N/A</definedName>
    <definedName name="CB_61575739de3f47f686f8229b97b162de" localSheetId="0" hidden="1">Input_Data!$C$10</definedName>
    <definedName name="CB_673943afd5704163829ab41528049b51" localSheetId="2" hidden="1">#N/A</definedName>
    <definedName name="CB_6b995cd8c2ea4853a7fab9359d72a1f2" localSheetId="2" hidden="1">#N/A</definedName>
    <definedName name="CB_723db26b478346b6b6987fb86116e307" localSheetId="0" hidden="1">Input_Data!$C$15</definedName>
    <definedName name="CB_77c0481a17504977821b6386985a1739" localSheetId="4" hidden="1">Forecast_Variables_CB!$E$12</definedName>
    <definedName name="CB_81e5ad12fe3b425b9c97e56b345bd7d2" localSheetId="4" hidden="1">Forecast_Variables_CB!$E$10</definedName>
    <definedName name="CB_90bc98622fe143fea058e99e2e74b5e1" localSheetId="0" hidden="1">Input_Data!$C$26</definedName>
    <definedName name="CB_91e0ac315cf242ad88b28f0003d44ed5" localSheetId="4" hidden="1">Forecast_Variables_CB!$E$16</definedName>
    <definedName name="CB_9dfeaeb8d1cc4972bdd9d41edf22b86b" localSheetId="4" hidden="1">Forecast_Variables_CB!$E$26</definedName>
    <definedName name="CB_9e702b82d7e642168be6155150e776bd" localSheetId="4" hidden="1">Forecast_Variables_CB!$E$13</definedName>
    <definedName name="CB_a2291b72bec142daaa257fed5ad2566f" localSheetId="4" hidden="1">Forecast_Variables_CB!$E$23</definedName>
    <definedName name="CB_a702ad16e3e04cb29d3cabf9b650bd5d" localSheetId="4" hidden="1">Forecast_Variables_CB!$E$24</definedName>
    <definedName name="CB_a98a704704e546f58f882043020efc61" localSheetId="4" hidden="1">Forecast_Variables_CB!$E$20</definedName>
    <definedName name="CB_b16659c53b3e4c91b568c6489fce81bc" localSheetId="4" hidden="1">Forecast_Variables_CB!$E$9</definedName>
    <definedName name="CB_bf486282c8cc46489c2b105263d029ca" localSheetId="4" hidden="1">Forecast_Variables_CB!$E$15</definedName>
    <definedName name="CB_Block_00000000000000000000000000000000" localSheetId="2" hidden="1">"'7.0.0.0"</definedName>
    <definedName name="CB_Block_00000000000000000000000000000000" localSheetId="4" hidden="1">"'7.0.0.0"</definedName>
    <definedName name="CB_Block_00000000000000000000000000000000" localSheetId="0" hidden="1">"'7.0.0.0"</definedName>
    <definedName name="CB_Block_00000000000000000000000000000000" localSheetId="3" hidden="1">"'7.0.0.0"</definedName>
    <definedName name="CB_Block_00000000000000000000000000000001" localSheetId="2" hidden="1">"'637281629358575246"</definedName>
    <definedName name="CB_Block_00000000000000000000000000000001" localSheetId="4" hidden="1">"'637281629358475240"</definedName>
    <definedName name="CB_Block_00000000000000000000000000000001" localSheetId="0" hidden="1">"'637281629358765257"</definedName>
    <definedName name="CB_Block_00000000000000000000000000000001" localSheetId="3" hidden="1">"'636929978368924223"</definedName>
    <definedName name="CB_Block_00000000000000000000000000000003" localSheetId="2" hidden="1">"'11.1.2926.0"</definedName>
    <definedName name="CB_Block_00000000000000000000000000000003" localSheetId="4" hidden="1">"'11.1.2926.0"</definedName>
    <definedName name="CB_Block_00000000000000000000000000000003" localSheetId="0" hidden="1">"'11.1.2926.0"</definedName>
    <definedName name="CB_Block_00000000000000000000000000000003" localSheetId="3" hidden="1">"'11.1.2391.0"</definedName>
    <definedName name="CB_BlockExt_00000000000000000000000000000003" localSheetId="2" hidden="1">"'11.1.2.2.000"</definedName>
    <definedName name="CB_BlockExt_00000000000000000000000000000003" localSheetId="4" hidden="1">"'11.1.2.2.000"</definedName>
    <definedName name="CB_BlockExt_00000000000000000000000000000003" localSheetId="0" hidden="1">"'11.1.2.2.000"</definedName>
    <definedName name="CB_BlockExt_00000000000000000000000000000003" localSheetId="3" hidden="1">"'11.1.2.1.000"</definedName>
    <definedName name="CB_c065f055b8a64a93b5f08377d5b1cf27" localSheetId="0" hidden="1">Input_Data!$C$17</definedName>
    <definedName name="CB_c114cf6646f5437fa8bef9ce1d67aaa7" localSheetId="4" hidden="1">Forecast_Variables_CB!$E$25</definedName>
    <definedName name="CB_d3b4210b59654931a5d9f57cb39dcfb7" localSheetId="4" hidden="1">Forecast_Variables_CB!$E$17</definedName>
    <definedName name="CB_d8eafb6cd23649e9bda9eef3db5018ea" localSheetId="0" hidden="1">Input_Data!$C$25</definedName>
    <definedName name="CB_e080c51885ad4688934d1ea61a429132" localSheetId="2" hidden="1">#N/A</definedName>
    <definedName name="CB_eb2fedc52da54f20b7ee7e8eb1def838" localSheetId="2" hidden="1">#N/A</definedName>
    <definedName name="CBCR_025004cd53a64bb1baff07fff83a4e1f" localSheetId="4" hidden="1">Forecast_Variables_CB!$C$19</definedName>
    <definedName name="CBCR_0aa1a63ca69b4236a20a5d8fd9dd94c4" localSheetId="4" hidden="1">Forecast_Variables_CB!$C$24</definedName>
    <definedName name="CBCR_134fe4d8f2814c7e9e812aa401728a32" localSheetId="0" hidden="1">Input_Data!$F$30</definedName>
    <definedName name="CBCR_2c743e7ba60745a198f16f64d1a96e92" localSheetId="0" hidden="1">Input_Data!$D$26</definedName>
    <definedName name="CBCR_2cd02b7856934446928d5b31b2418076" localSheetId="0" hidden="1">Input_Data!$D$14</definedName>
    <definedName name="CBCR_2f99f46360f34cbdbc19b57ef9be3fa8" localSheetId="0" hidden="1">Input_Data!$F$15</definedName>
    <definedName name="CBCR_35b2f3b05ddb475b8b2aca5a03c255fb" localSheetId="4" hidden="1">Forecast_Variables_CB!$C$17</definedName>
    <definedName name="CBCR_35c8cbaa585541e19f2318f3734d04ed" localSheetId="0" hidden="1">Input_Data!$F$33</definedName>
    <definedName name="CBCR_37ec53aabe0c454d9e683d889224e8c8" localSheetId="0" hidden="1">Input_Data!$F$10</definedName>
    <definedName name="CBCR_42063034b11a4ab68a549dfa5c0039d1" localSheetId="0" hidden="1">Input_Data!$D$25</definedName>
    <definedName name="CBCR_4319e631b714428bacfdf72075c2b9d6" localSheetId="4" hidden="1">Forecast_Variables_CB!$C$23</definedName>
    <definedName name="CBCR_5093db7d73d4410f832e6bef79fa819e" localSheetId="0" hidden="1">Input_Data!$D$10</definedName>
    <definedName name="CBCR_56f9675d4ae649e0806efc942d23b010" localSheetId="0" hidden="1">Input_Data!$F$14</definedName>
    <definedName name="CBCR_5750fcd70f5d4853ae7118f6a53a18e7" localSheetId="4" hidden="1">Forecast_Variables_CB!$C$18</definedName>
    <definedName name="CBCR_5df4b2c537f14072941af8962407851c" localSheetId="0" hidden="1">Input_Data!$D$31</definedName>
    <definedName name="CBCR_651bde2d819144d9822afbf1f29d514e" localSheetId="0" hidden="1">Input_Data!$F$26</definedName>
    <definedName name="CBCR_69ab8fa6d6aa410681652888daf58bef" localSheetId="4" hidden="1">Forecast_Variables_CB!$D$27</definedName>
    <definedName name="CBCR_6a3c8f40d741491cac58d0a53e9521f2" localSheetId="4" hidden="1">Forecast_Variables_CB!$C$27</definedName>
    <definedName name="CBCR_8019b658d48b4fdab9a25a0b9e0997cd" localSheetId="0" hidden="1">Input_Data!$D$30</definedName>
    <definedName name="CBCR_86d88ca4b09149ddbd4532b59c8b7ebf" localSheetId="4" hidden="1">Forecast_Variables_CB!$C$26</definedName>
    <definedName name="CBCR_880eb5e0824440a180ab1a8cb0863615" localSheetId="4" hidden="1">Forecast_Variables_CB!$D$26</definedName>
    <definedName name="CBCR_9492f7f39ec8470487e987a41f267007" localSheetId="0" hidden="1">Input_Data!$F$31</definedName>
    <definedName name="CBCR_9c8f5a4a83cc42eebcfcc2bc86dd608b" localSheetId="4" hidden="1">Forecast_Variables_CB!$C$15</definedName>
    <definedName name="CBCR_9fa64698989b4d64abab9cf2192448c3" localSheetId="4" hidden="1">Forecast_Variables_CB!$D$25</definedName>
    <definedName name="CBCR_a198e12c3aac48eca625f4e75d3cdf8f" localSheetId="4" hidden="1">Forecast_Variables_CB!$D$28</definedName>
    <definedName name="CBCR_aac63d7f616549e38e890334dccb8290" localSheetId="0" hidden="1">Input_Data!$F$17</definedName>
    <definedName name="CBCR_c7d49e51fc97429aa1e913e5e3278f03" localSheetId="0" hidden="1">Input_Data!$F$25</definedName>
    <definedName name="CBCR_d1d7948d27564055bbd2fa908b2b9842" localSheetId="0" hidden="1">Input_Data!$D$33</definedName>
    <definedName name="CBCR_d40eff08e1a448389a6583218ea7a222" localSheetId="4" hidden="1">Forecast_Variables_CB!$D$16</definedName>
    <definedName name="CBCR_e27eb4f7bbfa49b6814347c8b68ca887" localSheetId="0" hidden="1">Input_Data!$D$15</definedName>
    <definedName name="CBCR_e8f94b222d5c4ea8b205c79d940bd41e" localSheetId="4" hidden="1">Forecast_Variables_CB!$D$23</definedName>
    <definedName name="CBCR_e9a0b3e13ae141758fc35d216fdd76d2" localSheetId="4" hidden="1">Forecast_Variables_CB!$C$25</definedName>
    <definedName name="CBCR_f2344847400e48578bb68259a319d380" localSheetId="4" hidden="1">Forecast_Variables_CB!$C$28</definedName>
    <definedName name="CBCR_f3a1fcd624624296b7047f78a5cdfd02" localSheetId="0" hidden="1">Input_Data!$E$10</definedName>
    <definedName name="CBCR_fa65e572e20a4cc1ad47c76366074985" localSheetId="0" hidden="1">Input_Data!$D$17</definedName>
    <definedName name="CBWorkbookPriority" localSheetId="2" hidden="1">-1847516749</definedName>
    <definedName name="CBx_9b6b6d25f49b4508a212a6ba9f793f11" localSheetId="2" hidden="1">"'Input_Data'!$A$1"</definedName>
    <definedName name="CBx_ab931052731f4ec38d9a21f5c863cacb" localSheetId="2" hidden="1">"'Forecast_Variables_CB'!$A$1"</definedName>
    <definedName name="CBx_adc4d60abc6040bf99961cff3119142d" localSheetId="2" hidden="1">"'CB_DATA_'!$A$1"</definedName>
    <definedName name="CBx_f52f9d40610d4c85bb205758f73db2bd" localSheetId="2" hidden="1">"'Poro vs Sw Corr'!$A$1"</definedName>
    <definedName name="CBx_Sheet_Guid" localSheetId="2" hidden="1">"'adc4d60a-bc60-40bf-9996-1cff3119142d"</definedName>
    <definedName name="CBx_Sheet_Guid" localSheetId="4" hidden="1">"'ab931052-731f-4ec3-8d9a-21f5c863cacb"</definedName>
    <definedName name="CBx_Sheet_Guid" localSheetId="0" hidden="1">"'9b6b6d25-f49b-4508-a212-a6ba9f793f11"</definedName>
    <definedName name="CBx_Sheet_Guid" localSheetId="3" hidden="1">"'f52f9d40-610d-4c85-bb20-5758f73db2bd"</definedName>
    <definedName name="CBx_SheetRef" localSheetId="2" hidden="1">CB_DATA_!$A$14</definedName>
    <definedName name="CBx_SheetRef" localSheetId="4" hidden="1">CB_DATA_!$B$14</definedName>
    <definedName name="CBx_SheetRef" localSheetId="0" hidden="1">CB_DATA_!$C$14</definedName>
    <definedName name="CBx_SheetRef" localSheetId="3" hidden="1">CB_DATA_!$D$14</definedName>
    <definedName name="CBx_StorageType" localSheetId="2" hidden="1">2</definedName>
    <definedName name="CBx_StorageType" localSheetId="4" hidden="1">2</definedName>
    <definedName name="CBx_StorageType" localSheetId="0" hidden="1">2</definedName>
    <definedName name="CBx_StorageType" localSheetId="3" hidden="1">2</definedName>
    <definedName name="factor_z">[1]Solution_Tables!$D$10:$D$59</definedName>
    <definedName name="func_pressure">[1]Solution_Tables!$C$10:$C$59</definedName>
    <definedName name="func_pseudo_pressure">[1]Solution_Tables!$J$10:$J$59</definedName>
    <definedName name="gas_viscosity">[1]Solution_Tables!$G$10:$G$59</definedName>
    <definedName name="Lista_Grupos">[1]GAP_model_Summary_OP!$E$7</definedName>
    <definedName name="Lista_Reservorios">[1]GAP_model_Summary_OP!$I$7:$I$8</definedName>
    <definedName name="Lista_separadores_plant_capacity">[1]GAP_model_Summary_OP!$G$7</definedName>
    <definedName name="Lista_Trans">[1]GAP_model_Summary_OP!$L$7</definedName>
    <definedName name="p_z">[1]Solution_Tables!$K$10:$K$59</definedName>
    <definedName name="pressure">[1]Solution_Tables!$C$10:$C$59</definedName>
  </definedNames>
  <calcPr calcId="152511"/>
</workbook>
</file>

<file path=xl/calcChain.xml><?xml version="1.0" encoding="utf-8"?>
<calcChain xmlns="http://schemas.openxmlformats.org/spreadsheetml/2006/main">
  <c r="C33" i="9" l="1"/>
  <c r="C37" i="9" s="1"/>
  <c r="C108" i="4" l="1"/>
  <c r="D10" i="11" l="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E9" i="10"/>
  <c r="D9" i="10"/>
  <c r="D11" i="7"/>
  <c r="D80" i="4" l="1"/>
  <c r="C80" i="4"/>
  <c r="B80" i="4"/>
  <c r="D75" i="4" l="1"/>
  <c r="B85" i="4"/>
  <c r="B107" i="4" s="1"/>
  <c r="A83" i="4"/>
  <c r="B83" i="4" s="1"/>
  <c r="B75" i="4"/>
  <c r="C81" i="4"/>
  <c r="B76" i="4" s="1"/>
  <c r="B74" i="4" s="1"/>
  <c r="B73" i="4" s="1"/>
  <c r="E19" i="1"/>
  <c r="F19" i="1"/>
  <c r="D19" i="1"/>
  <c r="D20" i="1" s="1"/>
  <c r="D85" i="4" l="1"/>
  <c r="B86" i="4"/>
  <c r="D76" i="4"/>
  <c r="D74" i="4" s="1"/>
  <c r="D73" i="4" s="1"/>
  <c r="C85" i="4" s="1"/>
  <c r="E85" i="4" s="1"/>
  <c r="D86" i="4"/>
  <c r="AC32" i="4"/>
  <c r="C86" i="4" l="1"/>
  <c r="E86" i="4" s="1"/>
  <c r="F24" i="1"/>
  <c r="T111" i="1" s="1"/>
  <c r="D24" i="1"/>
  <c r="S111" i="1" s="1"/>
  <c r="T114" i="1" l="1"/>
  <c r="S110" i="1"/>
  <c r="T110" i="1" s="1"/>
  <c r="V111" i="1"/>
  <c r="U111" i="1"/>
  <c r="S114" i="1"/>
  <c r="R114" i="1" s="1"/>
  <c r="Q114" i="1" s="1"/>
  <c r="Q111" i="1"/>
  <c r="R111" i="1"/>
  <c r="E10" i="10"/>
  <c r="E11" i="10" s="1"/>
  <c r="E12" i="10" s="1"/>
  <c r="D10" i="10"/>
  <c r="D11" i="10" s="1"/>
  <c r="D12" i="10" s="1"/>
  <c r="F4" i="10"/>
  <c r="F3" i="10"/>
  <c r="S113" i="1" l="1"/>
  <c r="T113" i="1" s="1"/>
  <c r="U114" i="1"/>
  <c r="V114" i="1" s="1"/>
  <c r="L46" i="6"/>
  <c r="L45" i="6"/>
  <c r="K46" i="6"/>
  <c r="K45" i="6"/>
  <c r="J46" i="6"/>
  <c r="J52" i="6" s="1"/>
  <c r="J45" i="6"/>
  <c r="L44" i="6"/>
  <c r="L43" i="6"/>
  <c r="L42" i="6"/>
  <c r="L41" i="6"/>
  <c r="K44" i="6"/>
  <c r="K43" i="6"/>
  <c r="K42" i="6"/>
  <c r="K41" i="6"/>
  <c r="J44" i="6"/>
  <c r="J51" i="6" s="1"/>
  <c r="J43" i="6"/>
  <c r="J42" i="6"/>
  <c r="J41" i="6"/>
  <c r="T44" i="6"/>
  <c r="S44" i="6"/>
  <c r="T43" i="6"/>
  <c r="T42" i="6"/>
  <c r="F33" i="10"/>
  <c r="U44" i="6" l="1"/>
  <c r="E20" i="6"/>
  <c r="L51" i="6"/>
  <c r="K51" i="6"/>
  <c r="K52" i="6"/>
  <c r="L52" i="6"/>
  <c r="AG32" i="4"/>
  <c r="AC30" i="4"/>
  <c r="AC33" i="4" l="1"/>
  <c r="K35" i="9"/>
  <c r="E38" i="10"/>
  <c r="D38" i="10"/>
  <c r="AC34" i="4" l="1"/>
  <c r="E41" i="9"/>
  <c r="D20" i="10"/>
  <c r="AC35" i="4" l="1"/>
  <c r="AG33" i="4"/>
  <c r="Z49" i="6"/>
  <c r="Z48" i="6"/>
  <c r="AC36" i="4" l="1"/>
  <c r="AG34" i="4"/>
  <c r="Z55" i="6"/>
  <c r="Z54" i="6"/>
  <c r="Z42" i="6"/>
  <c r="Z44" i="6"/>
  <c r="Z43" i="6"/>
  <c r="T56" i="6"/>
  <c r="T55" i="6"/>
  <c r="T54" i="6"/>
  <c r="S56" i="6"/>
  <c r="S55" i="6"/>
  <c r="S54" i="6"/>
  <c r="T50" i="6"/>
  <c r="T49" i="6"/>
  <c r="T48" i="6"/>
  <c r="S50" i="6"/>
  <c r="S49" i="6"/>
  <c r="S48" i="6"/>
  <c r="S43" i="6"/>
  <c r="U43" i="6" s="1"/>
  <c r="V43" i="6" s="1"/>
  <c r="S42" i="6"/>
  <c r="J30" i="9"/>
  <c r="J31" i="9"/>
  <c r="AC37" i="4" l="1"/>
  <c r="AG35" i="4"/>
  <c r="U42" i="6"/>
  <c r="V42" i="6" s="1"/>
  <c r="V44" i="6"/>
  <c r="E16" i="6"/>
  <c r="U56" i="6"/>
  <c r="V56" i="6" s="1"/>
  <c r="U55" i="6"/>
  <c r="V55" i="6" s="1"/>
  <c r="U54" i="6"/>
  <c r="V54" i="6" s="1"/>
  <c r="U50" i="6"/>
  <c r="V50" i="6" s="1"/>
  <c r="U49" i="6"/>
  <c r="V49" i="6" s="1"/>
  <c r="U48" i="6"/>
  <c r="V48" i="6" s="1"/>
  <c r="D32" i="10"/>
  <c r="D40" i="10" s="1"/>
  <c r="E39" i="10"/>
  <c r="D39" i="10"/>
  <c r="AC38" i="4" l="1"/>
  <c r="D41" i="10"/>
  <c r="AG36" i="4"/>
  <c r="E40" i="10"/>
  <c r="E41" i="10" s="1"/>
  <c r="AC39" i="4" l="1"/>
  <c r="AG37" i="4"/>
  <c r="Q49" i="9"/>
  <c r="Q50" i="9" s="1"/>
  <c r="Q43" i="9"/>
  <c r="Q44" i="9" s="1"/>
  <c r="AC40" i="4" l="1"/>
  <c r="AG38" i="4"/>
  <c r="E14" i="10"/>
  <c r="D14" i="10"/>
  <c r="Y54" i="6"/>
  <c r="AA54" i="6" s="1"/>
  <c r="AB54" i="6" s="1"/>
  <c r="Y55" i="6"/>
  <c r="AA55" i="6" s="1"/>
  <c r="AB55" i="6" s="1"/>
  <c r="P42" i="9"/>
  <c r="U6" i="10"/>
  <c r="T6" i="10" s="1"/>
  <c r="U7" i="10"/>
  <c r="T7" i="10" s="1"/>
  <c r="U8" i="10"/>
  <c r="U9" i="10"/>
  <c r="T9" i="10" s="1"/>
  <c r="U10" i="10"/>
  <c r="T10" i="10" s="1"/>
  <c r="U11" i="10"/>
  <c r="W11" i="10" s="1"/>
  <c r="U12" i="10"/>
  <c r="T12" i="10" s="1"/>
  <c r="U13" i="10"/>
  <c r="T13" i="10" s="1"/>
  <c r="U14" i="10"/>
  <c r="W14" i="10" s="1"/>
  <c r="U5" i="10"/>
  <c r="W5" i="10" s="1"/>
  <c r="Y3" i="10"/>
  <c r="Z3" i="10"/>
  <c r="AA3" i="10"/>
  <c r="AB3" i="10"/>
  <c r="AC3" i="10"/>
  <c r="AC12" i="10" s="1"/>
  <c r="X3" i="10"/>
  <c r="T8" i="10"/>
  <c r="W7" i="10"/>
  <c r="W8" i="10"/>
  <c r="W9" i="10"/>
  <c r="W13" i="10"/>
  <c r="F2" i="10"/>
  <c r="AB12" i="10" l="1"/>
  <c r="AA12" i="10"/>
  <c r="T5" i="10"/>
  <c r="Z12" i="10"/>
  <c r="W12" i="10"/>
  <c r="W10" i="10"/>
  <c r="X10" i="10"/>
  <c r="AC41" i="4"/>
  <c r="AG39" i="4"/>
  <c r="Y13" i="10"/>
  <c r="T14" i="10"/>
  <c r="P48" i="9"/>
  <c r="P49" i="9" s="1"/>
  <c r="P43" i="9"/>
  <c r="C19" i="1"/>
  <c r="Y10" i="10"/>
  <c r="W6" i="10"/>
  <c r="AC9" i="10"/>
  <c r="AB10" i="10"/>
  <c r="AA9" i="10"/>
  <c r="AC10" i="10"/>
  <c r="AA10" i="10"/>
  <c r="Y9" i="10"/>
  <c r="AB6" i="10"/>
  <c r="AB8" i="10"/>
  <c r="AA8" i="10"/>
  <c r="X5" i="10"/>
  <c r="AC7" i="10"/>
  <c r="Y5" i="10"/>
  <c r="Z5" i="10"/>
  <c r="AB5" i="10"/>
  <c r="AC14" i="10"/>
  <c r="AA6" i="10"/>
  <c r="AB13" i="10"/>
  <c r="AB9" i="10"/>
  <c r="Z9" i="10"/>
  <c r="AC8" i="10"/>
  <c r="Z8" i="10"/>
  <c r="Y8" i="10"/>
  <c r="AA7" i="10"/>
  <c r="Y7" i="10"/>
  <c r="AC6" i="10"/>
  <c r="AA14" i="10"/>
  <c r="Z14" i="10"/>
  <c r="Y14" i="10"/>
  <c r="Y6" i="10"/>
  <c r="X14" i="10"/>
  <c r="X6" i="10"/>
  <c r="AC13" i="10"/>
  <c r="AA13" i="10"/>
  <c r="Z13" i="10"/>
  <c r="X9" i="10"/>
  <c r="X8" i="10"/>
  <c r="AB7" i="10"/>
  <c r="AA5" i="10"/>
  <c r="Z7" i="10"/>
  <c r="AC5" i="10"/>
  <c r="X7" i="10"/>
  <c r="AB14" i="10"/>
  <c r="Z6" i="10"/>
  <c r="X11" i="10"/>
  <c r="X13" i="10"/>
  <c r="Z10" i="10"/>
  <c r="Y12" i="10"/>
  <c r="X12" i="10"/>
  <c r="AC11" i="10"/>
  <c r="AB11" i="10"/>
  <c r="AA11" i="10"/>
  <c r="Z11" i="10"/>
  <c r="T11" i="10"/>
  <c r="Y11" i="10"/>
  <c r="C80" i="9"/>
  <c r="C83" i="9" s="1"/>
  <c r="C78" i="9"/>
  <c r="C77" i="9"/>
  <c r="AC42" i="4" l="1"/>
  <c r="AG40" i="4"/>
  <c r="C85" i="9"/>
  <c r="C86" i="9"/>
  <c r="C79" i="9"/>
  <c r="C81" i="9" s="1"/>
  <c r="AC43" i="4" l="1"/>
  <c r="AG41" i="4"/>
  <c r="C29" i="9"/>
  <c r="C28" i="9"/>
  <c r="C30" i="9" s="1"/>
  <c r="M11" i="9"/>
  <c r="M12" i="9"/>
  <c r="M13" i="9"/>
  <c r="M14" i="9"/>
  <c r="M15" i="9"/>
  <c r="M16" i="9"/>
  <c r="M17" i="9"/>
  <c r="M18" i="9"/>
  <c r="M19" i="9"/>
  <c r="M20" i="9"/>
  <c r="M21" i="9"/>
  <c r="M22" i="9"/>
  <c r="M23" i="9"/>
  <c r="M24" i="9"/>
  <c r="M10" i="9"/>
  <c r="L11" i="9"/>
  <c r="L12" i="9"/>
  <c r="L13" i="9"/>
  <c r="L14" i="9"/>
  <c r="L15" i="9"/>
  <c r="L16" i="9"/>
  <c r="L17" i="9"/>
  <c r="L18" i="9"/>
  <c r="L19" i="9"/>
  <c r="L20" i="9"/>
  <c r="L21" i="9"/>
  <c r="L22" i="9"/>
  <c r="L23" i="9"/>
  <c r="L24" i="9"/>
  <c r="L10" i="9"/>
  <c r="K10" i="9"/>
  <c r="K11" i="9"/>
  <c r="K12" i="9"/>
  <c r="K13" i="9"/>
  <c r="K14" i="9"/>
  <c r="K15" i="9"/>
  <c r="K16" i="9"/>
  <c r="K17" i="9"/>
  <c r="K18" i="9"/>
  <c r="K19" i="9"/>
  <c r="K20" i="9"/>
  <c r="K21" i="9"/>
  <c r="K22" i="9"/>
  <c r="K23" i="9"/>
  <c r="K24" i="9"/>
  <c r="J11" i="9"/>
  <c r="J12" i="9"/>
  <c r="J13" i="9"/>
  <c r="J14" i="9"/>
  <c r="J15" i="9"/>
  <c r="J16" i="9"/>
  <c r="J17" i="9"/>
  <c r="J18" i="9"/>
  <c r="J19" i="9"/>
  <c r="J20" i="9"/>
  <c r="J21" i="9"/>
  <c r="J22" i="9"/>
  <c r="J23" i="9"/>
  <c r="J24" i="9"/>
  <c r="J10" i="9"/>
  <c r="D25" i="9"/>
  <c r="E11" i="9"/>
  <c r="E12" i="9"/>
  <c r="E13" i="9"/>
  <c r="E14" i="9"/>
  <c r="E15" i="9"/>
  <c r="E25" i="9" s="1"/>
  <c r="E16" i="9"/>
  <c r="E17" i="9"/>
  <c r="E18" i="9"/>
  <c r="E19" i="9"/>
  <c r="E20" i="9"/>
  <c r="E21" i="9"/>
  <c r="E22" i="9"/>
  <c r="E23" i="9"/>
  <c r="E24" i="9"/>
  <c r="E10" i="9"/>
  <c r="K25" i="9" l="1"/>
  <c r="C44" i="9" s="1"/>
  <c r="M25" i="9"/>
  <c r="C46" i="9" s="1"/>
  <c r="C48" i="9" s="1"/>
  <c r="C50" i="9" s="1"/>
  <c r="L25" i="9"/>
  <c r="C34" i="9" s="1"/>
  <c r="C38" i="9" s="1"/>
  <c r="AC44" i="4"/>
  <c r="AG42" i="4"/>
  <c r="J25" i="9"/>
  <c r="C82" i="9" s="1"/>
  <c r="J26" i="9"/>
  <c r="AB111" i="1"/>
  <c r="AD111" i="1" s="1"/>
  <c r="AA111" i="1"/>
  <c r="Y111" i="1" s="1"/>
  <c r="L111" i="1"/>
  <c r="K111" i="1" s="1"/>
  <c r="M111" i="1"/>
  <c r="O111" i="1" s="1"/>
  <c r="AA90" i="1"/>
  <c r="Y90" i="1" s="1"/>
  <c r="AB90" i="1"/>
  <c r="AD90" i="1" s="1"/>
  <c r="T90" i="1"/>
  <c r="S90" i="1"/>
  <c r="F20" i="1"/>
  <c r="Y44" i="6" s="1"/>
  <c r="AA44" i="6" s="1"/>
  <c r="AB44" i="6" s="1"/>
  <c r="E20" i="1"/>
  <c r="Y43" i="6" s="1"/>
  <c r="AA43" i="6" s="1"/>
  <c r="AB43" i="6" s="1"/>
  <c r="F18" i="1"/>
  <c r="E18" i="1"/>
  <c r="D18" i="1"/>
  <c r="D16" i="1"/>
  <c r="E16" i="1"/>
  <c r="F16" i="1"/>
  <c r="C43" i="9" l="1"/>
  <c r="C57" i="9"/>
  <c r="C63" i="9" s="1"/>
  <c r="C67" i="9" s="1"/>
  <c r="C54" i="9"/>
  <c r="C60" i="9" s="1"/>
  <c r="S89" i="1"/>
  <c r="T89" i="1" s="1"/>
  <c r="V90" i="1"/>
  <c r="AC45" i="4"/>
  <c r="R90" i="1"/>
  <c r="Q90" i="1"/>
  <c r="AA89" i="1"/>
  <c r="AB89" i="1" s="1"/>
  <c r="Z90" i="1"/>
  <c r="Z111" i="1"/>
  <c r="AA110" i="1"/>
  <c r="AB110" i="1" s="1"/>
  <c r="AC90" i="1"/>
  <c r="AG43" i="4"/>
  <c r="AC111" i="1"/>
  <c r="J111" i="1"/>
  <c r="L110" i="1"/>
  <c r="M110" i="1" s="1"/>
  <c r="N111" i="1"/>
  <c r="U90" i="1"/>
  <c r="F26" i="4"/>
  <c r="F27" i="4"/>
  <c r="F28" i="4"/>
  <c r="F29" i="4"/>
  <c r="F30" i="4"/>
  <c r="E50" i="4" s="1"/>
  <c r="E51" i="4" s="1"/>
  <c r="F31" i="4"/>
  <c r="F32" i="4"/>
  <c r="F33" i="4"/>
  <c r="F34" i="4"/>
  <c r="F35" i="4"/>
  <c r="E55" i="4" s="1"/>
  <c r="F25" i="4"/>
  <c r="E59" i="4" s="1"/>
  <c r="E26" i="4"/>
  <c r="E27" i="4"/>
  <c r="E28" i="4"/>
  <c r="E29" i="4"/>
  <c r="E30" i="4"/>
  <c r="E31" i="4"/>
  <c r="E32" i="4"/>
  <c r="E33" i="4"/>
  <c r="E34" i="4"/>
  <c r="E35" i="4"/>
  <c r="E25" i="4"/>
  <c r="D5" i="4"/>
  <c r="D25" i="4" s="1"/>
  <c r="F51" i="4" l="1"/>
  <c r="F58" i="4"/>
  <c r="F59" i="4" s="1"/>
  <c r="AC46" i="4"/>
  <c r="AG44" i="4"/>
  <c r="C69" i="9"/>
  <c r="C68" i="9"/>
  <c r="D25" i="1"/>
  <c r="F25" i="1"/>
  <c r="AC47" i="4" l="1"/>
  <c r="AG45" i="4"/>
  <c r="L89" i="1"/>
  <c r="J89" i="1" s="1"/>
  <c r="Y49" i="6"/>
  <c r="AA49" i="6" s="1"/>
  <c r="AB49" i="6" s="1"/>
  <c r="M89" i="1"/>
  <c r="N89" i="1" s="1"/>
  <c r="Y48" i="6"/>
  <c r="AA48" i="6" s="1"/>
  <c r="AB48" i="6" s="1"/>
  <c r="Z8" i="4"/>
  <c r="Z7" i="4"/>
  <c r="I34" i="4"/>
  <c r="D6" i="4"/>
  <c r="W8" i="4" s="1"/>
  <c r="D7" i="4"/>
  <c r="D8" i="4"/>
  <c r="D9" i="4"/>
  <c r="D10" i="4"/>
  <c r="D11" i="4"/>
  <c r="D12" i="4"/>
  <c r="D13" i="4"/>
  <c r="D14" i="4"/>
  <c r="W7" i="4" s="1"/>
  <c r="D15" i="4"/>
  <c r="D16" i="4"/>
  <c r="L88" i="1" l="1"/>
  <c r="M88" i="1" s="1"/>
  <c r="O89" i="1"/>
  <c r="K89" i="1"/>
  <c r="AC48" i="4"/>
  <c r="AG46" i="4"/>
  <c r="AA36" i="1"/>
  <c r="Z36" i="1"/>
  <c r="AC49" i="4" l="1"/>
  <c r="AG47" i="4"/>
  <c r="AC50" i="4" l="1"/>
  <c r="AG48" i="4"/>
  <c r="C24" i="1"/>
  <c r="E17" i="6"/>
  <c r="AC51" i="4" l="1"/>
  <c r="AG49" i="4"/>
  <c r="C40" i="4"/>
  <c r="C48" i="4" s="1"/>
  <c r="B40" i="4"/>
  <c r="AC52" i="4" l="1"/>
  <c r="AG50" i="4"/>
  <c r="E18" i="6"/>
  <c r="AC53" i="4" l="1"/>
  <c r="AG51" i="4"/>
  <c r="C11" i="7"/>
  <c r="AC54" i="4" l="1"/>
  <c r="AG52" i="4"/>
  <c r="A11" i="7"/>
  <c r="E19" i="6"/>
  <c r="E15" i="6"/>
  <c r="E14" i="6"/>
  <c r="E13" i="6"/>
  <c r="E12" i="6"/>
  <c r="E11" i="6"/>
  <c r="E10" i="6"/>
  <c r="E9" i="6"/>
  <c r="B11" i="7"/>
  <c r="AC55" i="4" l="1"/>
  <c r="E24" i="6"/>
  <c r="E23" i="6" s="1"/>
  <c r="AG53" i="4"/>
  <c r="I36" i="4"/>
  <c r="I27" i="4"/>
  <c r="I28" i="4"/>
  <c r="L12" i="4"/>
  <c r="M22" i="4"/>
  <c r="L22" i="4"/>
  <c r="K22" i="4"/>
  <c r="M21" i="4"/>
  <c r="N27" i="4" s="1"/>
  <c r="L21" i="4"/>
  <c r="K21" i="4"/>
  <c r="N28" i="4" s="1"/>
  <c r="M17" i="4"/>
  <c r="L17" i="4"/>
  <c r="K17" i="4"/>
  <c r="M16" i="4"/>
  <c r="O27" i="4" s="1"/>
  <c r="P27" i="4" s="1"/>
  <c r="L16" i="4"/>
  <c r="K16" i="4"/>
  <c r="O28" i="4" s="1"/>
  <c r="P28" i="4" s="1"/>
  <c r="M12" i="4"/>
  <c r="M11" i="4"/>
  <c r="L11" i="4"/>
  <c r="K11" i="4"/>
  <c r="M10" i="4"/>
  <c r="Z6" i="4" s="1"/>
  <c r="L10" i="4"/>
  <c r="K10" i="4"/>
  <c r="Z5" i="4" s="1"/>
  <c r="M9" i="4"/>
  <c r="W6" i="4" s="1"/>
  <c r="L9" i="4"/>
  <c r="K9" i="4"/>
  <c r="W5" i="4" s="1"/>
  <c r="L5" i="4"/>
  <c r="AL22" i="4" s="1"/>
  <c r="AK21" i="4" s="1"/>
  <c r="M5" i="4"/>
  <c r="K5" i="4"/>
  <c r="AC56" i="4" l="1"/>
  <c r="E25" i="6"/>
  <c r="E26" i="6" s="1"/>
  <c r="E27" i="6"/>
  <c r="E28" i="6" s="1"/>
  <c r="AG54" i="4"/>
  <c r="W11" i="4"/>
  <c r="W10" i="4"/>
  <c r="AL23" i="4"/>
  <c r="AK14" i="4" s="1"/>
  <c r="AJ11" i="4" s="1"/>
  <c r="J28" i="4"/>
  <c r="AL21" i="4"/>
  <c r="AJ14" i="4" s="1"/>
  <c r="J27" i="4"/>
  <c r="K12" i="4"/>
  <c r="L28" i="4" s="1"/>
  <c r="Y42" i="6"/>
  <c r="AA42" i="6" s="1"/>
  <c r="AB42" i="6" s="1"/>
  <c r="AK19" i="4"/>
  <c r="AK22" i="4"/>
  <c r="AJ23" i="4"/>
  <c r="AJ21" i="4"/>
  <c r="AL26" i="4"/>
  <c r="AD6" i="4"/>
  <c r="Q27" i="4"/>
  <c r="Q28" i="4"/>
  <c r="AD5" i="4"/>
  <c r="Z10" i="4"/>
  <c r="Z28" i="4" s="1"/>
  <c r="Z11" i="4"/>
  <c r="K28" i="4"/>
  <c r="K27" i="4"/>
  <c r="L27" i="4"/>
  <c r="AH6" i="4"/>
  <c r="M28" i="4"/>
  <c r="M27" i="4"/>
  <c r="N38" i="4"/>
  <c r="B48" i="4"/>
  <c r="C53" i="4"/>
  <c r="B53" i="4"/>
  <c r="C52" i="4"/>
  <c r="B52" i="4"/>
  <c r="C49" i="4"/>
  <c r="B49" i="4"/>
  <c r="C50" i="4"/>
  <c r="B50" i="4"/>
  <c r="C51" i="4"/>
  <c r="B51" i="4"/>
  <c r="D33" i="4"/>
  <c r="D32" i="4"/>
  <c r="D31" i="4"/>
  <c r="I35" i="4"/>
  <c r="D29" i="4"/>
  <c r="D28" i="4"/>
  <c r="D27" i="4"/>
  <c r="O31" i="4"/>
  <c r="AL25" i="4" l="1"/>
  <c r="AC57" i="4"/>
  <c r="AK15" i="4"/>
  <c r="AK16" i="4" s="1"/>
  <c r="AC15" i="4"/>
  <c r="AG13" i="4"/>
  <c r="AC13" i="4"/>
  <c r="AG15" i="4"/>
  <c r="AG55" i="4"/>
  <c r="AH5" i="4"/>
  <c r="AJ32" i="4"/>
  <c r="AJ24" i="4" s="1"/>
  <c r="AJ25" i="4" s="1"/>
  <c r="W12" i="4"/>
  <c r="W28" i="4"/>
  <c r="AJ10" i="4"/>
  <c r="AJ15" i="4"/>
  <c r="AJ22" i="4"/>
  <c r="Z12" i="4"/>
  <c r="Z29" i="4" s="1"/>
  <c r="M38" i="4"/>
  <c r="M39" i="4"/>
  <c r="W14" i="4"/>
  <c r="D34" i="4"/>
  <c r="D35" i="4"/>
  <c r="F54" i="4" s="1"/>
  <c r="F55" i="4" s="1"/>
  <c r="D30" i="4"/>
  <c r="F49" i="4" s="1"/>
  <c r="F50" i="4" s="1"/>
  <c r="D26" i="4"/>
  <c r="AD8" i="4"/>
  <c r="AH8" i="4" s="1"/>
  <c r="K39" i="4"/>
  <c r="J32" i="4"/>
  <c r="K31" i="4"/>
  <c r="J31" i="4"/>
  <c r="K32" i="4"/>
  <c r="L39" i="4"/>
  <c r="M31" i="4"/>
  <c r="N39" i="4"/>
  <c r="O39" i="4"/>
  <c r="L32" i="4"/>
  <c r="L31" i="4"/>
  <c r="M32" i="4"/>
  <c r="N32" i="4"/>
  <c r="N31" i="4"/>
  <c r="O32" i="4"/>
  <c r="L38" i="4"/>
  <c r="O38" i="4"/>
  <c r="AC58" i="4" l="1"/>
  <c r="AJ27" i="4"/>
  <c r="AJ33" i="4" s="1"/>
  <c r="AL33" i="4" s="1"/>
  <c r="AM33" i="4" s="1"/>
  <c r="AG56" i="4"/>
  <c r="W29" i="4"/>
  <c r="W18" i="4"/>
  <c r="W21" i="4" s="1"/>
  <c r="W19" i="4" s="1"/>
  <c r="Z18" i="4"/>
  <c r="Z21" i="4" s="1"/>
  <c r="Z22" i="4" s="1"/>
  <c r="AL32" i="4"/>
  <c r="AM32" i="4" s="1"/>
  <c r="M34" i="4"/>
  <c r="V23" i="4" s="1"/>
  <c r="O36" i="4"/>
  <c r="O35" i="4"/>
  <c r="O34" i="4"/>
  <c r="L35" i="4"/>
  <c r="N34" i="4"/>
  <c r="N35" i="4"/>
  <c r="M35" i="4"/>
  <c r="L36" i="4"/>
  <c r="M36" i="4"/>
  <c r="N36" i="4"/>
  <c r="L34" i="4"/>
  <c r="AJ34" i="4" l="1"/>
  <c r="AL34" i="4" s="1"/>
  <c r="AM34" i="4" s="1"/>
  <c r="AC59" i="4"/>
  <c r="AC17" i="4"/>
  <c r="AG19" i="4"/>
  <c r="AG17" i="4"/>
  <c r="AC19" i="4"/>
  <c r="AG57" i="4"/>
  <c r="V32" i="4"/>
  <c r="W22" i="4"/>
  <c r="Z19" i="4"/>
  <c r="Z14" i="4"/>
  <c r="Z16" i="4" s="1"/>
  <c r="AD7" i="4"/>
  <c r="AD11" i="4" s="1"/>
  <c r="C46" i="4"/>
  <c r="B46" i="4"/>
  <c r="B45" i="4"/>
  <c r="P39" i="4"/>
  <c r="J39" i="4"/>
  <c r="AJ35" i="4" l="1"/>
  <c r="AC60" i="4"/>
  <c r="W32" i="4"/>
  <c r="X32" i="4"/>
  <c r="V24" i="4"/>
  <c r="AG58" i="4"/>
  <c r="AL35" i="4"/>
  <c r="AM35" i="4" s="1"/>
  <c r="AJ36" i="4"/>
  <c r="V25" i="4"/>
  <c r="V26" i="4" s="1"/>
  <c r="V27" i="4"/>
  <c r="V33" i="4" s="1"/>
  <c r="AD10" i="4"/>
  <c r="AH7" i="4"/>
  <c r="B41" i="4"/>
  <c r="B42" i="4" s="1"/>
  <c r="K38" i="4"/>
  <c r="AC61" i="4" l="1"/>
  <c r="V34" i="4"/>
  <c r="X33" i="4"/>
  <c r="AG59" i="4"/>
  <c r="AL36" i="4"/>
  <c r="AM36" i="4" s="1"/>
  <c r="AJ37" i="4"/>
  <c r="K35" i="4"/>
  <c r="K36" i="4"/>
  <c r="Y32" i="4" s="1"/>
  <c r="AA32" i="4" s="1"/>
  <c r="K34" i="4"/>
  <c r="Y23" i="4" s="1"/>
  <c r="AH10" i="4"/>
  <c r="AH11" i="4"/>
  <c r="AD14" i="4"/>
  <c r="AD16" i="4" s="1"/>
  <c r="AD12" i="4"/>
  <c r="AE60" i="4" s="1"/>
  <c r="J38" i="4"/>
  <c r="J35" i="4" s="1"/>
  <c r="P38" i="4"/>
  <c r="P36" i="4" s="1"/>
  <c r="AI37" i="4" l="1"/>
  <c r="AI38" i="4"/>
  <c r="AI45" i="4"/>
  <c r="AI46" i="4"/>
  <c r="AI53" i="4"/>
  <c r="AI54" i="4"/>
  <c r="V35" i="4"/>
  <c r="X34" i="4"/>
  <c r="AE58" i="4"/>
  <c r="AE32" i="4"/>
  <c r="AE40" i="4"/>
  <c r="AE48" i="4"/>
  <c r="AE56" i="4"/>
  <c r="AE37" i="4"/>
  <c r="AE53" i="4"/>
  <c r="AE38" i="4"/>
  <c r="AE46" i="4"/>
  <c r="AE54" i="4"/>
  <c r="AE33" i="4"/>
  <c r="AE41" i="4"/>
  <c r="AE49" i="4"/>
  <c r="AE57" i="4"/>
  <c r="AE50" i="4"/>
  <c r="AE35" i="4"/>
  <c r="AE43" i="4"/>
  <c r="AE51" i="4"/>
  <c r="AE59" i="4"/>
  <c r="AE36" i="4"/>
  <c r="AE44" i="4"/>
  <c r="AE52" i="4"/>
  <c r="AE45" i="4"/>
  <c r="AE34" i="4"/>
  <c r="AE42" i="4"/>
  <c r="AE39" i="4"/>
  <c r="AE47" i="4"/>
  <c r="AE55" i="4"/>
  <c r="AC62" i="4"/>
  <c r="AE61" i="4"/>
  <c r="AD28" i="4"/>
  <c r="AE28" i="4" s="1"/>
  <c r="AD32" i="4"/>
  <c r="AD33" i="4"/>
  <c r="AD18" i="4"/>
  <c r="AD21" i="4" s="1"/>
  <c r="AD29" i="4"/>
  <c r="AE29" i="4" s="1"/>
  <c r="AG60" i="4"/>
  <c r="AD34" i="4"/>
  <c r="Y24" i="4"/>
  <c r="Y25" i="4" s="1"/>
  <c r="AJ38" i="4"/>
  <c r="AL37" i="4"/>
  <c r="AM37" i="4" s="1"/>
  <c r="Z32" i="4"/>
  <c r="AH14" i="4"/>
  <c r="AH16" i="4" s="1"/>
  <c r="AH12" i="4"/>
  <c r="AI59" i="4" s="1"/>
  <c r="P34" i="4"/>
  <c r="P35" i="4"/>
  <c r="J34" i="4"/>
  <c r="J36" i="4"/>
  <c r="C45" i="4"/>
  <c r="C41" i="4" s="1"/>
  <c r="C42" i="4" s="1"/>
  <c r="W16" i="4"/>
  <c r="AI52" i="4" l="1"/>
  <c r="AI44" i="4"/>
  <c r="AI36" i="4"/>
  <c r="V36" i="4"/>
  <c r="X35" i="4"/>
  <c r="AI51" i="4"/>
  <c r="AI43" i="4"/>
  <c r="AI35" i="4"/>
  <c r="AI58" i="4"/>
  <c r="AI57" i="4"/>
  <c r="AI49" i="4"/>
  <c r="AI41" i="4"/>
  <c r="AI33" i="4"/>
  <c r="AI50" i="4"/>
  <c r="AI42" i="4"/>
  <c r="AI34" i="4"/>
  <c r="AC63" i="4"/>
  <c r="AE62" i="4"/>
  <c r="AI60" i="4"/>
  <c r="AI56" i="4"/>
  <c r="AI48" i="4"/>
  <c r="AI40" i="4"/>
  <c r="AI32" i="4"/>
  <c r="AI55" i="4"/>
  <c r="AI47" i="4"/>
  <c r="AI39" i="4"/>
  <c r="AH45" i="4"/>
  <c r="AI29" i="4"/>
  <c r="AH47" i="4"/>
  <c r="AH42" i="4"/>
  <c r="AI28" i="4"/>
  <c r="AH37" i="4"/>
  <c r="AH56" i="4"/>
  <c r="AH50" i="4"/>
  <c r="AH58" i="4"/>
  <c r="AH52" i="4"/>
  <c r="AH46" i="4"/>
  <c r="AH43" i="4"/>
  <c r="AH59" i="4"/>
  <c r="AH40" i="4"/>
  <c r="AH54" i="4"/>
  <c r="AH33" i="4"/>
  <c r="AH49" i="4"/>
  <c r="AH44" i="4"/>
  <c r="AH41" i="4"/>
  <c r="AH39" i="4"/>
  <c r="AH36" i="4"/>
  <c r="AH53" i="4"/>
  <c r="AH48" i="4"/>
  <c r="AH38" i="4"/>
  <c r="AH57" i="4"/>
  <c r="AH55" i="4"/>
  <c r="AH35" i="4"/>
  <c r="AH34" i="4"/>
  <c r="AH32" i="4"/>
  <c r="AH51" i="4"/>
  <c r="AG61" i="4"/>
  <c r="AI61" i="4" s="1"/>
  <c r="AH60" i="4"/>
  <c r="AD35" i="4"/>
  <c r="Y27" i="4"/>
  <c r="Y33" i="4" s="1"/>
  <c r="AJ39" i="4"/>
  <c r="AL38" i="4"/>
  <c r="AM38" i="4" s="1"/>
  <c r="Y26" i="4"/>
  <c r="AH18" i="4"/>
  <c r="AH21" i="4" s="1"/>
  <c r="AD22" i="4"/>
  <c r="AD19" i="4"/>
  <c r="Z33" i="4" l="1"/>
  <c r="AA33" i="4"/>
  <c r="V37" i="4"/>
  <c r="X36" i="4"/>
  <c r="AC64" i="4"/>
  <c r="AE63" i="4"/>
  <c r="Y34" i="4"/>
  <c r="AA34" i="4" s="1"/>
  <c r="AG62" i="4"/>
  <c r="AI62" i="4" s="1"/>
  <c r="AH61" i="4"/>
  <c r="AD36" i="4"/>
  <c r="AJ40" i="4"/>
  <c r="AL39" i="4"/>
  <c r="AM39" i="4" s="1"/>
  <c r="AH22" i="4"/>
  <c r="AH19" i="4"/>
  <c r="W37" i="4"/>
  <c r="W34" i="4"/>
  <c r="W35" i="4"/>
  <c r="W36" i="4"/>
  <c r="W33" i="4"/>
  <c r="Z34" i="4" l="1"/>
  <c r="Y35" i="4"/>
  <c r="AA35" i="4" s="1"/>
  <c r="AC65" i="4"/>
  <c r="AE64" i="4"/>
  <c r="V38" i="4"/>
  <c r="X37" i="4"/>
  <c r="AH62" i="4"/>
  <c r="AG63" i="4"/>
  <c r="AI63" i="4" s="1"/>
  <c r="AD37" i="4"/>
  <c r="AJ41" i="4"/>
  <c r="AL40" i="4"/>
  <c r="AM40" i="4" s="1"/>
  <c r="Y36" i="4"/>
  <c r="AA36" i="4" s="1"/>
  <c r="Z35" i="4"/>
  <c r="AC66" i="4" l="1"/>
  <c r="AE65" i="4"/>
  <c r="V39" i="4"/>
  <c r="X38" i="4"/>
  <c r="W38" i="4"/>
  <c r="AH63" i="4"/>
  <c r="AG64" i="4"/>
  <c r="AI64" i="4" s="1"/>
  <c r="AD38" i="4"/>
  <c r="AJ42" i="4"/>
  <c r="AL41" i="4"/>
  <c r="AM41" i="4" s="1"/>
  <c r="Y37" i="4"/>
  <c r="AA37" i="4" s="1"/>
  <c r="Z36" i="4"/>
  <c r="V40" i="4" l="1"/>
  <c r="X39" i="4"/>
  <c r="W39" i="4"/>
  <c r="AC67" i="4"/>
  <c r="AE66" i="4"/>
  <c r="AH64" i="4"/>
  <c r="AG65" i="4"/>
  <c r="AI65" i="4" s="1"/>
  <c r="AD39" i="4"/>
  <c r="AJ43" i="4"/>
  <c r="AL42" i="4"/>
  <c r="AM42" i="4" s="1"/>
  <c r="Y38" i="4"/>
  <c r="AA38" i="4" s="1"/>
  <c r="Z37" i="4"/>
  <c r="AC68" i="4" l="1"/>
  <c r="AE67" i="4"/>
  <c r="V41" i="4"/>
  <c r="X40" i="4"/>
  <c r="W40" i="4"/>
  <c r="AG66" i="4"/>
  <c r="AI66" i="4" s="1"/>
  <c r="AH65" i="4"/>
  <c r="AD40" i="4"/>
  <c r="AJ44" i="4"/>
  <c r="AL43" i="4"/>
  <c r="AM43" i="4" s="1"/>
  <c r="Y39" i="4"/>
  <c r="AA39" i="4" s="1"/>
  <c r="Z38" i="4"/>
  <c r="V42" i="4" l="1"/>
  <c r="X41" i="4"/>
  <c r="W41" i="4"/>
  <c r="AC69" i="4"/>
  <c r="AE68" i="4"/>
  <c r="AH66" i="4"/>
  <c r="AG67" i="4"/>
  <c r="AI67" i="4" s="1"/>
  <c r="AD41" i="4"/>
  <c r="AJ45" i="4"/>
  <c r="AL44" i="4"/>
  <c r="AM44" i="4" s="1"/>
  <c r="Y40" i="4"/>
  <c r="AA40" i="4" s="1"/>
  <c r="Z39" i="4"/>
  <c r="AC70" i="4" l="1"/>
  <c r="AE69" i="4"/>
  <c r="V43" i="4"/>
  <c r="X42" i="4"/>
  <c r="W42" i="4"/>
  <c r="AH67" i="4"/>
  <c r="AG68" i="4"/>
  <c r="AI68" i="4" s="1"/>
  <c r="AD42" i="4"/>
  <c r="AJ46" i="4"/>
  <c r="AL45" i="4"/>
  <c r="AM45" i="4" s="1"/>
  <c r="Y41" i="4"/>
  <c r="AA41" i="4" s="1"/>
  <c r="Z40" i="4"/>
  <c r="V44" i="4" l="1"/>
  <c r="X43" i="4"/>
  <c r="W43" i="4"/>
  <c r="AC71" i="4"/>
  <c r="AE70" i="4"/>
  <c r="AG69" i="4"/>
  <c r="AI69" i="4" s="1"/>
  <c r="AH68" i="4"/>
  <c r="AD43" i="4"/>
  <c r="AL46" i="4"/>
  <c r="AM46" i="4" s="1"/>
  <c r="AJ47" i="4"/>
  <c r="Y42" i="4"/>
  <c r="AA42" i="4" s="1"/>
  <c r="Z41" i="4"/>
  <c r="AC72" i="4" l="1"/>
  <c r="AE71" i="4"/>
  <c r="V45" i="4"/>
  <c r="X44" i="4"/>
  <c r="W44" i="4"/>
  <c r="AG70" i="4"/>
  <c r="AI70" i="4" s="1"/>
  <c r="AH69" i="4"/>
  <c r="AD44" i="4"/>
  <c r="AJ48" i="4"/>
  <c r="AL47" i="4"/>
  <c r="AM47" i="4" s="1"/>
  <c r="Y43" i="4"/>
  <c r="AA43" i="4" s="1"/>
  <c r="Z42" i="4"/>
  <c r="V46" i="4" l="1"/>
  <c r="X45" i="4"/>
  <c r="W45" i="4"/>
  <c r="AC73" i="4"/>
  <c r="AE72" i="4"/>
  <c r="AG71" i="4"/>
  <c r="AI71" i="4" s="1"/>
  <c r="AH70" i="4"/>
  <c r="AD45" i="4"/>
  <c r="AJ49" i="4"/>
  <c r="AL48" i="4"/>
  <c r="AM48" i="4" s="1"/>
  <c r="Y44" i="4"/>
  <c r="AA44" i="4" s="1"/>
  <c r="Z43" i="4"/>
  <c r="AC74" i="4" l="1"/>
  <c r="AE73" i="4"/>
  <c r="V47" i="4"/>
  <c r="X46" i="4"/>
  <c r="W46" i="4"/>
  <c r="AG72" i="4"/>
  <c r="AI72" i="4" s="1"/>
  <c r="AH71" i="4"/>
  <c r="AD46" i="4"/>
  <c r="AL49" i="4"/>
  <c r="AM49" i="4" s="1"/>
  <c r="AJ50" i="4"/>
  <c r="Y45" i="4"/>
  <c r="AA45" i="4" s="1"/>
  <c r="Z44" i="4"/>
  <c r="V48" i="4" l="1"/>
  <c r="X47" i="4"/>
  <c r="W47" i="4"/>
  <c r="AC75" i="4"/>
  <c r="AE74" i="4"/>
  <c r="AG73" i="4"/>
  <c r="AI73" i="4" s="1"/>
  <c r="AH72" i="4"/>
  <c r="AD47" i="4"/>
  <c r="AJ51" i="4"/>
  <c r="AL50" i="4"/>
  <c r="AM50" i="4" s="1"/>
  <c r="Y46" i="4"/>
  <c r="AA46" i="4" s="1"/>
  <c r="Z45" i="4"/>
  <c r="AC76" i="4" l="1"/>
  <c r="AE76" i="4" s="1"/>
  <c r="AE75" i="4"/>
  <c r="V49" i="4"/>
  <c r="X48" i="4"/>
  <c r="W48" i="4"/>
  <c r="AG74" i="4"/>
  <c r="AI74" i="4" s="1"/>
  <c r="AH73" i="4"/>
  <c r="AD48" i="4"/>
  <c r="AL51" i="4"/>
  <c r="AM51" i="4" s="1"/>
  <c r="AJ52" i="4"/>
  <c r="Y47" i="4"/>
  <c r="AA47" i="4" s="1"/>
  <c r="Z46" i="4"/>
  <c r="V50" i="4" l="1"/>
  <c r="X49" i="4"/>
  <c r="W49" i="4"/>
  <c r="AG75" i="4"/>
  <c r="AI75" i="4" s="1"/>
  <c r="AH74" i="4"/>
  <c r="AD49" i="4"/>
  <c r="AL52" i="4"/>
  <c r="AM52" i="4" s="1"/>
  <c r="AJ53" i="4"/>
  <c r="Y48" i="4"/>
  <c r="AA48" i="4" s="1"/>
  <c r="Z47" i="4"/>
  <c r="V51" i="4" l="1"/>
  <c r="X50" i="4"/>
  <c r="W50" i="4"/>
  <c r="AG76" i="4"/>
  <c r="AI76" i="4" s="1"/>
  <c r="AH75" i="4"/>
  <c r="AD50" i="4"/>
  <c r="AJ54" i="4"/>
  <c r="AL53" i="4"/>
  <c r="AM53" i="4" s="1"/>
  <c r="Y49" i="4"/>
  <c r="AA49" i="4" s="1"/>
  <c r="Z48" i="4"/>
  <c r="V52" i="4" l="1"/>
  <c r="X51" i="4"/>
  <c r="W51" i="4"/>
  <c r="AH76" i="4"/>
  <c r="AD51" i="4"/>
  <c r="AJ55" i="4"/>
  <c r="AL54" i="4"/>
  <c r="AM54" i="4" s="1"/>
  <c r="Y50" i="4"/>
  <c r="AA50" i="4" s="1"/>
  <c r="Z49" i="4"/>
  <c r="V53" i="4" l="1"/>
  <c r="X52" i="4"/>
  <c r="W52" i="4"/>
  <c r="AD52" i="4"/>
  <c r="AJ56" i="4"/>
  <c r="AL55" i="4"/>
  <c r="AM55" i="4" s="1"/>
  <c r="Y51" i="4"/>
  <c r="AA51" i="4" s="1"/>
  <c r="Z50" i="4"/>
  <c r="V54" i="4" l="1"/>
  <c r="X53" i="4"/>
  <c r="W53" i="4"/>
  <c r="AD53" i="4"/>
  <c r="AJ57" i="4"/>
  <c r="AL56" i="4"/>
  <c r="AM56" i="4" s="1"/>
  <c r="Y52" i="4"/>
  <c r="AA52" i="4" s="1"/>
  <c r="Z51" i="4"/>
  <c r="W54" i="4" l="1"/>
  <c r="X54" i="4"/>
  <c r="V55" i="4"/>
  <c r="AD54" i="4"/>
  <c r="AJ58" i="4"/>
  <c r="AL57" i="4"/>
  <c r="AM57" i="4" s="1"/>
  <c r="Y53" i="4"/>
  <c r="AA53" i="4" s="1"/>
  <c r="Z52" i="4"/>
  <c r="V56" i="4" l="1"/>
  <c r="X55" i="4"/>
  <c r="W55" i="4"/>
  <c r="AD55" i="4"/>
  <c r="AJ59" i="4"/>
  <c r="AL58" i="4"/>
  <c r="AM58" i="4" s="1"/>
  <c r="Y54" i="4"/>
  <c r="AA54" i="4" s="1"/>
  <c r="Z53" i="4"/>
  <c r="X56" i="4" l="1"/>
  <c r="V57" i="4"/>
  <c r="W56" i="4"/>
  <c r="AD56" i="4"/>
  <c r="AJ60" i="4"/>
  <c r="AL59" i="4"/>
  <c r="AM59" i="4" s="1"/>
  <c r="Y55" i="4"/>
  <c r="AA55" i="4" s="1"/>
  <c r="Z54" i="4"/>
  <c r="X57" i="4" l="1"/>
  <c r="W57" i="4"/>
  <c r="V58" i="4"/>
  <c r="AD57" i="4"/>
  <c r="AL60" i="4"/>
  <c r="AM60" i="4" s="1"/>
  <c r="AJ61" i="4"/>
  <c r="Y56" i="4"/>
  <c r="AA56" i="4" s="1"/>
  <c r="Z55" i="4"/>
  <c r="X58" i="4" l="1"/>
  <c r="V59" i="4"/>
  <c r="W58" i="4"/>
  <c r="AD58" i="4"/>
  <c r="AJ62" i="4"/>
  <c r="AL61" i="4"/>
  <c r="AM61" i="4" s="1"/>
  <c r="Y57" i="4"/>
  <c r="AA57" i="4" s="1"/>
  <c r="Z56" i="4"/>
  <c r="X59" i="4" l="1"/>
  <c r="W59" i="4"/>
  <c r="V60" i="4"/>
  <c r="AD59" i="4"/>
  <c r="AJ63" i="4"/>
  <c r="AL62" i="4"/>
  <c r="AM62" i="4" s="1"/>
  <c r="Y58" i="4"/>
  <c r="AA58" i="4" s="1"/>
  <c r="Z57" i="4"/>
  <c r="X60" i="4" l="1"/>
  <c r="V61" i="4"/>
  <c r="W60" i="4"/>
  <c r="AD60" i="4"/>
  <c r="AL63" i="4"/>
  <c r="AM63" i="4" s="1"/>
  <c r="AJ64" i="4"/>
  <c r="Y59" i="4"/>
  <c r="AA59" i="4" s="1"/>
  <c r="Z58" i="4"/>
  <c r="X61" i="4" l="1"/>
  <c r="W61" i="4"/>
  <c r="V62" i="4"/>
  <c r="AD61" i="4"/>
  <c r="AJ65" i="4"/>
  <c r="AL64" i="4"/>
  <c r="AM64" i="4" s="1"/>
  <c r="Y60" i="4"/>
  <c r="AA60" i="4" s="1"/>
  <c r="Z59" i="4"/>
  <c r="X62" i="4" l="1"/>
  <c r="W62" i="4"/>
  <c r="V63" i="4"/>
  <c r="AD62" i="4"/>
  <c r="AJ66" i="4"/>
  <c r="AL65" i="4"/>
  <c r="AM65" i="4" s="1"/>
  <c r="Y61" i="4"/>
  <c r="AA61" i="4" s="1"/>
  <c r="Z60" i="4"/>
  <c r="X63" i="4" l="1"/>
  <c r="V64" i="4"/>
  <c r="W63" i="4"/>
  <c r="AD63" i="4"/>
  <c r="AJ67" i="4"/>
  <c r="AL66" i="4"/>
  <c r="AM66" i="4" s="1"/>
  <c r="Y62" i="4"/>
  <c r="AA62" i="4" s="1"/>
  <c r="Z61" i="4"/>
  <c r="X64" i="4" l="1"/>
  <c r="W64" i="4"/>
  <c r="V65" i="4"/>
  <c r="AD64" i="4"/>
  <c r="AJ68" i="4"/>
  <c r="AL67" i="4"/>
  <c r="AM67" i="4" s="1"/>
  <c r="Y63" i="4"/>
  <c r="AA63" i="4" s="1"/>
  <c r="Z62" i="4"/>
  <c r="X65" i="4" l="1"/>
  <c r="V66" i="4"/>
  <c r="W65" i="4"/>
  <c r="AD65" i="4"/>
  <c r="AJ69" i="4"/>
  <c r="AL68" i="4"/>
  <c r="AM68" i="4" s="1"/>
  <c r="Y64" i="4"/>
  <c r="AA64" i="4" s="1"/>
  <c r="Z63" i="4"/>
  <c r="X66" i="4" l="1"/>
  <c r="W66" i="4"/>
  <c r="V67" i="4"/>
  <c r="AD66" i="4"/>
  <c r="AJ70" i="4"/>
  <c r="AL69" i="4"/>
  <c r="AM69" i="4" s="1"/>
  <c r="Y65" i="4"/>
  <c r="AA65" i="4" s="1"/>
  <c r="Z64" i="4"/>
  <c r="X67" i="4" l="1"/>
  <c r="V68" i="4"/>
  <c r="W67" i="4"/>
  <c r="AD67" i="4"/>
  <c r="AJ71" i="4"/>
  <c r="AL70" i="4"/>
  <c r="AM70" i="4" s="1"/>
  <c r="Y66" i="4"/>
  <c r="AA66" i="4" s="1"/>
  <c r="Z65" i="4"/>
  <c r="X68" i="4" l="1"/>
  <c r="V69" i="4"/>
  <c r="W68" i="4"/>
  <c r="AD68" i="4"/>
  <c r="AJ72" i="4"/>
  <c r="AL71" i="4"/>
  <c r="AM71" i="4" s="1"/>
  <c r="Y67" i="4"/>
  <c r="AA67" i="4" s="1"/>
  <c r="Z66" i="4"/>
  <c r="X69" i="4" l="1"/>
  <c r="W69" i="4"/>
  <c r="V70" i="4"/>
  <c r="AD69" i="4"/>
  <c r="AJ73" i="4"/>
  <c r="AL72" i="4"/>
  <c r="AM72" i="4" s="1"/>
  <c r="Y68" i="4"/>
  <c r="AA68" i="4" s="1"/>
  <c r="Z67" i="4"/>
  <c r="X70" i="4" l="1"/>
  <c r="V71" i="4"/>
  <c r="W70" i="4"/>
  <c r="AD70" i="4"/>
  <c r="AJ74" i="4"/>
  <c r="AL73" i="4"/>
  <c r="AM73" i="4" s="1"/>
  <c r="Y69" i="4"/>
  <c r="AA69" i="4" s="1"/>
  <c r="Z68" i="4"/>
  <c r="X71" i="4" l="1"/>
  <c r="V72" i="4"/>
  <c r="W71" i="4"/>
  <c r="AD71" i="4"/>
  <c r="AJ75" i="4"/>
  <c r="AL74" i="4"/>
  <c r="AM74" i="4" s="1"/>
  <c r="Y70" i="4"/>
  <c r="AA70" i="4" s="1"/>
  <c r="Z69" i="4"/>
  <c r="X72" i="4" l="1"/>
  <c r="V73" i="4"/>
  <c r="W72" i="4"/>
  <c r="AD72" i="4"/>
  <c r="AJ76" i="4"/>
  <c r="AL76" i="4" s="1"/>
  <c r="AM76" i="4" s="1"/>
  <c r="AL75" i="4"/>
  <c r="AM75" i="4" s="1"/>
  <c r="Y71" i="4"/>
  <c r="AA71" i="4" s="1"/>
  <c r="Z70" i="4"/>
  <c r="X73" i="4" l="1"/>
  <c r="V74" i="4"/>
  <c r="W73" i="4"/>
  <c r="AD73" i="4"/>
  <c r="AK27" i="4"/>
  <c r="Y72" i="4"/>
  <c r="AA72" i="4" s="1"/>
  <c r="Z71" i="4"/>
  <c r="X74" i="4" l="1"/>
  <c r="V75" i="4"/>
  <c r="W74" i="4"/>
  <c r="AD74" i="4"/>
  <c r="Y73" i="4"/>
  <c r="AA73" i="4" s="1"/>
  <c r="Z72" i="4"/>
  <c r="X75" i="4" l="1"/>
  <c r="V76" i="4"/>
  <c r="W75" i="4"/>
  <c r="AD75" i="4"/>
  <c r="Y74" i="4"/>
  <c r="AA74" i="4" s="1"/>
  <c r="Z73" i="4"/>
  <c r="X76" i="4" l="1"/>
  <c r="W27" i="4" s="1"/>
  <c r="W76" i="4"/>
  <c r="W25" i="4" s="1"/>
  <c r="AD76" i="4"/>
  <c r="AD25" i="4" s="1"/>
  <c r="AD27" i="4"/>
  <c r="AH27" i="4"/>
  <c r="AH25" i="4"/>
  <c r="Y75" i="4"/>
  <c r="AA75" i="4" s="1"/>
  <c r="Z74" i="4"/>
  <c r="Y76" i="4" l="1"/>
  <c r="AA76" i="4" s="1"/>
  <c r="Z75" i="4"/>
  <c r="Z27" i="4" l="1"/>
  <c r="Z76" i="4"/>
  <c r="Z25" i="4" s="1"/>
  <c r="Q39" i="4"/>
  <c r="Q38" i="4"/>
  <c r="Q36" i="4" l="1"/>
  <c r="Q34" i="4"/>
  <c r="Q35" i="4"/>
  <c r="B87" i="4"/>
  <c r="C87" i="4" l="1"/>
  <c r="E87" i="4" s="1"/>
  <c r="D87" i="4"/>
  <c r="B88" i="4"/>
  <c r="C88" i="4" l="1"/>
  <c r="D88" i="4"/>
  <c r="B89" i="4"/>
  <c r="E88" i="4" l="1"/>
  <c r="D89" i="4"/>
  <c r="C89" i="4"/>
  <c r="E89" i="4" s="1"/>
  <c r="B90" i="4"/>
  <c r="C90" i="4" l="1"/>
  <c r="D90" i="4"/>
  <c r="B91" i="4"/>
  <c r="E90" i="4" l="1"/>
  <c r="C91" i="4"/>
  <c r="D91" i="4"/>
  <c r="E91" i="4" s="1"/>
  <c r="B92" i="4"/>
  <c r="D92" i="4" l="1"/>
  <c r="C92" i="4"/>
  <c r="B93" i="4"/>
  <c r="E92" i="4" l="1"/>
  <c r="C93" i="4"/>
  <c r="D93" i="4"/>
  <c r="E93" i="4" s="1"/>
  <c r="B94" i="4"/>
  <c r="C94" i="4" l="1"/>
  <c r="D94" i="4"/>
  <c r="E94" i="4" s="1"/>
  <c r="B95" i="4"/>
  <c r="B96" i="4" l="1"/>
  <c r="D95" i="4"/>
  <c r="E95" i="4" s="1"/>
  <c r="C95" i="4"/>
  <c r="B97" i="4" l="1"/>
  <c r="D96" i="4"/>
  <c r="E96" i="4" s="1"/>
  <c r="C96" i="4"/>
  <c r="B98" i="4" l="1"/>
  <c r="C97" i="4"/>
  <c r="D97" i="4"/>
  <c r="E97" i="4" s="1"/>
  <c r="B99" i="4" l="1"/>
  <c r="C98" i="4"/>
  <c r="D98" i="4"/>
  <c r="E98" i="4" s="1"/>
  <c r="B100" i="4" l="1"/>
  <c r="D99" i="4"/>
  <c r="E99" i="4" s="1"/>
  <c r="C99" i="4"/>
  <c r="B101" i="4" l="1"/>
  <c r="C100" i="4"/>
  <c r="D100" i="4"/>
  <c r="E100" i="4" s="1"/>
  <c r="B102" i="4" l="1"/>
  <c r="D101" i="4"/>
  <c r="E101" i="4" s="1"/>
  <c r="C101" i="4"/>
  <c r="B103" i="4" l="1"/>
  <c r="D102" i="4"/>
  <c r="E102" i="4" s="1"/>
  <c r="C102" i="4"/>
  <c r="B104" i="4" l="1"/>
  <c r="D103" i="4"/>
  <c r="E103" i="4" s="1"/>
  <c r="C103" i="4"/>
  <c r="B105" i="4" l="1"/>
  <c r="B108" i="4" s="1"/>
  <c r="D104" i="4"/>
  <c r="E104" i="4" s="1"/>
  <c r="C104" i="4"/>
  <c r="C105" i="4" l="1"/>
  <c r="D105" i="4"/>
  <c r="E105" i="4" s="1"/>
</calcChain>
</file>

<file path=xl/comments1.xml><?xml version="1.0" encoding="utf-8"?>
<comments xmlns="http://schemas.openxmlformats.org/spreadsheetml/2006/main">
  <authors>
    <author>Franco Sivila</author>
  </authors>
  <commentList>
    <comment ref="B65" authorId="0" shapeId="0">
      <text>
        <r>
          <rPr>
            <b/>
            <sz val="9"/>
            <color indexed="81"/>
            <rFont val="Tahoma"/>
            <family val="2"/>
          </rPr>
          <t>This section helps to check the P99 and P1 for the assumption variables. Example: Rock volume, water saturation, etc.
P99 should be just large enough to be consistent with a very small possible value.
P1 should be just large enough that it is physcally possible. 
P99 must not be negative!</t>
        </r>
      </text>
    </comment>
  </commentList>
</comments>
</file>

<file path=xl/comments2.xml><?xml version="1.0" encoding="utf-8"?>
<comments xmlns="http://schemas.openxmlformats.org/spreadsheetml/2006/main">
  <authors>
    <author>Sivila, Franco F.</author>
    <author>Franco Sivila</author>
  </authors>
  <commentList>
    <comment ref="C20" authorId="0" shapeId="0">
      <text>
        <r>
          <rPr>
            <b/>
            <sz val="9"/>
            <color indexed="81"/>
            <rFont val="Tahoma"/>
            <family val="2"/>
          </rPr>
          <t>Sivila, Franco F.:</t>
        </r>
        <r>
          <rPr>
            <sz val="9"/>
            <color indexed="81"/>
            <rFont val="Tahoma"/>
            <family val="2"/>
          </rPr>
          <t xml:space="preserve">
Merma</t>
        </r>
      </text>
    </comment>
    <comment ref="G31" authorId="0" shapeId="0">
      <text>
        <r>
          <rPr>
            <sz val="9"/>
            <color indexed="81"/>
            <rFont val="Tahoma"/>
            <family val="2"/>
          </rPr>
          <t>*Coefficient of Variability</t>
        </r>
      </text>
    </comment>
    <comment ref="B39" authorId="1" shapeId="0">
      <text>
        <r>
          <rPr>
            <b/>
            <sz val="9"/>
            <color indexed="81"/>
            <rFont val="Tahoma"/>
            <family val="2"/>
          </rPr>
          <t xml:space="preserve">Franco Sivila: </t>
        </r>
        <r>
          <rPr>
            <sz val="9"/>
            <color indexed="81"/>
            <rFont val="Tahoma"/>
            <family val="2"/>
          </rPr>
          <t>Filtering removes values outside the range from charts and statistical calculations.</t>
        </r>
      </text>
    </comment>
    <comment ref="B43" authorId="1" shapeId="0">
      <text>
        <r>
          <rPr>
            <b/>
            <sz val="8"/>
            <color indexed="81"/>
            <rFont val="Tahoma"/>
            <family val="2"/>
          </rPr>
          <t>Franco Sivila:</t>
        </r>
        <r>
          <rPr>
            <sz val="9"/>
            <color indexed="81"/>
            <rFont val="Tahoma"/>
            <family val="2"/>
          </rPr>
          <t xml:space="preserve">
</t>
        </r>
        <r>
          <rPr>
            <sz val="8"/>
            <color indexed="81"/>
            <rFont val="Tahoma"/>
            <family val="2"/>
          </rPr>
          <t xml:space="preserve">Select which forecast variables will be extracted [data and charts] at the end of each CB simulation. The data extraction is executed when CB simulation is Run using the botton on sheet "OGIP_Volumetric_Estimation_CB" [VBA code].
</t>
        </r>
      </text>
    </comment>
  </commentList>
</comments>
</file>

<file path=xl/comments3.xml><?xml version="1.0" encoding="utf-8"?>
<comments xmlns="http://schemas.openxmlformats.org/spreadsheetml/2006/main">
  <authors>
    <author>Sivila, Franco F.</author>
  </authors>
  <commentList>
    <comment ref="D2" authorId="0" shapeId="0">
      <text>
        <r>
          <rPr>
            <b/>
            <sz val="9"/>
            <color indexed="81"/>
            <rFont val="Tahoma"/>
            <family val="2"/>
          </rPr>
          <t>Sivila, Franco F.:</t>
        </r>
        <r>
          <rPr>
            <sz val="9"/>
            <color indexed="81"/>
            <rFont val="Tahoma"/>
            <family val="2"/>
          </rPr>
          <t xml:space="preserve">
Ingresar tope de estructura con gas.</t>
        </r>
      </text>
    </comment>
    <comment ref="B9" authorId="0" shapeId="0">
      <text>
        <r>
          <rPr>
            <b/>
            <sz val="9"/>
            <color indexed="81"/>
            <rFont val="Tahoma"/>
            <family val="2"/>
          </rPr>
          <t>Sivila, Franco F.:</t>
        </r>
        <r>
          <rPr>
            <sz val="9"/>
            <color indexed="81"/>
            <rFont val="Tahoma"/>
            <family val="2"/>
          </rPr>
          <t xml:space="preserve">
Ingresar profundidad 
máxima y mínima para posible GWC.</t>
        </r>
      </text>
    </comment>
  </commentList>
</comments>
</file>

<file path=xl/sharedStrings.xml><?xml version="1.0" encoding="utf-8"?>
<sst xmlns="http://schemas.openxmlformats.org/spreadsheetml/2006/main" count="877" uniqueCount="357">
  <si>
    <t>Rock Valume</t>
  </si>
  <si>
    <t>Assumption</t>
  </si>
  <si>
    <t>P10</t>
  </si>
  <si>
    <t>P50</t>
  </si>
  <si>
    <t>P90</t>
  </si>
  <si>
    <t>Unit</t>
  </si>
  <si>
    <t>Distribution</t>
  </si>
  <si>
    <t>Variable</t>
  </si>
  <si>
    <t>Area</t>
  </si>
  <si>
    <t>Thickness</t>
  </si>
  <si>
    <t>Rock Volume</t>
  </si>
  <si>
    <t>Net to Gross Ratio [N/G]</t>
  </si>
  <si>
    <t>Porosity</t>
  </si>
  <si>
    <t>Water Saturation</t>
  </si>
  <si>
    <r>
      <t>[m</t>
    </r>
    <r>
      <rPr>
        <vertAlign val="superscript"/>
        <sz val="8"/>
        <color theme="1"/>
        <rFont val="Calibri"/>
        <family val="2"/>
        <scheme val="minor"/>
      </rPr>
      <t>2</t>
    </r>
    <r>
      <rPr>
        <sz val="8"/>
        <color theme="1"/>
        <rFont val="Calibri"/>
        <family val="2"/>
        <scheme val="minor"/>
      </rPr>
      <t>]</t>
    </r>
  </si>
  <si>
    <t>[m]</t>
  </si>
  <si>
    <t>[decimal]</t>
  </si>
  <si>
    <t>Fluid Properties</t>
  </si>
  <si>
    <t>Oil Volume Factor, Boi</t>
  </si>
  <si>
    <t>GOR</t>
  </si>
  <si>
    <t>[rb/STB]</t>
  </si>
  <si>
    <t>[scf/STB]</t>
  </si>
  <si>
    <t>Uniform</t>
  </si>
  <si>
    <t>Recovery</t>
  </si>
  <si>
    <t>Oil Recovery Factor</t>
  </si>
  <si>
    <t>Gas Shrinkage</t>
  </si>
  <si>
    <r>
      <t>[MM m</t>
    </r>
    <r>
      <rPr>
        <vertAlign val="superscript"/>
        <sz val="8"/>
        <color theme="1"/>
        <rFont val="Calibri"/>
        <family val="2"/>
        <scheme val="minor"/>
      </rPr>
      <t>3</t>
    </r>
    <r>
      <rPr>
        <sz val="8"/>
        <rFont val="Calibri"/>
        <family val="2"/>
        <scheme val="minor"/>
      </rPr>
      <t>]</t>
    </r>
  </si>
  <si>
    <t>Log Normal</t>
  </si>
  <si>
    <t>Triangular</t>
  </si>
  <si>
    <t xml:space="preserve">Net to </t>
  </si>
  <si>
    <t>Gas</t>
  </si>
  <si>
    <t>Labels</t>
  </si>
  <si>
    <t>X</t>
  </si>
  <si>
    <t>Y</t>
  </si>
  <si>
    <t>Rock Vol.</t>
  </si>
  <si>
    <t>Sw</t>
  </si>
  <si>
    <t>Gross</t>
  </si>
  <si>
    <t>Recovery [RF]</t>
  </si>
  <si>
    <t>Gas Expansion Factor, Egi</t>
  </si>
  <si>
    <t>Slope</t>
  </si>
  <si>
    <t>y intercept</t>
  </si>
  <si>
    <t>P1</t>
  </si>
  <si>
    <t>P99</t>
  </si>
  <si>
    <t>c</t>
  </si>
  <si>
    <t>b</t>
  </si>
  <si>
    <t>Percentile</t>
  </si>
  <si>
    <t>y</t>
  </si>
  <si>
    <t>ogip</t>
  </si>
  <si>
    <t>gas sale</t>
  </si>
  <si>
    <t>P100</t>
  </si>
  <si>
    <t>P80</t>
  </si>
  <si>
    <t>P70</t>
  </si>
  <si>
    <t>P60</t>
  </si>
  <si>
    <t>P40</t>
  </si>
  <si>
    <t>P30</t>
  </si>
  <si>
    <t>P20</t>
  </si>
  <si>
    <t>P0</t>
  </si>
  <si>
    <t>Original</t>
  </si>
  <si>
    <t>Gas In-Place</t>
  </si>
  <si>
    <t>Reserves</t>
  </si>
  <si>
    <t>[BCF]</t>
  </si>
  <si>
    <t>Mean</t>
  </si>
  <si>
    <t>Pmean (z)</t>
  </si>
  <si>
    <t>Pmean</t>
  </si>
  <si>
    <t>Equation: y = (c * LN(x)) + b</t>
  </si>
  <si>
    <t>c: =INDEX(LINEST(y,LN(x)),1)</t>
  </si>
  <si>
    <t>b: =INDEX(LINEST(y,LN(x)),1,2)</t>
  </si>
  <si>
    <t>*Vertical Axis is nonlinear probability scale.</t>
  </si>
  <si>
    <t>Oil</t>
  </si>
  <si>
    <t>Boi</t>
  </si>
  <si>
    <t>Forecast Status</t>
  </si>
  <si>
    <t>Input [Crystal Ball]</t>
  </si>
  <si>
    <t>Forecast Variables</t>
  </si>
  <si>
    <t>***</t>
  </si>
  <si>
    <r>
      <t>[Km</t>
    </r>
    <r>
      <rPr>
        <vertAlign val="superscript"/>
        <sz val="8"/>
        <color theme="1"/>
        <rFont val="Calibri"/>
        <family val="2"/>
        <scheme val="minor"/>
      </rPr>
      <t>2</t>
    </r>
    <r>
      <rPr>
        <sz val="8"/>
        <color theme="1"/>
        <rFont val="Calibri"/>
        <family val="2"/>
        <scheme val="minor"/>
      </rPr>
      <t>]</t>
    </r>
  </si>
  <si>
    <t>Active</t>
  </si>
  <si>
    <r>
      <t>[MM m</t>
    </r>
    <r>
      <rPr>
        <vertAlign val="superscript"/>
        <sz val="8"/>
        <rFont val="Calibri"/>
        <family val="2"/>
        <scheme val="minor"/>
      </rPr>
      <t>3</t>
    </r>
    <r>
      <rPr>
        <sz val="8"/>
        <rFont val="Calibri"/>
        <family val="2"/>
        <scheme val="minor"/>
      </rPr>
      <t>]</t>
    </r>
  </si>
  <si>
    <t>Net/Gross</t>
  </si>
  <si>
    <t>Trials Output [Crystal Ball Forecast]</t>
  </si>
  <si>
    <t>From</t>
  </si>
  <si>
    <t>To</t>
  </si>
  <si>
    <t>Filter Status</t>
  </si>
  <si>
    <t>Original Gas In-Place</t>
  </si>
  <si>
    <t>Gas Reserves</t>
  </si>
  <si>
    <t>Original Oil In-Place</t>
  </si>
  <si>
    <t>[MMSTB]</t>
  </si>
  <si>
    <t>Oil Reserves</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</si>
  <si>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</si>
  <si>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</si>
  <si>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</si>
  <si>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</si>
  <si>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</si>
  <si>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</si>
  <si>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</si>
  <si>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</si>
  <si>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</si>
  <si>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</si>
  <si>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</si>
  <si>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</si>
  <si>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ab931052-731f-4ec3-8d9a-21f5c863cacb</t>
  </si>
  <si>
    <t>CB_Block_7.0.0.0:1</t>
  </si>
  <si>
    <t>Decisioneering:7.0.0.0</t>
  </si>
  <si>
    <t>CB_Block_0</t>
  </si>
  <si>
    <t>adc4d60a-bc60-40bf-9996-1cff3119142d</t>
  </si>
  <si>
    <t>Oil Recovery Factor, RF</t>
  </si>
  <si>
    <t>9b6b6d25-f49b-4508-a212-a6ba9f793f11</t>
  </si>
  <si>
    <t>Max.</t>
  </si>
  <si>
    <t>Min.</t>
  </si>
  <si>
    <t>Likeliest</t>
  </si>
  <si>
    <t>Constant</t>
  </si>
  <si>
    <t>Gas Recovery Factor, RF</t>
  </si>
  <si>
    <t>Gas Recovery Factor</t>
  </si>
  <si>
    <t>Original Oil</t>
  </si>
  <si>
    <t>In-Place</t>
  </si>
  <si>
    <t>STATISTICS</t>
  </si>
  <si>
    <t>Trials</t>
  </si>
  <si>
    <t>Median</t>
  </si>
  <si>
    <t>Mode</t>
  </si>
  <si>
    <t>No calculated!</t>
  </si>
  <si>
    <t>Variance</t>
  </si>
  <si>
    <t>Skewness</t>
  </si>
  <si>
    <t>Kurtosis</t>
  </si>
  <si>
    <t>Minimum</t>
  </si>
  <si>
    <t>Maximum</t>
  </si>
  <si>
    <t>Range width</t>
  </si>
  <si>
    <t>Base Case</t>
  </si>
  <si>
    <t>PERCENTILES RESULTS</t>
  </si>
  <si>
    <t>Crystal Ball No. Trials for simulation:</t>
  </si>
  <si>
    <t>Filter [Exclude values in the specified range]</t>
  </si>
  <si>
    <t>Volume</t>
  </si>
  <si>
    <t>Water</t>
  </si>
  <si>
    <t>Saturation</t>
  </si>
  <si>
    <t>RF</t>
  </si>
  <si>
    <t>Shrinkage</t>
  </si>
  <si>
    <r>
      <t>[Km</t>
    </r>
    <r>
      <rPr>
        <b/>
        <vertAlign val="superscript"/>
        <sz val="8"/>
        <rFont val="Calibri"/>
        <family val="2"/>
        <scheme val="minor"/>
      </rPr>
      <t>2</t>
    </r>
    <r>
      <rPr>
        <b/>
        <sz val="8"/>
        <rFont val="Calibri"/>
        <family val="2"/>
        <scheme val="minor"/>
      </rPr>
      <t>]</t>
    </r>
  </si>
  <si>
    <r>
      <t>[MM m</t>
    </r>
    <r>
      <rPr>
        <b/>
        <vertAlign val="superscript"/>
        <sz val="8"/>
        <rFont val="Calibri"/>
        <family val="2"/>
        <scheme val="minor"/>
      </rPr>
      <t>3</t>
    </r>
    <r>
      <rPr>
        <b/>
        <sz val="8"/>
        <rFont val="Calibri"/>
        <family val="2"/>
        <scheme val="minor"/>
      </rPr>
      <t>]</t>
    </r>
  </si>
  <si>
    <t>Geologist:</t>
  </si>
  <si>
    <t>Engineer:</t>
  </si>
  <si>
    <t>Field Name:</t>
  </si>
  <si>
    <t>Reservoir:</t>
  </si>
  <si>
    <t>Date:</t>
  </si>
  <si>
    <t>Petrophysics</t>
  </si>
  <si>
    <t>Gas Volume Factor, Bgi</t>
  </si>
  <si>
    <t>CGR</t>
  </si>
  <si>
    <t>[bbl/MMscf]</t>
  </si>
  <si>
    <t>[cf/scf]</t>
  </si>
  <si>
    <t>Gas Saturation</t>
  </si>
  <si>
    <t>m</t>
  </si>
  <si>
    <t>x</t>
  </si>
  <si>
    <t>Ln(P90)</t>
  </si>
  <si>
    <t>Ln(P10)</t>
  </si>
  <si>
    <t>z(P10)</t>
  </si>
  <si>
    <t>z(P90)</t>
  </si>
  <si>
    <t>Normal</t>
  </si>
  <si>
    <r>
      <rPr>
        <sz val="10"/>
        <rFont val="Calibri"/>
        <family val="2"/>
        <scheme val="minor"/>
      </rPr>
      <t>Standard Dev.,</t>
    </r>
    <r>
      <rPr>
        <sz val="10"/>
        <rFont val="Symbol"/>
        <family val="1"/>
        <charset val="2"/>
      </rPr>
      <t xml:space="preserve"> s</t>
    </r>
  </si>
  <si>
    <t>Lognormal</t>
  </si>
  <si>
    <t>Net to Gross</t>
  </si>
  <si>
    <t>f(x)</t>
  </si>
  <si>
    <t>SD</t>
  </si>
  <si>
    <t>Zp</t>
  </si>
  <si>
    <t>P2</t>
  </si>
  <si>
    <t>P3</t>
  </si>
  <si>
    <t>P4</t>
  </si>
  <si>
    <t>P5</t>
  </si>
  <si>
    <t>Cum</t>
  </si>
  <si>
    <t>Gas Expasion</t>
  </si>
  <si>
    <t>Factor, Egi</t>
  </si>
  <si>
    <t>Sg</t>
  </si>
  <si>
    <t>Nonlinear probability scale charts and Distributions (QC Check):</t>
  </si>
  <si>
    <t>Rock</t>
  </si>
  <si>
    <t>CV</t>
  </si>
  <si>
    <t>SD Error</t>
  </si>
  <si>
    <t>P50 Gas Reserves</t>
  </si>
  <si>
    <t>P1 Gas Reserves</t>
  </si>
  <si>
    <t>P99 Gas Reserves</t>
  </si>
  <si>
    <t>[percent]</t>
  </si>
  <si>
    <t>[scf/cf]</t>
  </si>
  <si>
    <t>Component</t>
  </si>
  <si>
    <t>Formula</t>
  </si>
  <si>
    <t>A</t>
  </si>
  <si>
    <t>Compositión</t>
  </si>
  <si>
    <t>decimal</t>
  </si>
  <si>
    <t>%</t>
  </si>
  <si>
    <t>MW</t>
  </si>
  <si>
    <t>B</t>
  </si>
  <si>
    <t>A x B</t>
  </si>
  <si>
    <t>CARBON DIOXIDE</t>
  </si>
  <si>
    <t>HYDROGEN SULFIDE</t>
  </si>
  <si>
    <t>NITROGEN</t>
  </si>
  <si>
    <t>METHANE</t>
  </si>
  <si>
    <t>ETHANE</t>
  </si>
  <si>
    <t>PROPANE</t>
  </si>
  <si>
    <t>C3H8</t>
  </si>
  <si>
    <t>N-BUTANE</t>
  </si>
  <si>
    <t>C4H10</t>
  </si>
  <si>
    <t>ISOBUTANE</t>
  </si>
  <si>
    <t>N-PENTANE</t>
  </si>
  <si>
    <t>C5H12</t>
  </si>
  <si>
    <t>ISOPENTANE</t>
  </si>
  <si>
    <t>N-HEXANE</t>
  </si>
  <si>
    <t>C6H14</t>
  </si>
  <si>
    <t>N-HEPTANE</t>
  </si>
  <si>
    <t>C7H16</t>
  </si>
  <si>
    <t>N-OCTANE</t>
  </si>
  <si>
    <t>C8H18</t>
  </si>
  <si>
    <t>N-NONANE</t>
  </si>
  <si>
    <t>C9H20</t>
  </si>
  <si>
    <t>N-DECANE</t>
  </si>
  <si>
    <t>C10H22</t>
  </si>
  <si>
    <r>
      <t>CO</t>
    </r>
    <r>
      <rPr>
        <vertAlign val="subscript"/>
        <sz val="9"/>
        <color theme="1"/>
        <rFont val="Calibri"/>
        <family val="2"/>
        <scheme val="minor"/>
      </rPr>
      <t>2</t>
    </r>
  </si>
  <si>
    <r>
      <t>H</t>
    </r>
    <r>
      <rPr>
        <vertAlign val="subscript"/>
        <sz val="9"/>
        <color theme="1"/>
        <rFont val="Calibri"/>
        <family val="2"/>
        <scheme val="minor"/>
      </rPr>
      <t>2</t>
    </r>
    <r>
      <rPr>
        <sz val="9"/>
        <color theme="1"/>
        <rFont val="Calibri"/>
        <family val="2"/>
        <scheme val="minor"/>
      </rPr>
      <t>S</t>
    </r>
  </si>
  <si>
    <r>
      <t>N</t>
    </r>
    <r>
      <rPr>
        <vertAlign val="subscript"/>
        <sz val="9"/>
        <color theme="1"/>
        <rFont val="Calibri"/>
        <family val="2"/>
        <scheme val="minor"/>
      </rPr>
      <t>2</t>
    </r>
  </si>
  <si>
    <t>Tc</t>
  </si>
  <si>
    <t>Pc</t>
  </si>
  <si>
    <t>[ºF]</t>
  </si>
  <si>
    <t>[psi]</t>
  </si>
  <si>
    <t>w</t>
  </si>
  <si>
    <t>C</t>
  </si>
  <si>
    <t>D</t>
  </si>
  <si>
    <t>E</t>
  </si>
  <si>
    <t>A x C</t>
  </si>
  <si>
    <t>A x D</t>
  </si>
  <si>
    <t>A x E</t>
  </si>
  <si>
    <t>Composition</t>
  </si>
  <si>
    <t>Wichert &amp; Aziz Correlation Adjustment for Nonhydrocarbon</t>
  </si>
  <si>
    <t>e</t>
  </si>
  <si>
    <t>ºR</t>
  </si>
  <si>
    <t>Gas Pseudo properties</t>
  </si>
  <si>
    <t>Tpc</t>
  </si>
  <si>
    <t>Ppc</t>
  </si>
  <si>
    <t>psi</t>
  </si>
  <si>
    <t>Adjusted Gas Pseudo properties</t>
  </si>
  <si>
    <t>T'pc</t>
  </si>
  <si>
    <t>P'pc</t>
  </si>
  <si>
    <t>Pressure</t>
  </si>
  <si>
    <t>Temperature</t>
  </si>
  <si>
    <t>k</t>
  </si>
  <si>
    <t>a</t>
  </si>
  <si>
    <t>R</t>
  </si>
  <si>
    <t>Coefficientes</t>
  </si>
  <si>
    <t>g</t>
  </si>
  <si>
    <t>Real Roots</t>
  </si>
  <si>
    <t>Z [1]</t>
  </si>
  <si>
    <t>Z [2]</t>
  </si>
  <si>
    <t>Z [3]</t>
  </si>
  <si>
    <t>Factor-z</t>
  </si>
  <si>
    <t>cf</t>
  </si>
  <si>
    <t>Gas Density</t>
  </si>
  <si>
    <t>cf/lb</t>
  </si>
  <si>
    <t>Bg</t>
  </si>
  <si>
    <t>bbl/scf</t>
  </si>
  <si>
    <t>cf/scf</t>
  </si>
  <si>
    <t>Gas Viscosity</t>
  </si>
  <si>
    <t>[cp]</t>
  </si>
  <si>
    <t>R, ft3 * psi /°R * lb-mol</t>
  </si>
  <si>
    <t>Ppr, psi</t>
  </si>
  <si>
    <t>Tpr, ºF</t>
  </si>
  <si>
    <t>[cf/lb]</t>
  </si>
  <si>
    <t>Temp.</t>
  </si>
  <si>
    <t>Density</t>
  </si>
  <si>
    <t>Viscosity</t>
  </si>
  <si>
    <r>
      <t>CH</t>
    </r>
    <r>
      <rPr>
        <vertAlign val="subscript"/>
        <sz val="9"/>
        <color theme="1"/>
        <rFont val="Calibri"/>
        <family val="2"/>
        <scheme val="minor"/>
      </rPr>
      <t>4</t>
    </r>
  </si>
  <si>
    <r>
      <t>C</t>
    </r>
    <r>
      <rPr>
        <vertAlign val="subscript"/>
        <sz val="9"/>
        <color theme="1"/>
        <rFont val="Calibri"/>
        <family val="2"/>
        <scheme val="minor"/>
      </rPr>
      <t>2</t>
    </r>
    <r>
      <rPr>
        <sz val="9"/>
        <color theme="1"/>
        <rFont val="Calibri"/>
        <family val="2"/>
        <scheme val="minor"/>
      </rPr>
      <t>H</t>
    </r>
    <r>
      <rPr>
        <vertAlign val="subscript"/>
        <sz val="9"/>
        <color theme="1"/>
        <rFont val="Calibri"/>
        <family val="2"/>
        <scheme val="minor"/>
      </rPr>
      <t>6</t>
    </r>
  </si>
  <si>
    <t>:</t>
  </si>
  <si>
    <t>ft</t>
  </si>
  <si>
    <t>Depth</t>
  </si>
  <si>
    <t>Overburden</t>
  </si>
  <si>
    <t>Formation</t>
  </si>
  <si>
    <t>Top depth</t>
  </si>
  <si>
    <t>Name</t>
  </si>
  <si>
    <t>.</t>
  </si>
  <si>
    <t>Max</t>
  </si>
  <si>
    <t>Min</t>
  </si>
  <si>
    <t>psi/ft</t>
  </si>
  <si>
    <t>Pressure @ GWC</t>
  </si>
  <si>
    <t>Pressure @ Top</t>
  </si>
  <si>
    <t>Average Pressure</t>
  </si>
  <si>
    <t>unit</t>
  </si>
  <si>
    <t>GWC depth</t>
  </si>
  <si>
    <t>Pore pressure gradient</t>
  </si>
  <si>
    <t>scf/cf</t>
  </si>
  <si>
    <t>Chart Axis</t>
  </si>
  <si>
    <t>Max. Pressure:</t>
  </si>
  <si>
    <t>Max:</t>
  </si>
  <si>
    <t>Max. Depth:</t>
  </si>
  <si>
    <t>Depth Top</t>
  </si>
  <si>
    <t>ºF</t>
  </si>
  <si>
    <t>Temp. Gradient</t>
  </si>
  <si>
    <t>Temp. @ GWC</t>
  </si>
  <si>
    <t>Temp. @ Top</t>
  </si>
  <si>
    <t>Temp. Surface</t>
  </si>
  <si>
    <t>ºF/100ft</t>
  </si>
  <si>
    <t>Average Temperature</t>
  </si>
  <si>
    <t>Max. Press.:</t>
  </si>
  <si>
    <t>psia</t>
  </si>
  <si>
    <t>PVT Data Table</t>
  </si>
  <si>
    <t>Pore Pressure</t>
  </si>
  <si>
    <t>Gas Volume</t>
  </si>
  <si>
    <t>Factor, Bgi</t>
  </si>
  <si>
    <t>QC Input vs Output</t>
  </si>
  <si>
    <t>NTG</t>
  </si>
  <si>
    <t>Bgi</t>
  </si>
  <si>
    <t>Input</t>
  </si>
  <si>
    <t>Output</t>
  </si>
  <si>
    <t>Difference</t>
  </si>
  <si>
    <t>[%]</t>
  </si>
  <si>
    <t>Egi</t>
  </si>
  <si>
    <t>Error</t>
  </si>
  <si>
    <t>Gas Expansion</t>
  </si>
  <si>
    <t>Decimal</t>
  </si>
  <si>
    <t>Pressure, psi</t>
  </si>
  <si>
    <t>Sgas (P99)</t>
  </si>
  <si>
    <t>Sgas (P1)</t>
  </si>
  <si>
    <t>Sgas (P10)</t>
  </si>
  <si>
    <t>Sgas (P90)</t>
  </si>
  <si>
    <t>Gas Shrinkage (Merma)</t>
  </si>
  <si>
    <t>Gas Produced (Separator)</t>
  </si>
  <si>
    <t>Gas Fraction, fg</t>
  </si>
  <si>
    <t>Hydrocarbon</t>
  </si>
  <si>
    <t>Hydrocarbon Volume</t>
  </si>
  <si>
    <t>Gas Produced</t>
  </si>
  <si>
    <t>Separator</t>
  </si>
  <si>
    <t>Decisioneering:7.3.0.0</t>
  </si>
  <si>
    <t>Units</t>
  </si>
  <si>
    <t>Percentiles</t>
  </si>
  <si>
    <t>Resume Percentiles</t>
  </si>
  <si>
    <t>Resume Reserves</t>
  </si>
  <si>
    <t>GWC depth, Max.</t>
  </si>
  <si>
    <t>GWC depth, Min.</t>
  </si>
  <si>
    <t>CB_Block_7.0.0.0:2</t>
  </si>
  <si>
    <t>CB_Block_7.3.0.0:1</t>
  </si>
  <si>
    <t>|Current Results|Sensitivity Charts|17. OGIP - CrystalBall - LOS MONOS - Icla (26-Junio-2017).xlsm|Sensitivity Chart 1</t>
  </si>
  <si>
    <t>|Current Results|Sensitivity Charts|17. OGIP - CrystalBall - LOS MONOS - Icla (26-Junio-2017).xlsm|Sensitivity Chart 2</t>
  </si>
  <si>
    <t>dY</t>
  </si>
  <si>
    <t>dX</t>
  </si>
  <si>
    <t>HMP</t>
  </si>
  <si>
    <t>f52f9d40-610d-4c85-bb20-5758f73db2bd</t>
  </si>
  <si>
    <t>Correlation Coefficient</t>
  </si>
  <si>
    <t>Gas press. gradient (reservoir)</t>
  </si>
  <si>
    <t>PowerPoint Template Location</t>
  </si>
  <si>
    <t>Folder:</t>
  </si>
  <si>
    <t>File:</t>
  </si>
  <si>
    <t>X:\01 RD TOOLS\_VISION\_PPT_Templates</t>
  </si>
  <si>
    <t>06. Template Resultados - OGIP - CB.pptx</t>
  </si>
  <si>
    <t>XXX</t>
  </si>
  <si>
    <t>YYY</t>
  </si>
  <si>
    <t>㜸〱敤㕣㔹㙣㈴㐷ㄹ㥥㙡㑦㡦愷挷昶摡㔹㙦㡥つ㈱㜱ㄲ㐲㐲扣㌸敢㑤㤶㄰㘰㔹㝣㘴㡦攰㕤㍢㙢敦〶ㄴ搰㙣㝢愶㝡摤搹改㙥愷扢挷扢づ㤱ㄲ㐱挲㈱㉥㠹㑢㠴㠴㐳ㄱ㐴攲㠵㐳㐸攱㝣㐱㐲〲愱㠰㜸㠰〷㈴ㅥ挲晤〰㐲㉢昱㤲〷㈴昸扥敡敥㤹㥥ㄹ㑦摢㤹㈴攰㈰搷㘶㝥㔷搷搵㔵昵㥦昵晦搵挹㠹㕣㉥昷㙦㈴晥㘵捡㌳㜳捤攲㝡㄰㑡㘷㘲挶慢搵㘴㈵戴㍤㌷㤸㤸昲㝤㜳㝤捥づ挲㍥㌴㈸㤴㙤搴〷㝡㌹戰ㅦ㤲挵昲㥡昴〳㌴搲㜳戹㘲搱搰㔰捦㐱昸ㅢ㐹ㅥっ昶ㅡ捣〳㉣捤㑣捦㉦㍦㠰㔱ㄷ㐳捦㤷晢挶捥㐴㝤て㑤㑥㑥㑣㑥ㅣ戸敢挰㥢㈶昶敦ㅢ㥢愹搷挲扡㉦て戹戲ㅥ晡㘶㙤摦搸㐲㝤戹㘶㔷摥㈹搷㤷扣昳搲㍤㈴㤷昷摦扥㙣摥昱收挹㍢づㅥ戴敥扡敢捤㠳㜸㜵敥攴捣昴㠲㉦慤攰㘵ㅡ㔳攷㤴敦㤸㤵ㄵ㥢㙢㤳搲户摤㜳ㄳ㌳搳昸㉦㌵㝦㍣摤㌹戱戸㈲㘵挸㔷㑢㕦扡ㄵㄹㄸ攸㌸攰㑣〵㐱摤㔹攵收ㄹ捥ㄱ㉣戵㘲〶愱敥捣挸㕡捤㜰㤲㔱㡢捥㍣昶慥㘶慥て㍡㡢搲つ散搰㕥戳挳昵㠲戳㠴㠱慡㐳捥改㐰㥥㌲摤㜳昲愴改㐸摤㌹㕡户慢昹㈸攵晡㙥㑥㠶㐸㑦㑣㉤㝦㘲㉡㜰㘶㔶㑣㕦捤㈸攰挶㘴戴㍤攲㔷㕡摢摥搸㝤㕣㑥㕤扤㠱㘳摥搴扤ㅤ㙡捥㤸㝥愳攵㜸昷㤶昱攲㕢㘷㜰㕢昷昶愹㍤㙡敤昳㠶敥㝤搴㔶戶戶ㄶ〳㌱㝤慢ㅤ挵㘲㡣〲㐱㍦㐱㤱㠰〸㌴㑡〴〳〴㠳〰㈲晦㑦㜰㐹扡㈳慢戴戲愹㤵㤷戵㜲㐵㉢㔷戵戲搴捡㤶㔶㍥愷㤵㔷戴戲慤㤵ㅦ搰捡攷搱㈶㐹挵晥㝥㉤㑥昷㍦晢戵敦晣昲㠵㝤㜳捦晣㌱昷攷愹㕢慥㉦づ敥㐲愳㝢攳㐹捤晡收〵㤰㕡㤳㡡て㑣散攷扦捤戹〲㑣㘱ㅤ戴敥戴㈶㈷慢〷昷㥢户㥢㍡㤷㤵㠱晣ㄶ㐲ㄹ㐱摢㐱敢㍥摢慤㝡ㄷㄴ敥慥㤹㌶〳搹摣戸昱戸㙥摡慢扢搵攰㌵ㅢ㔷㉥㠶㘶㈸慦㙥慦㙢づ搲搱㙤ㄱ㙣㈵〳昵扥㙢摢扢㥤㌱㙢㜵㌹㜵搱㡥慡㕦摢㔶敤㉣昸摥㜲昷摡㈳扥㝣戰㔱摢㌱愳㈹〸戵㌵㌵㜶挷㉡愳慡㘸㕥㘳㌳㉢㕥㈰㕤㌵扤㜱㘷挱慥㥣㤷晥愲愴㐸㤴㔵戵搴换㔹ㄵ㜳晤昸扣㡢㠵㠲㕢慢㌷愴㑢慤扢㉦㠶㘰㘶㔹挵㝣㔷愵ㅦ慥㉦㤹换㌵㜹㐵㑢㤳攸㥤愸搸摢㔲㝣挴慢搴㠳ㄹ捦つ㝤慦搶㕡㌳㔵㕤㌳㈱㘹慡㈷扣慡捣攷㜳㑡㈸㐰攰昶昵〹㤱扢戵㍢㉦㈸㐴愴㔰㑣㐶扥慡㤵散㈶㑥㘱㜵㔸㐵㑤㤲㈶戵搷㙤㌲ㄸ攷慢㘴㑣〶〷愶搶㐴晤挱㤷摥戲挹戰つ捣扤戲㡤㌵㙤㌴㕥晤摤㙢搲つ㡦㤹㙥戵㈶晤㑣敤㈷㌸㈳㘳ㄸ㐰扦〴㠱搰㜵昷愸敡挴㐵戱慥㕦戰慢攱㑡㘱㐵摡攷㔶㐲㤴㐱㐳ㄶ㡢摣摡㡥㘴㕣㠶㈲㘳㌷挱㈸㐰愹㤴㉢散㘱愳㐲〹㈹愷㔳㍡㘵昰㜲㡢㈰㘷扦ㄶ㕥ㅥ戴㡥搸戵㔰㐶㐲㜹搸〲㐶㈲慤愶搰㌷㐴ㄲ昵捤㑡愴㌰昶㔸㌳愰㔲搳㜶挳昵㈶摦㜶㜰㐹㐴㐴㍢戲㘰摢挹〲㡡㠲㔶㜹㤰挱㙢㈰㥡㌶㘹㤰摤㌸㐵㐴㘴㠳っ捤㡥㤱㕢㠹㡣敤㌳㘴〴摡愷㠹㤰慤昷㜷㤷ㄱ㈴昶㑥㈲㘵愷慥晣戸㈳捤㌶戲攵㈳㘹㜶㌹㌶捥戸㠲攰㑡㠲慢〸昶〲㠸扦㐰挲㔱捡㈱摦㥡㡣搷攰搹戸㠶攰戵〰㤰㑦〶㘵㑥㉣慡㘸㐳㙤挵㡥㘴扢㈱搸挹捡㈸㡥㐴ㄱ㉤攳㠶㥤㌹攴㈸㐴挷㔶攷昶搰戵㜹愵㘳㕦摦㥤㌶搳换㈱㐵㘶㌴㑤慦㜵㤳愶改㡤㘰搳ㅥ昵搶㜵攸㙡㡣ㄱ㕣て㔰㌲㙥㈰㠴㜲愱挱扢㌵㡢㥥㈶攵慢挲㉣㡡㡣愱ㅥㄵ㝣㑣挸㍣〲㘴〸戹㡥攳换㡥つ㑤㜳㜰摣㝡搵摢搰晢扡昳㜷㡣昴㌶扤戹愳㜷攸㉦㝡㤱㔶昴㡤㘰㉦昱扢慥㍡收㈶㔴ㅢ慦㈷戸ㄹ愰㑤挷昰昴晤㘲㍤〵捡㉣㜶㔲㤸摢㑤慦㡢戲㜲㤷搶㔷愵搲㐰㠳搶㤲改㥦㤳㈱㍣ㄸ挷㘷㘱ぢ㝢扥㉦㙢㌸搴㔶㔵〱捦㉦㔷戶ㄶ〶㐷㝣捦㘱昹㡥㡤ㅣ扣㉡ㄴ㐳㍥慦昵攵摡㙣攴っ㕢㌳攵㜳㑡㔱づ㜵昰敤摤㠵㐴慡㔳㉢㜹戱㕦昶昹㜲㐷㤲昴㈰㐹摥㠰㙤㌵㙥〵㠰㤴㄰扦改㉡㔱昶戱搹ㅢ㔵戳㔶㡢㤵ㅥ扥㡣搳㐹㥢て戱㐳㡥っ㐴づ摢㘹昸て㠲㈱㘷搱㜶ㅡ挲㘲挰㔹㤰㝥〵扥〵扢㈶㑢㤱㕢㤶愲㘶㐷㔶扣㑡㘴㐵㕦㕦挷㜹㍡挳扦愶攸愴㑤㑡㘴㜲㝢㘶㘵挶㔹扣㐹㔴㜴㐳㔲愸㘴戸㠶ㅡㄲ㠸㤴挷戶㍢㈲愶〷ㄱ㜳ㅢ㌶捥搸㑦㌰㐹㜰〰㐰晦〵㈴捤㔶㌷㥥攱戰晥㌵扡戴换攵㕣㤱㘸㔰㉥挲攷扡ち慢㠳㝣捤㥢〸敥〴㘸㌳㝦攸㠰捣㈰㐴㠵昲ㄴ㈱慡㌰㠶㜵挶㤶ㄷ㐸〳扢㉣〴㤶㘶敡㐱攸㌹㡣㉣つ㔹戳摥㐹㉦㥣戵㠳㔵㐴愲㐶慤㌸㜳摦㡡㜴㐱㕤㍥㙣㥦戶㌲㙦㜵㔵㔶つ㙢搱慢㐳戴ㅤ㥦摤づ〷㜳㙣〷㙣㐹㜵㌶搷〴㔲㙦攷㘳っ㈱戰搳捡摦㑡㙦散㤶扣摦㍣昴つ㌷㜷㜴挹づ㙢㜲挰㡡㤸㡥昹愲㠵㕤㐴攴愰摡㙦㉤慤昸㔲捥づ㔹㐷㝤扢㕡戳㕤㐹㘴挰挶㘴戰㙥㑥㥥㐳㤴㘰挱㘳っ搰㜳㠷慣㈵摦㜴㠳㔵㤳〱挵昵摤㉤㑦㉡㉣愲㕢搳戶ㅢ攰㌵ち㡢捣て㕢㡢㉢摥〵㐴㙣敢㡥㝢搴㕣つ戶〵㔶㐸昴㔱㔲愸ㄱ㥡搰㌴㔱搴㡡扤攲㠷〷昲㕣㡥扣㤷㈷㔰戸捡改昴㤹㘷㘸㙦摡昵㜱㡣㠶㜶㍡攷㌴㠸攸㔱愳戰㉦㔳ち㤳㔳㡤扢搸攷㉤〰昷ㅣ㍤㝤扣ㄹ㤹㝢㐹㌱㙢㥤㕥晥っㄹ慦挸愲ㄱ〸愱㡦㙥㔷㐴㉡㉣㈳攵㠰〳㠱㜱㍥戵㤳㕦挹㔲㙤㐸㝤扢㥡搹㈳㠸㈴つ㕡㜳收戲慣㈱ㅥ敤㤸攱慥攸㠱㘶慣㘳搶㠲戸㙥挶㜳ㅣ㤳愴㐵戲㕣慣㤸愴攰愹㝡攸㥤戰㕤挳〲㔰昴ㄷㄷ㤹ㄷ㔱㘴㕥㔴㐵㠳搶㈹㠶〶㔵㥥㘳㜹攷㑣摦づ㔷ㅣ扢㔲攴〳挳㜷摢㠲㈶挱攴㤴扣㐹㑡㘴挶㔸㥢㌵㝦ㅡ㈶㕢㌰〱㜴㑦㐰㡥㜲敢㠸㝥㔰慥㈶ち昸㈷㝡㜴㉣㐱挰㈸㑦愹昱㌶㡣愶慢摢ㄱ㄰㌹㉡㕤㑡敥㘰㕣㝡〴㈵㤱㄰㈲搶㌳㐸〴㕥挱㤴㤰愷㡢扢㘰㥤㜶敤㄰搸㈳挶㡥搸攱㙣〰㤴〳㈰慢㡥户㔷㉢慣愶㍡㡤㌷戴挲㜵㥤㔵㉤㙡攲摡捥晡戴摥㜸摤〶搵㤱㐶㐹㈹㤲捤ㅡ㈹捤戲挱ㅣ户㤳慡ㄱ㑡㜱㈷摡㐶㘴戹㑤㥢晢㑥㈹昲ㄲㄴ㤳愲㤹㥣昱㜶㐵㈸〸昴挶㍡㡡㍥晢㙣昲㐸㐵㙣㘸〳㤴愸愷愲戲愱㌸㈴㜸ㅣ搷㑥慡戲ㄴ㍦㠱扦㜷挵搹昹㝡搸㔲㘳㕥ㅣ㡤㙢愶㙡戵㜹ㄷ㔶㐲挵昴慢摢㠴愵戱戶㐸挳㈸敥散㔵晢㐷摢㥢㘲挴㤸つㄹㄶ挹昰〳㠳つ挱㕣愹㠸㉡慤戳㈱㙥㜵愳戸挸愷ㄳ搲㜴ㄵ〶ㄶ挳敡慣㕣㔳㘶㔸搳㤲ㅦ㔵ㅤㅡ愷㐵㈵㐷つ㙢㙡㌹㠰㑡て㈹挷攳㥣㘲㜰挳㍡㐵户ㄴ㉥㌱㐰散挶戹㠵㑡㠸搰㙥㘳〰㥥っ戶て㜶戰㈳㔱攸㠴搶ㄹ㈵㘸㈱㠳㜰㕢ㄷ㐱摥改ㄱ愳㄰愴㤶㑡晦㌸㉣扥昰〴搳搷て攷㤲㑣捣㐴っ㜷㘵㔸て㐰㙥㍡㌲㐹㉥ㅡ㑤〲收㤱㘴㔳㐲㙢㌰㈹愳㠹㌱㐴㤳捦て㜱㡢㠷戱慣㘱戲㑤つ昷摣㐲ㅢ摡戴戶扥换㍡敥㔶㙡昵慡㔴慡㌸㤱搵㑡㈳㙦ぢ㝣愹㉢㠰ㄱ㌷㘵散㑢扣㈹挷㜱㤴攲㤲㠹愴摥敤㙥攳㌰扡㉢㈱㠷㌱㈲搵挷〰㘴㠶㕢㑥〵挴㍡敥㈹搰㍥摣摤扣挰愰㉥捦㐱愴㜵ㄴ㔱㤶捤攱㍥㕥㈳㡡慣戸㉤搵㙣捥㥢昳㘸戳愷㡡㡥搹㔱搱戶挰ㄱ搶ㄹ〹扣㐲〱挶㐸㡦摣挱㐱㜲㤷攲攸敥愵㐷搴㘳敥ㄲ㔰愱㌰㈰ㄸ攳攵㈹㈸㠷㕤〵㈳搱攰搶㥡㔶户㘰昴㤷㤶户㌱〵㈰ㄸ〶愶㐱㡢㤶㤱㠱㌳㠳晣收〶捥㜵㘸㤵ㄱ㈱㑤〷㔳ㄹ愳ㅣ㠵挳ㅥ㐸〳㌷昱㈰扤攴㐱〹㠵㝢搴挵戰攴㙥攲戸㠳㈳㤰攷㕦搱㔶戸㘰㠶戸晥攲敥㙤㉢㥥慡㔶㘹敥挲㍦户㉤戰㡡慢ㅢ㤱㌹扡愷敤㔲㤶㕡ㄳ敤扢ㅢ摢㉡攲换㠲〷㘶㈷㡥㤹㘱㘵㘵㌱㕣㡦㉥㙥昵㑡ㄲ晡㡦攰㡦搸昰敤戴㤹昳㉥㉦愲慥㜱敦㑢攷㕤敦㠲慢收愵〷扣昵〷ち挱ㄵ捡㝥㑥戲㤴晢㌷晥愹愴攵昴ㅦ㘲挴慤㑣㥢〳㌴ㅤ㈴ㅣ㐷愵㐸ㅡ㡣㈱㥦㐱㈷戰摤ㅢ户〶㐸㈷㝢摡攸㐴〹㠲ㅤ㐲㜱捦扤㙣㠴㈲㝥〰戴㤲㔸愲㈳㌹昶晣ㄹ戰扥昸㍥㑡㠸㜰㍣挷㘲㐴扦ㅥ戹っ搴㈹㐱ㅥ㕦昱攰㠵㤰晦ㅦ㉣㈵摣扣㈱㍢晤ㄷ㤸㔹㝣慦ㅤ㐵搷ㄲ㐵摦敤㐰㤱攰㌵㄰挵扦昷㈰㤳㈴㥤攱搹ㄷㄵ〸攷㥡㜶づ愰慦昸㠵摦晦攱〱㜴㉥㈶づ㘵愳㈱搴㜶ㄳ㥥ㅢ㈶㐲㕦㠷㠹挰攰扤㌲ㄱ㑥㈰㈳ㄸ挵㡦㑣㠴搸〷㌲㡦㠲捤㑤〴挶昶㌲っ挱㔴愸㌵攵搶攰〹散ち㠷晥戱㘳戸㜸㉢〳挴昳愱戴㠲ㄹ㜸愴慥散㉣㕥㌰㝤搳搹慢捡㡦晡ㄲ捡捣㕦挲㑤㙥搵㠵㍤慥摥戰㐶㜵摡挰㔷㤱㜸搹㜷晣㈹㕢扢扦づ㑣㐵㈹㜲摦㡢愲㈸扣〴㑦㠹攰戹㈱昷扥㍤摦㌸晡晢㠷ㅥ㍢捣摢㙡㌱慤敡户㈲摦㑢挸㥥昶〴㠲扡愹㡢㈲㤷昳挳㥣ㄳ昸㐴挹㕥慤挹㘹搳㔷㔶㔰㘰㌸㐹㌶㈲扣ㄴ㘱㐶挴户ㅤ㑣㑣摣㝢㠸㑣捣㠹㌶㜷愷晡戰㐹戹〸㈷㔲ㄳ㔷㍥扤㈴㙣㈸扡㉡戲ㅥ慤㑤晤㕢㔰㐵㉦㜲㈲慤㔶㈲㑦㥤㑣㐲㝣戳㕤搷ㅤ愴慥㡢づ㌲っ晢㈷㔲ち昱〷㔲㐸晡㈰挳ぢ〱㑡㑡㥤㐲㐶扦つ㈰㈳戲搶ㅥ攲愵㍦㘰㐷〸挸挶愵扦ㅥ㍦㘲挱㉥〲㡢㠹㉦扥搷ㄳ㉤㙤搱㐴㌵㌱㔴慢㙣㥡㐵㘴搴攱㠵〵㤳㐹改ㄲ㌲㐹搲て㈰户㘵㜷ㄴ㕦㌲攴㐴㠱户㠸戱㜵㠷扥戶㤲㜳户㕢挷捤て攸㤹㠲㔲ㄸ敥㙥ㄶ攳㐰慡㘲㜴㔱搳㔲㔴㐴㌸ㅣ㘵ㅢ㥤〶攲㉡攸㉣㜷㉦㑥愵〸晥昱㑢㈱搶㡦㌷㠷扥扣扤㠶㍡捥敤挷〲昹㠳晤㜵㙤〶㘳攳慤攴ㄸ㐸搸㉤戵㉡㐶搷挳㑦愳ぢㄷ㥤ㄳ㐶㌳慢㥥挵㐱晣㐹㌸慢㑦敢搰晦㡣㕥㉢捥㍡挳摥っ㘳户攸晦㜷愱㘰㔳晤㉦ㄸ㝢㔳㠸㝣㜷㥣攱㠳捥昸挹愶㈱ㅢ敥〸㍣摢〸摥愸㠳戱愱戲っ㜹㐷戹㐵㝣扣ㅡ㔵㉢〹づ扦㔷扥晤㙡㐴愳㉦㙤摢㠱慥〲㤰戱㈱晤ㄹ㠸愰慥晤㕢攵㔶㜲扡㉤摣㡦㡥㝢㑥搸ㄵ摦ぢ㍣㉢ㅣ㕢㐴搰㜷㡣摦㥥㔹戰㜹愶挴㔷摢㠵摡㡤搸㠹挱昷愲捦挹㜹〸散㤳㌲㝣戹㘲㤱㡣㉣㙣㉤㤲挱敦㤰㐶㔲攱㈵㙡㠷攰㌲敢摥扡㔹挳愷慢昳昰㜵㠶㉣摡ㄶ捡㉥昲㌸户摦搰攰搶攱㡥搶㍢攱て㤲戵〹〴挷搴ㄲ敥㝦㉦昷戵㝤て㕡摢挶㙢ぢ搸戲㌷㥦㕢㐹㝦ㅡ㌸摤摡㕢㕡㐹㠶敦攴ㄷ挹㈵愳㑣㠸㑢晢㠷昱㜷敢づ㕡㡥㌶ち㍡㡦㍦攸愶㈳㙣扣〶昷搹ㄶ愲摦㘷搱㔵㑣ㄱ攰㘷㤸㜱㠶て㠲㕥㍥戲愲昸ㄲ㤶㐵〶㐰㍥㔷愸〰㜴愷敡愷㌶愲敡㤱㝢搸ㄳ㐹昰㡣㐱㜲㉣㠹㈷搱㤰摢ㄵ㉤ㅢ㉣挱㘵ぢ㜵㤶㐰摥㐸㝡㈰㥦ㄳ㍣㑢愸㠹㝣ㅥㅤㅡㄳ戱㔱摡㝤㈲㥦摢㘸㈲㠲㔶㠰㕡㘸㝡晣㤱㐴㡢ㄸ㌵㔴ㅢづ㠱㑢攰〱㡣㈴捡㘴㤸昲㤱㐲愷㄰挵ㄸ扥㑦ㄴ㈱晤㉡晥晢晣攱㕦㍣挷昴昷挳㐲㐹㐴㔴戵慥㠲ㄲ㔱慤攲㤳改㔵昸㈸敤扥㡡㡦㙦戴㡡ㄱち㑢捥挴〸〱㠶晡㐴ㄹ㝦搴慡敡挸㜰㐳昹ㄳ㘷〹昰㙢㤹挵㠸㠹ㄲ搵昷〲㌲攸换㥤㔷慤㉥㈲㤳昴搵戹ㄱㄹ㕦昹㈸㐳㠹㌷㈲改搴㈹㐴㕥搹㐲愴ㅥ㡢㑥散㡥摤ㄶ㐲〲㑢攲㘷戳㕤㘵㝢愱挷㔰扦昸㔰㠲㤸㘳挷㤲㑦愸戴㌸昸〴挲㠸㑣㔳ㄲㄲ㌷㔲㝣㌰㘹晣敤㘷㥢扥㔳㔴㈰㠱㝡愲挶㈴㌸搵昸昱愴昱〱㝣㥥愵摡攴㜸㤵㠰改昹愴㌱〹㔳㌵㝥㉣㘹晣户〳㝢ㅢ㡤ㄳ㍡㡣㐶搶㐹㈴ㄹ㐶慦㍡〶愴㍥搵ㅥ㐶㜳摤愲㈲ㅤ戰愲㘲㡡㔰ㄵ㐳慥㈹㔵㍡㠸㕢㈱㍥㍥㤶㥥挳㈵㈷摣〵㠱戴㡤晥㥦〹挷㜱昹㘹搶っ㑤㝣ぢ扤㠶愸戳㙦愸㈷㜶㉥㔸昳㍥ち晡慤攳〱づ㔷搵㙤㐵㈲戰ぢ昲搱晥㙥攲㥤捦戰㈱㥢晢㤱㐴换㌴㕥㈶改㑤㡢愸〸㑢㕥扣㍦挱㙣敥搱㈶捤ㄸ㡦〰㌹㄰㤳㠰捣ㄸ㡦〲㐶ㄱ㤹㍤㉣ㄸ㈱晦㉢收㝥㍦㉢㍥㐰昰ㄸ㐰㐹㤰搹㐹〷㠵挷〱㠶㤳晦㘳挵搸㥡㜲㥣㘸攲愱攴㘵㘹㌲㌲㍥挴づㅦ〶攸㠳ㅦ㔷挴㐴㔸㌲㍥㠲㤲昴㑢㈹㌸搴㑢㍦捡㡡㡦ㄱ㝣ㅣ愰愴㜳戲㕢摥㌵慥愹㐷ㄵ昶〹㜴ㄵ㡦ㄲ攰㘷㝣㌲捥昰㐱攷㍥扣戵扢搱捣㌳㜱昲㠵㍦㘲㥥㉤㥦昲摦㡤㑦昳搷戹攸㍥晣㥦㐹㜴㘵攱攷戵户昴㌶ㄶ㤹㠰挶戹晡慤㘲戳㕦挲㌸㕣㔷㌳㤴挲ㄱ愹㔴㡡㕡㐱㄰摦㕣戰昰昰〶扥攵㤰慡㄰㠲㌴愰㉡摣戸攲㌰ち㡣㑦戳㈹㜱㑣㍣ㄹ㥦攱ㄳ㔱慢㌶昱戳㜱㠶て㠲㜸㔵摤ㅦ㠸扢㈷㉦㈴慥㔵㠵摤昶㐲攲㕦㔵慣愴㕦昸〴〷㔳挸㐲愶㔵㉢ㄱ㘹㡡㠶㥥㐴㘶愸㙦㤸㜳扢て㍦敤愲愸㥣慤㥥㍤晢挲㜰㝥散敡晣扢摥㌱昸挴昳㍦晦挳愷㝥晤㥥㐳㝦晤搷㔳㑦晤晡㑦㥦㝡敥㕦㍦㕡㍥昴搳愷㥦晥挹㍤㕦㝥敥て扢慤慦㘸捦扥㌰昷㤵㠷㈷捦㍦晣愰㜵晡搶愳て扦晢㠱㝢㈷ㄷ㉥ㅢ敦敢敢敦扦㜹昴㘷㔷摤㌲昲攸㠳摦ㄳ㍦晥敤㤵慥㔰换挵ぢ㕡愷挱㘵慢㘹㝣ㄱㄹ㑣㠳㌳㝥㐵愷挱攵慡㡤㕡㡥㌷㙡ㅡ〵㐵㌸㌷㌸〱㔵㘱戶㔶っ晣〷摤㠵戳㘴</t>
  </si>
  <si>
    <t>㜸〱捤㔸㝤㙣㕢㔷ㄵ昷㝢昶㜳晣㙣㈷捤晡愵戶敢㌲户敢㘸愷戴㈶㑥㍦戳㔱摡搸㙥搲㜴㘹攲搵㘹晢㑦㤱㜹戶敦㡢摦昲㍥挲㝢捦㐹捣ㅦっ㤸㐰〸挴ㅦ愸搲愰慢戶㑡㐳㉡ㅡ㘳㐳ㅤ㕡愹挶㌶㤸〶ㄲ㥦㐲㈰ㄸ㈰搰昸㠶㙤〲㔴〹㤸㤰㄰㡣昳扢敦搹㜱ㅣ扢㕦㉢㔲㙦昲㡥敦扤攷摥㜳扦捥昹㥤㜳㙦㐰〸〴〲㙦㔳挲㉦㔲〸㤹㡤昹㥡攳㌲㈳㤹戱㜴㥤㤵㕣捤㌲㥤攴戰㙤㉢戵㜱捤㜱㠳搴㈰㕣搰㠸敦㐸〵㐷晢㈰㡢ㄴ收㤸敤㔰㈳㈹㄰㠸㐴㘴㤱昸㄰㠲慦户㕥㤰搱㉢ㅥ㈲㌲㤵㐹㑦ㄶㅦ㈴愹㜹搷戲搹昶挴〹慦敦晥㔴㉡㤹㑡づづつ敥㐹づ㙣㑦㘴慡扡㕢戵搹㝥㤳㔵㕤㕢搱户㈷㜲搵愲慥㤵敥㘷戵㈹㙢㠶㤹晢㔹㜱㘰㘷㔱搹戵㉦戵㙢昷㙥㜵㘸㘸㕦㥣㠶づ攴㌲改挳㑣㥦㈵㜹㌷㑢㙡㤸愴㑥㘴搲㌹㥢愹㌷㑢愶㠴㡤搸㤱㘵㈵つ㍢挶㤸慤㤹搳挹㑣㥡晥㥢㜶㠵㑡㝢㤳㤳昹㝣㐹㜱㕤㘶㘳㙤戲㌱㔹㉡㥥㔰昴㉡ぢㅢ㝣㍡ㄱ攳㠴㘲㑦㈸〶敢㌶㡥㍢散㤸㘲㑥㌳㤴㈴㘳戴慡㤵㐳㜴㡡挱㝢摡つ攲㙦㔰㜲㌲㤳捥㔴ㄴ摢攵㈲㌱㐰㝦扢搶㝣愴愴㍦つ摥㥥搷㘰㕢㠴㤸慦㈳㝣㍣捣戰ぢ㈴㐲㈴㉣ㄳ㔹攱昷㑡昰㙥㠹㤴㄰㝡㡢戴慣戹㔳㡣㕡㠹〵㐵㉣ㄴ挵㐲㐹㉣㤴挵〲ㄳぢ慡㔸㤸ㄶぢㄵ戱愰㠹㠵〷挵挲っ戵愹愷㐸㔷㤷攸愷㜵摦晡昰㙦㥥晥搸㈷㐶㑥ㅦ敤㍢扦㈱晤㤹挱㌸㘴㑤搰㥡㤲ㄳ捣扤㐹㠷㉦㘱㍤搷扥㠷㜱㙡㉤ㄹ摥ㄱ㘴㤹㔳㤲㜱㍥㘳㘶㤹㉤㠴㈹㐷攷ㄶ㌷㌲㤶改戲〵㌷慢戸㑡㤷㤱㔳㙣㘶扡㌲㌵敡攷扤扣ㅣ㝡㜶昳扡㝡敦愸㕦㈲〹扤㍣摢㈴㈵挶㉢㍣㐹〲㤹㕢㌰攴搱㐸戸㥤〱ㅦ㔶㥣㡡慢ㄴ㜵戶愵攵愸戱㙦愴㕤挷㕤㑤㜷㤲㈴㜲搴戶慡戳搸搱㥢㈵㠷㉢㌰㤴㈲摣㑤㠴挳つ㝥㈹ㅤ㤴㝢㠸㐶㘵㌰㘵㌰〱㐵昴㠳攴昳攲㉢㈹㑦㔳捣㕡㠶愲㤹㌷改㜰攳慢㐸攸〳扥〶㘷㙤㘵㥥慣㜰㔱昴㘰㜲〰㝦㔷㠷㈱㐲㈱㜵户扡㔷㑤愵捡扢〷㤴㥤㡡〴昵扦ㅥ㑢扡㤳摡挷㡤㤳㥡㔹戶收戹㘹㜵ㅢ㜹㡤㙢㑥ㄶ㔰ㅢ㌷愶ㄴ㝢㥡㤱㤵摡㘳搹愸挱㑤㘹慡㌶换㘲〶收㥣戳㌴搳㜵攲〶晦捤搷㡣愲愵挷扣〲攱戶㘵㐷㝤〶㈱戴捣摢㡦㙢㈶攵㐰昳㔴ㄷ攵㌹摥搲慢㠴㘰ㅡ扥㘲捤㡦㘸㍡挱づ㉢摦捥扢㘵㉣摢㘶扡〲㉦㤰戱㤸慡㙡㈵㡤㌴户挷ㄸ戱㉤㈳捦㑣㠷捦㙡㉤㙦㝡㡣㑤摢捣〱戰㘵㤹慢㤰㍡㙤㑣㉢づ㕢〴㡥㝥搵㕢㙡摡慡㥡㘵攷昶昶捣扣慢戸㙣㐳㉢㙦㔱挸戲㙥㜹〲㔱收昰敤敢㙢敤挶㑤㙦㜸㐱昳搸㜷戴戰〹㑡慤㘲㘷敥㠸捤㍥搰攰㉥㥢搱㌰㌹挶㌹〶晥戲㔵㝡㉣㙦㕥〴㠰㤶挳㑣㍥扤㝥㈳愷㤵㘶㤸㥤㘷㜰慢慣捣㤷扡〶㉣摡㙥戳挴㥣晥㐹㤳ㄶ㑡㔸㕥摥摣㕣慢ㅥ㕡㜰ㄹ㘱㐹㤹收㑢晥捤慤㑤挱㡥搷㉥㘹攲㡤㐹㡣昵㑢慡㐷慣㔲搵〱㘶搸㤶扥㤴㌳㕣㥥㔳㘸捣昲㔱慢捣㐲㐱㌱ㄴ㄰攰㥥㐳㈰㠱㄰晤㔲㈲ㅦㅥっㄲ愶㙣㙦㐱っ敥慦㌰㡣㔳㜷づ㑤㉡っ敦搰づ㝦ㅡ〱挴搶捥搲昸㈹㐳ㄱ昱㜱㌷戳㝡愹㤱㈲㈴戱㙣㔸㙦㤷搰搵㤱搷ㄶ戶㤷捣ㄷ㔶搰ㄸ㐳㄰㠴㜵㉤挳ㅣ愳昳愱㜳搰ㄹ㠶ㄲ㕢ㄱ戳㘹晤㡢㝡㠹改㕥㘱攰愶㔳㠱㘹愳昵戶慢㙣㐴㐳昷晥扦㡤㐵㜱㤵扦晡㐳㜳㘴搹㠷ㄵ戳慣㌳晢㡡㐷㈸㘰㐶昲㙡㤰㌵㈰㙢㠹㐸㙦㄰㜶㕦敢搹㈲㌸散㥡㠳㕦㉣ㄴ挸捦㔰〹㝡㈷㠴搷ㄱつㅦ㔵㙣㔲㙦改捦㈴慦敤ㄱ㜳㍤㌵ㄱ敤㜰〹搱ㄹ搳㥡㈷㙣㈲挵㤰ㅣ㠰〷㠴换㕤㕤㌸扡㈸㝤㝥ㄲ〳㘲㐰愰晦㍦㤱㔸㠸㡥㥥㍡㜵捡昷㌵㘲㐰晡㈳搵㕣攱昴晣㘸愶慥㌶换愷㡦㐱㐸㡦〲搲ㅦ㐸㔰㐷㙤攲㡢㕣㄰㙡搲扣㔶㜶㉢攱ち搳愶㉢㉥扡㐶㈸㘱扥㡦昸摦攳ㄴ㌸㜷㈳㜸㤶敦〰改〳㠱戳㠸㐶㍤㍦ㄹ㡥捡㥢扣㘲〸ㅥ戴摤㘱㌵晣㍤〲㤹攸戸愵㤴㐷㤴ㄲ挵摣㕤㝥挴ㅤ挹㔸挶㉣㐵㈱㜶㉦㕡㘶〸〵〸㕤收戴㌲戳㈳愸㠰㡦〸㔱挰敤㠴㌹㠶㍡ㄴ㕥〴〳㤲ㄴ㡢戴ㅢ㙢慣㉥㙢㡢慦㐹㜴ㅡ㡤㥢挳搸㌲昹㝦㜹㘰摦〱㉣㉥ㅡ㐵㤸㈱㙦〶戹㡢㠸〴㡤扡㉥戰㔹㠱慥㐶㑥户㕣捣户挷挸搸㜴㌱戱㌵㘵㕣㌳㌴㜷㑤愳㌸㔱㌵㡡捣㥥㈲㠶敥慣㙡搴收㤸㕤㈲㠵㔷愶搹〶㙥挶㑤㈰搶慦㥥搰搸㍣㄰攲捥攵㉣ち戸㌳㔵挷戵㜸攰搶户㥣㥦戵㈶㉣㌷慢㌹戳扡㔲摢搲㠶敤㜱㑥㔶㤸㐹づ挰㈶㍦㜰戵㐶搶散㉣㉢户㤹㘳摥慡搲ち挶戲户㠲ぢ攱〶㑣愷ㄱ㄰戸换㠸㈴㍢㠳㕢晤㐲搱㝣㔶㠰㠰㐸㐴㈴ㄳㄲ㙥っ㡤愰㑦搲慦挸昸慥㜳攰昶愶晣㍡㕤搳㠰ㅤ㉢挸〵ち㔱愴㠰〰愴攳搰㜲㌷收敡㝦ㄲ愰慦㙤挸攷〵慣㡤㡢摤㔸㤹㔴㑤㜳㙢〸㠶攳戸捤㑤搹㡣㕦搹㈲扣挰㠳慦㤳㤶㍤㔳戴慣ㄹ㕣㈳㝡っ㤴㥣ち㘳㉥慥㔸㌱挳扢ㅦ㈲㑦㝢ㄴっ㉥戹㑡昹㔶〷㈶挲㘵ㅥ㑡㠷户㔲㉥㌸㘲㤷㜸㐹昸ㄹ㙤つ慥㘰挷㝡㑦㍦㜵愷昳捡挴愷ㅦ摤昴捦㙦㤷扥晢㍤攱㔵㥦㜱改㤹晦㍥昶晤ㅦ搹㘳㉦晥攲㈷㝤扦摥㝣㘹㐶〲昲㕣㤳攷敢愵㠶㉢搴㠶㔵㑣㘹慥捥㘲㉡㔷㝣㥥㡦愸愴攷ㄴ昷㤴扢搴愹ち慤㍡摢慤㡥摡㕡㔹昷㝤昰㙡慦改㌸㥢愶ㄸ㈷㘷㌹ㅡ㐲捤㙥㜵捡㔶㑣〷〰㘵㤶㙡㉢㤷㤴㌸㈰㐹㙡㕡㌳ㅤㅡ㠶㕢㈲昲㉢㔴〴慦㠴㍣㔵挳ㅣ㔵㘶㥤㕢挲㉡愰㌰㕥攲㘶㈱㠸㠲㈸ちㄱ㌱㜲㠳㕡捥㤵㔲っっ㤲㐸ㄱ㠴㈰㤴㔴㔳㠲㝦戸㠲昷㙡㠹㍤㌰㈷扡㌶㉣㠶㥤挱㜶㤸摥㠸搷戸慦敦㐷㥦敤㐴㡥㡣ㅥㅦ㕢扣㉡扤愳㔷ㅢ〹ㅥ敤㥡㠳㈰㤸㕦㡦愷㉡〸㡣㠰捤㌲㍦㜱㤴㕡搵㉦慡昲㌶搰挴㥥挵散〸挵挱㜱㜵㕣㈹㌲㝤挴戲つ挵敤昱ち㠰㉡㠳㕣㠳捦㈳㘷㘶㈸㔰㉤扣㤰㄰㔸改㉣愲づ㔷㕤敢愸㘶捡㉡ㄱ慥㝦㝥㤵戲㐰㔵捡〲慦㡡慢挷㜰戱昱晣㈵挹戲愶ㄵ㠲戸㡡愱㤵㈲㈸攰昲㜱㑢攸㈴挱ㄸ㡦昲㘹㐳㤱戸㘲ㄲ昲㈶㕡㄰摢㝢㄰愰攳㑥㤲㘳挴搶攱昸㐹㜳㐵㈱㑣㝦挲つ㐶㡤ㄴ㈵㜱㐰㤲㤳㈴㑤〲㙡㈳㙣攲改㜲晤ㄵ昲昲㐳㔴攳㠱敥㈶㌴愰㑦㝥户㥦㐱愱ㄷㄱ〳扡㠶〷㠸昴㘴搲㠵㈶㘵づ愷愸敥㌶慡昳〰戳㡥扢扤〸㌰搰㠷扦㔱挹㍢㈹搷㕢〷㜲㜹ㄷ敡㜷㠳散〱搹ぢ戲て㘴〸攴㕥㤰晢㠸〸戰〲㍥㥢昷㔰愶㥥㈴慣攴慡㥢㠷ㅤ㡦慡搸挶扣㕢搳㐹㜵㤱〵搰㝢㌹㝥㈵攷㜵㍣㤰愵〷扣㔰㙢ㄴ搹攸㡢㐰㌱搶㌶㌲〶〷愷㈴扤㐲愰摥戱㍦㔶戰ㄸ㝣愳て㔲昸扤㐴㔶ㅦ搵㑡戶攵㔸慡㥢挸ㄳ晣㈶㜰㠷㔵〳㠱㠱㘱攱㘵㤲挸挳㘶摥㤸挸㕤戴ㄳ扤㌸ㄵ慣㑣㍥㐸愴㍢㈸㘰㕢攱ㄱ挳挳㈸て敢㝡愲敥搳㥣㜰ㅡ㔵㑢ㅥㅥ挳ㄹ慡敡摦㤹㑡㈶㈶㐷挷㜲㠹ㅤ㠹㡣㑤て捦㡡㥥㔶愸攳戶搴搰㡥㈳㔵㔳戳㜶っづ愴㠶敥㐹㉥攸㡥㈱扣攰㍢慢攸慢摦㝣晡晤㉦㝣晤攰㤹㐷㌶扥㥤㕡扦㝡㠷昰㌵㥦搱晡㌴㈸攰㘸㌱㈳㑦改攰ㄳ㍤㝦昸㔵扦挳㌲㝦㜸搱㘷戴晡㐳〱晡搱㤰ㄴ扥㥦㑡挱㘱挷昰愴㝤挵敦㜴户㌱㜳昶散㍦㈲㠷㥥㔸㜹晥昹㜳戵〳户〹捦晡㡣戱ㅦ㥣摥㔲㝣昲㐳㤳㕦搲㜳㉢㠵㜳㠳㝦ㄵ愰㘸つ㘹㌲愴㜹㤲扥摣㐹搲㌳㍥㘳收搹晤昶挳愳ㄷ㐷㉥㝥敥愱㑢捡摡摦㜷〹搰搶㜶㤲㥥敡㈴改㡢㍥㘳攸攴㐹攵挰㙢㙦㡤㝥晣㕦㥢捦㝥昶㐲昱㌵〱㉡摦㑥搲ㄷ㍡㐹㍡敦㌳㡥㕦㘶摦㌸㝦改昴㤱攷㉥㍦㍣晦搳ぢ㍦摣㉡挰㙥摡㐹晡㝣㈷㐹㑦昸㡣㑦㤶㍥㤵㠸慢慦ㅦ扣戰攱戱㤷搶㝦攷户〵〱挶搷㑥搲戹㑥㤲ㅥ昷ㄹ扦换㙣㝢搷㐷晡搶㘷㍦㍡昸㜲收戹㤷㠲㜳〲㉣戸㥤愴戳㥤㈴㍤敡㌳昴㝦扦昹昳㍤㍦㝥㘳散挵㈷晦昶昷㕦收搶扤搹㕢户㝥改㈰㠹扣慦〵㌶㥢ㅥ〷㥡㔰愹扦昵〹攷㄰㍤挹搴㠰㐷㐱扡㘴㐹摣㘷㠴挴㝢㙦㑣㔶晤㈵〳㥥㕡㍡㐳戳㝥〷㜲㤶㠲〳㈴挲㑢换ㄵ㠸〶㘹挵ㅤ〰搷〸搶搱㜲愷㡤挵〰㉣昹㌳捦ㅦ晣捦捥昷つ挷晥〷愹愸㜱㝣</t>
  </si>
  <si>
    <t>㜸〱敤㕣㕢㙣ㅣ㔷ㄹ摥ㄹ敦慣㜷搶㜶散挶㐹摢昴㠶㝢愵慤愳㈵㑥㥢㕥㈸㈱昵愵㑥搲收攲挴㑥ち㠲戲ㅤ敦㥥戱㈷㤹㤹㜵㘷㘶㥤戸ㄴ㥡㐲戹ㄵ㄰㙡㜹㠰㤶〲ㄵ㐲〸㕥㉡㠱〴愲㔰㈴㤰㤰㐰愸㈰ㅥ㄰ㄲㄲ㤷㔲㄰㍣㠰㔰㈴㕥㐰慡㔴扥敦捣捣敥散慥㜷散㙥㕢㜰㤱㈷搹㍦㘷捥晤㥣晦㝡晥晦㑣㌲㑡㈶㤳㜹〵て晦攵㤳㘵攲戲搹ㄵ㍦㄰㑥㜱戲㙡摢愲ㅣ㔸㔵搷㉦㡥㝢㥥戱㜲挸昲㠳ㅥ㔴挸㤵㉣㤴晢㕡挹户ㅥㄴ昹搲戲昰㝣㔴搲㌲㤹㝣㕥㔷㔱捥㑥昸ㅢ㡡㕦㜴戶敡捦〲捣㑤㑥ㅣ㥤㍦㠵㕥㘷㠳慡㈷㜶㡥㥣っ摢敥ㅤㅢ㉢㡥ㄵ㜷摦扥晢㤶攲慥㥤㈳㤳㌵㍢愸㜹㘲慦㉢㙡㠱㘷搸㍢㐷㘶㙡昳戶㔵扥㐷慣捣㔵㑦ぢ㜷慦㤸摦㜵搳扣㜱昳㙤㘳㌷敦搹㘳摥㝥晢㙤晤ㄸ㍡㜳㘴㜲㘲挶ㄳ愶晦㍡昵愹㜱捡㌷㑦㠹戲挵戵〹攱㔹敥㐲㜱㜲〲㝦ㄳ昳挷摢慤挵搹㐵㈱〲づ㉤㍣攱㤶㠵慦愳㘱㥦㌳敥晢㌵㘷㠹㥢愷㍢搳㔸㙡搹昰〳捤㤹ㄴ戶慤㍢㜱慦㜹攷㈸昶捥㌶㔶晡㥤㔹攱晡㔶㘰㉤㕢挱㑡捥㤹㐳㐷㤵〱攷㠴㉦㡥ㅢ敥㠲㌸㘲㌸㐲㜳昶搷慣㑡㌶㝣㌲㍤㙦㡤扢㐸㑥㑣㉥扦㌸敥㍢㤳㡢㠶㈷㘷攴㜳㘳㔲敡㑥㝢攵收扡㔷㜷敥㤷㔳㤷㈳戰捦㙢㍢搷㐳挹㐹挳慢搷ㅣ敤㕣㌳㕡㝣昳っ摥搶戹㝥㘲㡦㥡摢摣搰戹㡤摣捡收摡㑡㕦㐴摦㜲㐷戱ㄸ㍤㐷搰㑢㤰㈷㈰〲昵〲㐱ㅦ㐱㍦㠰㤲晤㈷戸㈴搹㤰㐵㙡挹㔰㑢昳㙡愹慣㤶㉡㙡㐹愸㈵㔳㉤㉤愸愵㐵戵㘴愹愵㔳㙡改㌴敡挴㑦扥户㔷㡤㥥㍦㑤ㄷ散ㅦ㕥晤敦改㘷㝦㝦挱㘳摦摥昹㠷摦昶㙦㐱愵㘳搱愴愶㍣攳っ㐸慤㐱挵扢㡢扢昸㘷㙤慥〰㔳㤸㝢捣㕢捤戱戱捡㥥㕤挶㑤㠶挶㘵愵㈰扦㠹㔰㠶㔰户摦扣搷㜲㉢搵㌳ㄲ㜷㤷㑤ㄸ扥㘸㙣摣㘸㔴㌶㔱慤戹ㄵ晦搲搵ぢ㘷〳㈳㄰㤷戴㤶㌵㍡㘹㙢㌶ぢ戶ㄲ扥ㅣ敦㡡搶㘶㈷つ扢㈶挶捦㕡㘱昱攵㉤挵捥㡣㔷㥤敦㕣㍡敤㠹〷敡愵㙤㌳ㅡ㠷㔰㕢㤶㝤户慤㌲㉣ち攷㌵㌲戹㔸昵㠵㉢愷㌷敡捣㔸攵搳挲㥢ㄵㄴ㠹愲㈲㤷扡㥤㐵ㄱ搷㡦ㅥ㜵戱㔰㜰㙢攵慡㘴慥㜹搷搹〰捣㉣㉡㤸敦㤲昰㠲㤵㌹㘳摥ㄶㄷ㌶㔵〹挷㐴挱㡥愶散改㙡戹收㑦㔶摤挰慢摡捤㈵攳㤵㘵〳㤲愶㜲戸㕡ㄱ搹㙣㐶ち〵〸摣㥥ㅥ㐵挹摣搸㤹ㄷ㈴㈲ㄲ㈸㈶㈳㕦摣㑣㜶挵攳㔸ㅤ㔶㘱ぢ搲愴㝡捤ㅡ㥤㜱扥㔲挶愴㜰㘰㘲㑤搴ㅦㅣ昴晡㌵扡慤㘳敥㡤慤慣慡挳搱敡敦㕡ㄶ㙥㜰挰㜰㉢戶昰㔲戵㥦挲ㄹ改㠳〰摡㜹〸㠴㡥扢㐷㔵愷㥣㔵㔶戴㌳㔶㈵㔸捣㉤ち㙢㘱㌱㐰ㅥ㌴㘴㍥捦慤㙤㝢昴ぢ㤰愵㙦㈵ㄸ〶㈸ㄴ㌲戹㙤慣㤴㉢攰挹㘸㤴㑥㈹扣摣㈴挸搹慥㠹㤷晢捤㘹换づ㐴㈸㤴〷㑤㘰㈴搴㙡ㄲ㝤〳㈴㔱捦㈸㠷ち㘳㥢㌹〹㉡㌵㉣㌷㔸㘹昰㙤ㅢ㤷㠴㐴戴㈹ぢ㌶㥣㉣愰㈸㘸㤶〷㈹扣〶愲㘹㤱〶改㤵ㄳ㐴㐴㌶㐸搱散攸戹㤹挸㔸㍦㐵㐶愰㝥㤲〸㔹㝢㔷㘷ㄹ㐱㘲㙦㈷㔲㌶敡挸㡦㥢搲㙣㌵㕢㍥㤴㘶摢戱㜱晡㠵〴ㄷㄱ㕣㑣戰〳㐰昹ぢ㈴ㅣ愵ㅣ搲捤㡦㝥㈹摥昵换〸㉥〷㠰㝣搲㈹㜳㈲㔱㐵ㅢ㙡㍤㜶㈴敢つ挰㑥㤶㐶㜱㈸㡡㘸ㄹ搷敤捣〱㐷㈲㍡戲㍡㌷㠶慥捤㑡ㅤ㝢㕤㘷摡㑣㉥㠷ㄴ㤹㔲㌵戹搶㌵慡㈶㌷㠲㔵扢搴㕢㙦㐱㔳㝤㠴攰㑡㠰㔰戱搰搸㕤㥦㌵㑦㜳昲㑤㘱ㄲ㠵㠶㔰㤷捡㍤㈲㘲㥡晦㈹〲慥敤攸戲㘹㍦搳ㄴㅣ㌵摦昴昶昳捥捥扣ㅤ㈱扤㐵㘷㙥敡ㅣ晡㡡㕥愵〵㝤ㄵ搸㑢昹㕤㐷晤㜲つ㡡昵㙢〹慥〳㘸搱㉦㍣㜹扦㕡㉦㠱㌴㠹㥤〴收戶搲攳㈲㉤摣戹㤵㈵㈱戵㑦扦㌹㘷㜸ぢ㈲㠰昷攲攰ㄴ散攰慡攷〹ㅢ〷摡㡡捣攰搹攵愲收㑣㝦摡慢㍡捣摦戴㡦晤㌷㠵㘲挸㘶搵㥥㑣㡢㝤㥣㘲㘷㈶晣㑤〹捡愱晥扤愹戳㤰㐸㌴㙡㈶㉦戶㑢㍦㕢㙥㑡㤲㉥㈴挹昵搸㔶晤〶〰㐸〹攵搷ㅤ㈵捡㈸慢敤㤴搵㥡慤㔵㝡昷㔲㑥㈶㉤晥挳㌶㌹搲ㄷ㍡㙢㈷攰㍢昰〷㥣㔹换愹ぢ㡢㍥㘷㐶㜸㘵昸ㄵ㉣㕢ㄴ㐲㤷㉣㐵捤愶慣㜸㤳挸㡡㥥㥥戶戳㜴㡡㙦㑤搲㐹㡢㤴㐸攵昶搴挲㤴㜳㜸㠳愸攸㠲愴㔰㐹㜱ぢ搵㈵㄰㈹㡦㜵㌷㐵㑣ㄷ㈲愶㠸㡤搳摦㐶戰㡢㘰っ㐰晢〵㈴捤㝡㌷㥥愱戰摥㘵扡戳㑢愵㑣㥥㘸㤰敥挱㥦㜷ㄴ㔶㌷㜳㤸㍤〴户〰戴㤸㍦㜴㍥愶㄰愲㐴㜹㠲㄰㘹㉤改收㐹㑢㥣㈱つ㙣㌱ㄱ㔴㥡慣昹㐱搵㘱㔴㘹挰㥣慡ㅥ愹〶㔳㤶扦㠴㈸搴戰ㄹ㈵敥㕤ㄴ㉥愸换㠳敤搳㤲㔷㕤㕡ㄲㄵ摤㥣慤搶㈰摡づ㑥㙤㠴㐳㌹搶〷㕢㔲㥥换㔵〵㑦㜷㘷㘳㜴愱挸ㄳ㌱㝣慤昴挴慥换昳捤㐳摦㘰㘳㐷攷慣挰ㄶ㝤㘶挸㜴㑣攷㑤散㈲愲〶㤵㕥㜳㙥搱ㄳ㘲㙡挰摣敦㔹ㄵ摢㜲〵㤱〱ㅢ㤳㠱扡㐳㘲〱ㄱ㠲㤹㉡攳㝦㔵㜷挰㥣昳っ搷㕦㌲ㄸ㑣㕣搹摡昴㈶㐳㈲㥡㌹㘱戹㍥㠶㤱㔸㘴㝡搰㥣㕤慣㥥㐱戴戶收戸晢㡤㈵㝦㐳㘰㠵㐴ㅦ㍥ㄲ㌵㡡慡愸慡㤲㔷昳摤攲㠷〷昲㑣㘶㌷㝥㔹〲㠹慢㡣㐶㝦㜹㡡昶愶㕤ㅦ挵㘷㘸愷㜳㑥晤㠸ㅣ搵㌳㝢㔲愵㌰㌹㔵扦㡤㙤㙥〷戸㝢晦㠹㠳㡤愸摣㙢㡡㔷㙢昴昰愷挸㜸㐹ㄶ昵㈰〸晤㜳㕢㐲㔲㘱ㅥ㈹〷ㅣ〸㡣昳慤㤵晣ち愶慣㐳敡摢搲㐸㑥㈳㡡搴㙦ㅥ㌲收㠵㡤㔸戴㘳〴㕢挲ㄷ㥡戱㡥㘱晢㔱搹㘴搵㜱っ㤲ㄶ挹㜲戶㙣㤰㠲挷㙢㐱昵戰攵敡㈶㠰愴扦㈸换㌸㡢㉣攳慣捣敡㌷㡦㌳㉣㈸搳散慢扡㘰㜸㔶戰攸㔸攵㍣㕦ㄸ扡摢㄰㌴〹㈶愷攴㡤㥦㔸㘶㡣戴㔸昳㈷㘰戲昹㐵愰扢〸㌹捡慤㈳晡㐱戹慡㤲挳ㅦ愵㑢挷ㄲ〴㡣昴㤲敡㜷愰㌷㑤摥㡣㠰挸㤱捦昹昸晥挵昹㠷㤱ㄳ晡攵㠸昵ㄴㄲ㠱㐷㌰㈱攴改摥捥㤹㈷㕣㉢〰昶㠸戱㘹㉢㤸昲㠱㜲〰㈴攵昱昶ㄲ㠹搵㐴愳搱扡㔶㜸㑢㝢㔱㤳㥡戸愲扤㍣愹㌷慥㔹愵㌸搴㈸〹㐵戲㔶㈵愹㔹㔶㤹攳㐶㔲㌵㡡㔴摣戱戶㔱搲摣愶㡤㝤愷ㄴ㜹つ㡡㐹搲㑣㐶摦㉢〹〵㐱㕥㔲〷㜴ㄴ晤昵改攴㤱㠸搶搰〶㈸㔰㑦㠵㜹〳㔱㌸昰㈰慥㥣㔴㐴㈱㝡〳㝦㙦㠹㤲㐷㙢㐱㔳㠹㜱㜶㌸㉡ㄹ户敤愳㉥慣㠴戲攱㔵㌶〸㑢㘳㙤愱㠶㤱摣搹慤昶て户㌷挱㠸ㄱㅢ㌲㈴㤲攲〷〶ㅢ㠲戹ㄲ搱㔴㕡㘷〳摣敡㝡㜶㥥㙦㠷㠵攱㑡っ捣〶㤵㈹戱㉣捤戰㠶㈵㍦㉣ㅢ搴㑦㡢㔲㡥敡收昸扣て㤵ㅥ㔰㡥㐷㈹挹攰扡㜹㥣㙥㈹㕣㘰㠰搸㡤㔲㌳攵〰㘱摤㝡〷㍣ㄹ㙣ㅣ散㘰㐷挲戰〹慤㌳㑡搰㕣ち攱㌶㉦㠲扣搳㈵㐶㈱㐸㑤昹晣㘳㥦昲搴㤳㝣扥戱㉦ㄳ㈷㈲㈶㘲愸㉢挵㝡〰㜲㤳㔱㐹㜲搱㜰ㅣ㉣て㈵㥢ㄴ㕡晤㜱ㅥ㑤㡣〱㥡㝣㕥㠰ㅢ㍣㡣㘳つ㤲㙤㙣摣㜱ぢ㉣㘸㔳㝢㘵㡢㜹搰㉤摢戵㡡㤰慡㌸㤶搵㔲㈳㙦〸㝣挹敢㝦㈱㌷愵散㑢戴㈹〷㜱㤴攲㤲㠹愴敥敤㙥晤㥤㘸㉥㠵ㅣ晡〸㘵ㅢ㠳㡦㈹㙥㌹ㄹっ㙢扢愳㐰晢㜰㙢攳昲㠲扣㌸〷㤱搶㤶㐵㔹㜶〸㜷昱敡ㄱ㘴挹㙤㠹㙡㠷慡㠷慡戴搹ㄳ㔹〷慣㌰㙢㐳攰〸敢っ〵㕥㉥〷㘳愴㑢敥㘰㈷㤹昳㔱㘴昷晣挳昲㌵㜳㝥㕦㘴㝣㈸㡣敦昲ㄴ㤴挱慥㠲㤱㘸㜰慢つ慢㕢㘱攴㤷㤶户㝥㈷㠰挲㄰㌰つ㕡搴っつ㥣〹愴搷㌶㜰ㄸ㡣㑣㠹㡥㈶〳愹㡣㔱づ挳㘱て愴㠱㥢㜸㤰㥥慢㐲〹〵摢攴愵戰昸㕥攲愸㠳㈳㔰搵扢戰㈵㜳挶〸㜰昵挵摤搱㤲㍤㕥愹搰摣㠵㝦㙥㐳㘰ㄵ搷㌶㐲㜳㜴㕢换㠵㉣戹㈶摡㜷㔷户ㄴ㐴ㄷ〵㜷㑦ㄵてㄸ㐱㜹㜱㌶㔸〹㉦㙤㜵㑢ㄲ摡て攰㡦㔸㜵㜴摡捣㔹㤷㤷㔰㤷戹昷㠵搳㙥昵㡣㉢攷愵昹扣昱㐷㉢㔶敦敤攵㈴ぢ㤹㔷昰㐷㍥㙡㐶㝢ㅥ㍤慥㘷摡散愰攱㈰㘱㍦昲〹愵挱〸搲㈹㜴〲摢扤㝥㘳㠰㜴戲慤㠵㑥愴㈰搸㈴ㄴ㜷攱㜵㈳ㄴ攵晢㐰㉢㠹㈵㍣㤲㘳捦扦〶搶㔷扥㠷ㅣ㈲ㅣ敦㤱ㄸ搱慥㐴㉡〵㜵㔲㤰㐷搷㍢㜸ㄹ攴晦〷㑢㌱㌷慦捡㑥晦〵㘶㔶㥥㙢㐵搱ㄵ㐴搱㜷摢㔱挴㐰散慢ち㜹㜳昶㥢㐷捤㌷晣㕡敦晦昰愸㜹㌷㌰捣㐷㕡㘳〸慡㌱ㄸ㕦㌷〶㝡摡㡣㠱㙢㔱㉣㡤㠱㝢搸㠶昱晡搰ㄸ㠸扣ㅤ㠷㤱戱戶㌱挰㈸㕥㡡挹㤷〸慡㈶ㅣㄸ㍣㙢㕤攸搰ㄳ㜶〰搷㙢㠵㡦挸㍤搴㤳㍦〹摦搳㐵敤搹㌳㠶㘷㌸㍢㘴晥㝥㑦㐰㙤㜹㜳戸慦㉤㥢戰挵㈵慢㤶挸㐶慢㜸㈵㘲㝦晡愶攷㘴㝤户搴㠱愹昰〹ㅤ昵㑡㕥挹扤〶㥦㠸挲ㄳ㐲收晤摢㥥摤晦挷〷ㅦ摤挷㝢㘹ㄱ慤㙡っ〴㜷ㄳ㥣愷攵㠰昰㙤攲㑡挸㜶㝥㝥㜳ㄸㅦ㈲㔹㑢戶㤸㌰㍣㘹敦昸扡ㄳ㈷㐳挲㑢㄰㘶㐸㝣ㅢ挱㤸挴つ㠷搰㤸㉣戶㌸㌶攵攷㑢搲ㄹ㔸㑣㑣㕣㝡敦攲〰愱搲㔱㘵㜵㘹㔷㙡摦㠲搲㜹㤵ㄳ㘹戶〷㜹扥攴愳㈸摦㙣搵㙡㝢愸搵愴㤹愸㡣愲㐶㉣愵㄰㘹㈰㠵㈴㡦㉣っ晤㑢㈹㌵㠳㠴㔶〴㐸㠹愱戵〶㜳㜹昲摦ㄴ〲愲㝥扤慦换㑦㔵戰㡢挰㘲散㜵敦昶散㑡慢㌳㔶㑤っ捡捡搳挷㌱㈴攴㌱㠵ㄹ㡣搲捡摣攳㐸挴㡦㌶㠶搴扡ㅤ㑦ㅣ㘴挰〹㐳㙣㈱㘳㙢づ扤㙡〵攷㉥户㠶㍢ㅥ搰㌳㌹愹㌰摣慤捣挶搱㔳㐶攳挲慡㠵㌰㡢㜰㌰㑣搶ㅢ昵㐵㐵搰㔹敥づ㥣㍦ㄱ收攳昷㐰㉣ㅦ㙤㜴扤扤戵㠴㍡捥敤挵〲昹㠳晤㜵㐵ち㘳㘳㔴㜲っ㈴散扡㙡攵挳㑢攰戳㘸㈲敤㜹㐵㙦㈴㌹㤶愲㌰ㅡㅤ㜳㔶㡦摡愶晦ㄹ愷㤶㥣㌵挷摡っ㔸㌷改晦㤳挸㔸㔳晦㉢㡣戲㐹㤴摤ㅢ㈵昸愲㌱㔲戲㘶㜰㠶㍢〲ㅦ㌶挲㌴昲〸慣换㈴㠳摢㘱㙡ㄶ㥦愸㠶挵㔲㠲挳挳㤵㙤扤〴㔱㙦㑢摢戶慦愳〰㘴ㄴ㐸晢㍡㐴㔰挷昶㥣㜴晢㌹㌶昷㙥㘴㙦㍢㙣㤵扤慡㕦㌵㠳㤱㔹㠴㜷㐷昸㠵㤹〹㥢㘷㕣昹㕡慢㔰扢ㅡ㍢搱晦ㅥ戴㌹㜲ㄴ〲晢㠸〸㕥慦愸㈳㘳〸敢㡢㔹昰㙢愳愱㐴㈰㠹摡挱扦挰㍣㔶㌳㙣㝣愰㝡ㄴ㕥捤㠰㔹ㅢ㐲搹㠵扥攵搶扢ㄸ摣㍡摣挶扡〷㥥ㅦ㘱ㄷㄱ〶㤳㑢㜸捦㝤摣搷搶㍤㘸慥ㅢ慤捤㘷捤敥扣㙢〵敤慢挰改晡㐶㘹㈶ㄹ㡥挹敦㡥ぢ晡㝤㠴㠸昳搰㍢扡㝥㔷㉣㝢ㅢ〶㥤㐷㥦㙤搳攵㌵㙡挳㔱戶㡥㌸昷晢搰㔴戹㤳〰㍦扤ㄴ㈵昸愲搰㥦㜷〷ㄳ捦㘰㔹㘴〰愴㌳㌹〳愰㌳㔵㝦㘹㌵慡㔶㜸戴㈰ㄵㄶ㤴㉦愲㥣扢ㄴ慥戶挲㍣ㅣ㌵攴ㄱ〲㘹㕤〰挴㡦挲㈳㠴ㅣ晦㈹㌴愸㡦扦㠰摣捥攳㝦㝥搵昱愹晣攵晡㤲晤て挵捡㐳㍦㠵㘲晤㌴㠱㑤攰〰っ挵㍡㘴㤰㘲㤱戲㈶ㄷ〶ㄱ㥥摢㠷㌴㥥㕦㐶晦扥戸敦攷㉦昰昹晢㍥㐵ち㐲ㄴ㌵慦㠲㠲㔰慥攲昱攴㉡㤶㤰摢㜹ㄵ㥦㔹㙤ㄵ㐳㤴㤱㥣㠹敥〱っ昴㈸愴ㄵ戹㉡ㅦ〹㙥㈸㝦㡡㐴㈸ㄲ㑤戳ㄸ㈲㘲㘵摢ㅡㄲ㘸换㥤㤷㙤㤷㤱㠸摢づ挵摢愳㜱㐷㔲扥攵㤱㠶ㄲ敦㍥搲㝤㤳ぢ晤慦戹㔰㍤收㥤挸昱扡㈱㠴〴搶挶㡦㘳㍢捡昶㕣㤷㐱㝤攵ㄳ㌱㠶づㅣ㠸㍦㤴㔲愳㌰ㄳ㈸㈴㌴㑤㐹㔱摣㐸攵攳㜱攵㙦㝥愷攱㈵㐵〱ㅥ㤰㔱㔸㤹㤴㈷㉢㝦㉣慥扣ㅢㅦ㘱挹㍡ㄹ㕥ㅡ攰昳㘲㕣㤹ㄴ㉡㉢㝦㌴慥晣户摤㍢敡㤵㘳㠲っ㝢搶㐸㉤㈹㐶慦㍣〶㈴㍥挸收改㕡㌳愹㐸晢捣㌰㥢㈲㔴㐶㡢㙤愹㑡晢㜱晦挳挳㈷搱㠷㜰㥤〹户㍥㈰㙤挳晦ㄹ攱㈰慥㌹㑤ㄹ㠱㠱㉦㥥㤷ㄱ㕦昶㜴昹挶挶㌹昳愸㠷㡣㕥昳愰㡦挳㔵㘵㐳㤱〸散㠲㙣戸扦㙢昸攱㔳㙣挸挶㝥挴㜱㌱㤵搷㐶扡搳㈲㌲㤶㤲㔵ㅥ㡤㌱㥢㌹搷愰ㄹ晤〳㐰づ攴㈵㈰ㄳ晡〷〱挳搸换㌶㘶っ㔱㄰㐸㉥㍦㠷㠴晥〸挱㠷〰ちち戹㥥㜴㤰晢㌰挰㘰晣晦㔲㡣㉣㑢挷㠹慡㍣ㄴて㤶㈴㈳晤㈳㙣昰㔱㠰ㅥ㜸㙣㤵㠸〸ぢ晡挷㤰㤳ㅣ㤴ㄲ㐴づ晡〹ㄶ㍣㐶昰㐹㠰㠲挶挹慥㝢搷戸愶㉥㔵搸愷搰㔴攱㔶㐸㠱昶改㈸挱ㄷ敤ㅣ挰ㅤ㥤㡤㘶㥥㠹攳敦昸ㄱ摤㙣晡㘰晦㉥㝣㠰扦挲㐵昷攰晦ㅦ搱愴㠵㥦㔵摦摥㕤㕦㘴〲㡤昳攱捦挳㘶扦㠶㝥戸慥㠶戱挹ㅥ摦㠱㕦㕥捤㈹㡦攰摦㜳昸㈹て㘰〴㡥㐲㤵㥢㠷扦㠵㌴㈰ぢ㤶愲〲敡㉥晤㜱〰㠵㌸㈶㥥昴㈷昸㐶搴戲㝦晤戳㔱㠲㉦ち昱㝡㡥〹㍢㙡ㅥて㐸㕣换㠲搳㉤〳ㄲ晦戲攰㔴㜲挰捦㈱㔷㤱挸㐲愲㔹㍤ㄱ㘹㔹收㍥〹㌰搰㌳挸戹㔱摤愹㘷㤵昲晤㤵晢敦晦搷㘰㜶攴㤲散扢敥散㝦昲挵㥦扤昴挴慦摥扢昷慦㉦㍦晤昴慦晥晣挴ぢ㉦㍦㍦扦昷㈷㕦昹捡㡦敦晥昲ぢ㉦㙤㌵㥦㔱扦昳慦㐳捦㍣㌴㜶晡愱〷捣ㄳ㌷敥㝦攸摤愷㡥㡤捤㕣㌰摡搳搳摢晢搶攱㥦㕥㝣晤搰戹〷扥慢晣攸㌷ㄷ戹㡡㕣㉥〷ㄴ〰昱㌳挴㘵换㘹㝣〱〹㑣㠳㌳㝥㐳愷挱攵㥥挳㑦愹㐴ㅢ㌵㠱㤷㍣㥣ㅢ㥣㠰㉣㈸㌷ㄷ昴晤〷〱摦戳捡</t>
  </si>
  <si>
    <t>㜸〱敤㕣㕢㙣ㅣ㔷ㄹ摥㌳摥㔹敦慣敤搸㡤搳㑢㑡㘹つ愱ㄴ敡攰挶㘹㐳㈹㄰㠲㉦捤つ㈷㜶㘳㈷攵扥ㄹ敦㥥㠹愷搹㤹㜱㘷㘶㥤戸㔴㙡㔵㕡㉥攲㔲㔴㉥愲㔰㉥慡〰㠹ㄷ㉥㉦摣㕦㤰㤰㐰愸㐸㐸挰〳ㄲて〵㈱㜸〰愱㐸扣㈰㠴〴摦㜷㘶㘶㜷㜶搷㍢㜶户㉤戸挸㈷摤摦㘷捥㙤捥㌹晦昵晣晦㤹收㐴㉥㤷晢㌷ㄲ晦㌲攵㤹戹㘱㜱㍤〸愵㌳㌱攳搵㙡戲ㄲ摡㥥ㅢ㑣㑣昹扥戹㍥㘷〷㘱ㅦㅡㄴ捡㌶敡〳扤ㅣ搸て挸㘲㜹㑤晡〱ㅡ改戹㕣戱㘸㘸愸攷㈰晣㡤㈴て〶㝢つ收〱㤶㘶愶攷㤷敦挳愸㡢愱攷换晤㘳攷愲扥㠷㈷㈷㈷㈶㈷づ摥㜵昰昵ㄳ〷昶㡦捤搴㙢㘱摤㤷㠷㕤㔹て㝤戳戶㝦㙣愱扥㕣戳㉢㙦㤳敢㑢摥㐵改ㅥ㤶换〷㙥㕦㌶敦㜸挳攴ㅤ㠷づ㔹㜷摤昵㠶㐱扣㍡㜷㝡㘶㝡挱㤷㔶昰〲㡤愹㜳捡㜷捣捡㡡捤戵㐹改摢敥㠵㠹㤹㘹晣㤷㥡㍦㥥敥㥣㔸㕣㤱㌲攴慢愵㉦摤㡡っっ㜴ㅣ㜰愶㠲愰敥慣㜲昳っ攷㈸㤶㕡㌱㠳㔰㜷㘶㘴慤㘶㌸挹愸㐵㘷ㅥ㝢㔷㌳搷〷㥤㐵改〶㜶㘸慦搹攱㝡挱㔹挲㐰搵㈱攷㙣㈰捦㤸敥〵㜹摡㜴愴敥ㅣ慢摢搵㝣㤴㜲㝤户㈴㐳愴㈷愶㤶㍦㌱ㄵ㌸㌳㉢愶慦㘶ㄴ㜰㘳㌲摡ㅥ昵㉢慤㙤昷㜵ㅦ㤷㔳㔷㙦攰㤸㌷㜷㙦㠷㥡㜳愶摦㘸㌹摥扤㘵扣昸搶ㄹ摣搶扤㝤㙡㡦㕡晢扣戶㝢ㅦ戵㤵慤慤挵㐰㑣摦㙡㐷戱ㄸ愳㐰搰㑦㔰㈴㈰〲㡤ㄲ挱〰挱㈰㠰挸晦ㅤ㕣㤲敥挸㉡慤㙣㙡攵㘵慤㕣搱捡㔵慤㉣戵戲愵㤵㉦㘸攵ㄵ慤㙣㙢攵晢戴昲㐵戴㐹㔲戱扦㕦㡢搳慦晥昹昱慦扥昳㔳敦㍤昹㠹㝤㘷㙦㝡捣ㅦ㉥っ敥㐲愳㝢攲㐹捤晡收㈵㤰㕡㤳㡡て㑥ㅣ攰扦捤戹〲㑣㘱ㅤ戲敥戴㈶㈷慢㠷づ㤸户㥢㍡㤷㤵㠱晣ㄶ㐲ㄹ㐱摢㐱敢㕥摢慤㝡㤷ㄴ敥㙥㤸㌶〳搹摣戸昱戸㙥摡慢扢搵攰㘵ㅢ㔷㉥㠶㘶㈸慦㙦慦㙢づ搲搱㙤ㄱ㙣㈵〳昵扥ㅢ摢扢㥤㌳㙢㜵㌹㜵搹㡥慡㕦摥㔶敤㉣昸摥㜲昷摡愳扥扣扦㔱摢㌱愳㈹〸戵㌵㌵㜶挷㉡愳慡㘸㕥㘳㌳㉢㕥㈰㕤㌵扤㜱㘷挱慥㕣㤴晥愲愴㐸㤴㔵戵搴慢㔹ㄵ㜳晤昸扣㡢㠵㠲㕢慢慦㑣㤷㕡㜷㕦づ挱捣戲㡡昹慥㑡㍦㕣㕦㌲㤷㙢昲㥡㤶㈶搱㍢㔱戱户愵昸愸㔷愹〷㌳㥥ㅢ晡㕥慤戵㘶慡扡㘶㐲搲㔴㑦㜹㔵㤹捦攷㤴㔰㠰挰敤敢ㄳ㈲㜷㙢㜷㕥㔰㠸㐸愱㤸㡣㝣㕤㉢搹㑤㥣挱敡戰㡡㥡㈴㑤㙡慦摡㘴㌰捥㔷挹㤸っづ㑣慤㠹晡㠳㉦㝤捤㈶挳㌶㌰昷攲㌶搶戴搱㜸昵㜷慦㐹㌷㍣㙥扡搵㥡昴㌳戵㥦攰㡣㡣㘱〰晤ち〴㐲搷摤愳慡ㄳ㤷挵扡㝥挹慥㠶㉢㠵ㄵ㘹㕦㔸〹㔱〶つ㔹㉣㜲㙢㍢㤲㜱ㄵ㡡㡣摤〴愳〰愵㔲慥戰㠷㡤ち㈵愴㥣㑥改㤴挱换㉤㠲㥣晤㕡㜸㜹搰㍡㙡搷㐲ㄹ〹攵㘱ぢㄸ㠹戴㥡㐲摦㄰㐹搴㌷㉢㤱挲搸㘳捤㠰㑡㑤摢つ搷㥢㝣摢挱㈵ㄱㄱ敤挸㠲㙤㈷ぢ㈸ち㕡攵㐱〶慦㠱㘸摡愴㐱㜶攳ㄴㄱ㤱つ㌲㌴㍢㐶㙥㈵㌲戶捦㤰ㄱ㘸㥦㈶㐲戶㍥搰㕤㐶㤰搸㍢㠹㤴㥤扡昲攳㡥㌴摢挸㤶㡦愴搹搵搸㌸攳ㅡ㠲㙢〹慥㈳搸ぢ㈰晥〴〹㐷㈹㠷㝣㙢㌲㕥㠶㘷攳〶㠲㤷〳㐰㍥ㄹ㤴㌹戱愸愲つ戵ㄵ㍢㤲敤㠶㘰㈷㉢愳㌸ㄲ㐵戴㡣ㅢ㜶收㤰愳㄰ㅤ㕢㥤摢㐳搷收㤵㡥㝤㜵㜷摡㑣㉦㠷ㄴ㤹搱㌴扤搶㑤㥡愶㌷㠲㑤㝢搴㕢㌷愱慢㌱㐶昰ち㠰㤲昱㑡㐲㈸ㄷㅡ扣㕢戳攸㘹㔲扥㈴捣愲挸ㄸ敡㔱挱挷㠴捣㈳㐰㠶㤰敢㌸扥散搸搰㌴〷挷慤㤷扣つ扤扦㍢㝦挷㐸㙦搳㥢㍢㝡㠷晥愲攷㘸㐵敦〳㝢㠹摦㜵搵㌱㌷愳摡㜸㌵挱㉤〰㙤㍡㠶愷敦攷敡㈹㔰㘶戱㤳挲摣㙥㝡㕤㤴㤵扢戴扥㉡㤵〶ㅡ戴㤶㑣晦㠲っ攱挱㌸㌱ぢ㕢搸昳㝤㔹挳愱戶慡ち㜸㝥戹戶戵㌰㌸敡㝢づ换㜷㙣攴攰㈵愱ㄸ昲㜹慤㉦搷㘶㈳㘷搸㥡㈹㥦㔳㡡㜲愸㠳㙦敦㉥㈴㔲㥤㕡挹㡢晤戲捦㤷㍢㤲愴〷㐹昲㕡㙣慢㜱㉢〰愴㠴昸㑤㔷㠹戲㥦捤㕥愷㥡戵㕡慣昴昰㘵㥣㑥摡㝣㠸ㅤ㜲㘴㈰㜲搸㑥挳㝦㄰っ㌹㡢戶搳㄰ㄶ〳捥㠲昴㉢昰㉤搸㌵㔹㡡摣戲ㄴ㌵㍢戲攲㈵㈲㉢晡晡㍡捥搳ㄹ晥㌵㐵㈷㙤㔲㈲㤳摢㌳㉢㌳捥攲㑤愲愲ㅢ㤲㐲㈵挳㌵搴㤰㐰愴㍣戶摤ㄱ㌱㍤㠸㤸摢戰㜱挶〱㠲㐹㠲㠳〰晡㉦㈰㘹戶扡昱っ㠷昵慦搱愵㕤㉥攷㡡㐴㠳㜲ㄱ㍥搳㔵㔸ㅤ攲㙢㕥㑦㜰㈷㐰㥢昹㐳〷㘴〶㈱㉡㤴愷〸㔱㠵㌱慣㜳戶扣㐴ㅡ搸㘵㈱戰㌴㔳て㐲捦㘱㘴㘹挸㥡昵㑥㝢攱慣ㅤ慣㈲ㄲ㌵㙡挵㤹㝢㔷愴ぢ敡昲㘱晢戴㤵㜹慢慢戲㙡㔸㡢㕥ㅤ愲敤挴散㜶㌸㤸㘳㍢㘰㑢慡戳戹㈶㤰㝡㍢ㅦ㘳〸㠱㥤㔶晥㔶㝡㘳户攴晤收愱㙦戸戹愳㑢㜶㔸㤳〳㔶挴㜴捣ㄷ㉤散㈲㈲〷搵㝥㙢㘹挵㤷㜲㜶挸㍡收摢搵㥡敤㑡㈲〳㌶㈶㠳㜵㜳昲〲愲〴ぢㅥ㘳㠰㥥㍢㘴㉤昹愶ㅢ慣㥡っ㈸慥敦㙥㜹㔲㘱ㄱ摤㥡戶摤〰慦㔱㔸㘴㝥搸㕡㕣昱㉥㈱㘲㕢㜷摣㘳收㙡戰㉤戰㐲愲㡦㤲㐲㡤搰㠴愶㠹愲㔶散ㄵ㍦㍣㤰攷㜲攴扤㍣㠱挲㔵㑥愷捦㍣㐳㝢搳慥㡦㘳㌴戴搳㌹愷㐱㐴㡦ㅡ㠵㝤㤹㔲㤸㥣㙡摣挵㍥㙦〴㌸㜹散散㠹㘶㘴敥㜹挵慣㜵㝡昹㌳㘴扣㈲㡢㐶㈰㠴㍥扡㕤ㄱ愹戰㡣㤴〳づ〴挶昹搴㑥㝥㈵㑢戵㈱昵敤㙡㘶㡦㈲㤲㌴㘸捤㤹换戲㠶㜸戴㘳㠶扢愲〷㥡戱㡥㔹ぢ攲扡ㄹ捦㜱㑣㤲ㄶ挹㜲戱㘲㤲㠲愷敡愱㜷捡㜶つぢ㐰搱㕦㕣㘴㕥㐶㤱㜹㔹ㄵつ㕡㘷ㄸㅡ㔴㜹㡥攵㕤㌰㝤㍢㕣㜱散㑡㤱てっ摦㙤ぢ㥡〴㤳㔳昲㈶㈹㤱ㄹ㘳㙤搶晣㔹㤸㙣挱〴搰㍤〱㌹捡慤㈳晡㐱戹㥡㈸攰㥦攸搱戱〴〱愳㍣愵挶㥢㌱㥡慥㙥㐷㐰攴愸㜴㈵戹㠳㜱攵㈱㤴㐴㐲㠸㔸捦㈰ㄱ㜸〵㔳㐲㥥㉥敥㠲㜵搶戵㐳㘰㡦ㄸ㍢㙡㠷戳〱㔰づ㠰慣㍡摥㕥慦戰㥡敡㌴摥搰ち㌷㜵㔶戵愸㠹ㅢ㍢敢搳㝡攳㔵ㅢ㔴㐷ㅡ㈵愵㐸㌶㙢愴㌴换〶㜳摣㑥慡㐶㈸挵㥤㘸ㅢ㤱攵㌶㙤敥㍢愵挸昳㔰㑣㡡㘶㜲挶㕢ㄴ愱㈰搰ㅢ敢㈸晡散戳挹㈳ㄵ戱愱つ㔰愲㥥㡡捡㠶攲㤰攰〹㕣㍢愹捡㔲晣〴晥摥ㄵ㘷攷敢㘱㑢㡤㜹㜹㌴慥㤹慡搵收㕤㔸〹ㄵ搳慦㙥ㄳ㤶挶摡㈲つ愳戸戳㔷敤ㅦ㙤㙦㡡ㄱ㘳㌶㘴㔸㈴挳てっ㌶〴㜳愵㈲慡戴捥㠶戸搵㡤攲㈲㥦㑥㐹搳㔵ㄸ㔸っ慢戳㜲㑤㤹㘱㑤㑢㝥㔴㜵㘸㥣ㄶ㤵ㅣ㌵慣愹攵〰㉡㍤愴ㅣ㡦㜳㡡挱つ敢っ摤㔲戸挴〰戱ㅢ攷ㄶ㉡㈱㐲扢㡤〱㜸㌲搸㍥搸挱㡥㐴愱ㄳ㕡㘷㤴愰㠵っ挲㙤㕤〴㜹愷㐷㡣㐲㤰㕡㉡晤敤㠸昸摣㤳㑣㕦㍦㤲㑢㌲㌱ㄳ㌱摣㤵㘱㍤〰戹改挸㈴戹㘸㌴〹㤸㐷㤲㑤〹慤挱愴㡣㈶挶㄰㑤㍥㍦挴㉤ㅥ挶戲㠶挹㌶㌵摣㜳ぢ㙤㘸搳摡晡㉥敢㠴㕢愹搵慢㔲愹攲㐴㔶㉢㡤扣㉤昰愵慥〰㐶摣㤴戱㉦昱愶㥣挰㔱㡡㑢㈶㤲㝡户扢㡤㈳攸慥㠴ㅣ挶㠸㔴ㅦ〳㤰ㄹ㙥㌹ㄵ㄰敢戸愷㐰晢㜰㜷昳〲㠳扡㍣〷㤱搶㔱㐴㔹㌶㠷晢㜸㡤㈸戲攲戶㔴戳㌹㙦捥愳捤㥥㉡㍡㙥㐷㐵摢〲㐷㔸㘷㈴昰ち〵ㄸ㈳㍤㜲〷〷挹㕤㠹愳扢㔷ㅥ㔲㡦戹㉢㐰㠵挲㠰㘰㡣㤷愷愰ㅣ㜶ㄵ㡣㐴㠳㕢㙢㕡摤㠲搱㕦㕡摥挶ㄴ㠰㘰ㄸ㤸〶㉤㕡㐶〶捥っ昲㥢ㅢ㌸㌷愱㔵㐶㠴㌴ㅤ㑣㘵㡣㜲ㄴづ㝢㈰つ摣挴㠳昴㤲〷㈵ㄴ敥㔱ㄷ挳㤲扢㠹攳づ㡥㐰㥥㝦㑤㕢攱㠲ㄹ攲晡㡢扢户慤㜸慡㕡愵戹ぢ晦摣戶挰㉡慥㙥㐴收攸㥥戶㑢㔹㙡㑤戴敦昶戵㔵挴㤷〵て捥㑥ㅣ㌷挳捡捡㘲戸ㅥ㕤摣敡㤵㈴昴ㅦ挱ㅦ戱攱摢㘹㌳攷㕤㕥㐴㕤攳摥㤷㉥扡摥㈵㔷捤㑢て㜸敢てㄴ㠲㉢㤴晤㥣㘴㈹昷㙦晣㔳㐹换改㍦挴㠸㕢㤹㌶〷㘸㍡㐸㌸㡥㑡㤱㌴ㄸ㐳㍥㠳㑥㘰扢㌷㙥つ㤰㑥昶戴搱㠹ㄲ〴㍢㠴攲㕥㜸挱〸㐵晣〰㘸㈵戱㐴㐷㜲散昹搷挰晡攲晢㈸㈱挲昱ㅣ㡢ㄱ晤ㄵ挸㘵愰㑥〹昲昸㡡〷㉦㠴晣晦㘰㈹攱收つ搹改扦挰捣攲㝢敤㈸扡㤱㈸晡㙥〷㡡〴慦㠱㈸晥㍤㠹㑣㤲㜴㠶㘷㥦㔳㈰㥣㙢摡㌹㠰扥攸ㄷ㝥晦㠷〷搰戹㤸㌸㤴㡤㠶㔰摢捤㜸㙥㤸〸㝤ㅤ㈶〲㠳昷捡㐴㌸㠵㡣㘰ㄴ㍦㌲ㄱ㘲ㅦ挸㍣ち㌶㌷ㄱㄸ摢换㌰〴㔳愱搶㤴㕢㠳㈷戰㙢ㅣ晡挷㡥攳攲慤っ㄰捦㠷搲ち㘶攰㤱扡戶戳㜸挱昴㑤㘷慦㉡㍦收㑢㈸㌳㝦〹㌷戹㔵ㄷ昶戸㝥挳ㅡ搵㘹〳㕦㐵攲㘵摦昱愷㙣敤晥㍡㌰ㄵ愵挸㝤㉦㡡愲昰㍣㍣㈵㠲攷㠶摣晢昶㝣攳搸敦ㅦ㜸昴〸㙦慢挵戴慡摦㡡㝣㉦㈱㝢摡ㄳ〸敡愶㉥㡡㕣捤て㜳㑥攱ㄳ㈵㝢戵㈶愷㑤㕦㔹㐱㠱攱㈴搹㠸昰㔲㠴ㄹㄱ摦㜶㌰㌱㜱敦㈱㌲㌱㈷摡摣㥤敡挳㈶攵㈲㥣㐸㑤㕣昹昴㤲戰愱攸慡挸㝡戴㌶昵㙦㐱ㄵ㍤挷㠹戴㕡㠹㍣㜵㌲〹昱捤㜶㕤㜷㠸扡㉥㍡挸㌰散㥦㐸㈹挴ㅦ㐸㈱改㠳っ㉦〴㈸㈹㜵〶ㄹ晤㌶㠰㡣挸㕡㝢㠸㤷晥㠰ㅤ㈱㈰ㅢ㤷晥㝡晣㠸〵扢〸㉣㈶扥昸㕥㑦戴戴㐵ㄳ搵挴㔰慤戲㘹ㄶ㤱㔱㠷ㄷㄶ㑣㈶愵㑢挸㈴㐹㍦㠸摣㤶摤㔱㝣挹㤰ㄳ〵摥㈲挶搶ㅤ晡摡㑡捥摤㙥ㅤ㌷㍦愰㘷ち㑡㘱戸扢㔹㡣〳愹㡡搱㐵㑤㑢㔱ㄱ攱㜰㤴㙤㜴ㅡ㠸慢愰戳摣扤㌸㤵㈲昸挷㉦㠵㔸㍦摥ㅣ晡敡昶ㅡ敡㌸户ㅦぢ攴て昶搷㡤ㄹ㡣㡤户㤲㘳㈰㘱户搴慡ㄸ㕤て㍦㡢㉥㕣㜴㑥ㄸ捤慣㝡ㄶ㠷昰㈷攱慣㍥慤㐳晦㌳㝡慤㌸敢ㅣ㝢㌳㡣摤愲晦摦㡥㠲㑤昵扦㘰散㑤㈱昲ㅤ㜱㠶て㍡攳㈷㥢㠶㙣戸㈳昰㙣㈳㜸愳づ挶㠶捡㌲攴ㅤ攵ㄶ昱昱㙡㔴慤㈴㌸晣㕥昹昶慢ㄱ㡤扥戴㙤〷扡ち㐰挶㠶昴慦㐱〴㜵敤摦㉡户㤲搳㙤攱㕤攸戸攷㤴㕤昱扤挰戳挲戱㐵〴㝤挷昸敤㤹〵㥢㘷㑡㝣愵㕤愸敤挳㑥っ扥〷㝤㑥捦㐳㘰㥦㤶攱ぢㄵ㡢㘴㘴㘱㙢㤱っ㝥㠷㌴㤲ち㉦㔱㍢〴㔷㔹昷搴捤ㅡ㍥㕤㥤㠷慦㌳㘴搱戶㔰㜶㤱挷戹晤㠶〶户づ㜷戴摥〶㝦㤰慣㑤㈰㌸愶㤶昰慥昷㜰㕦摢昷愰戵㙤扣戶㠰㉤㝢昳戹㤵昴愷㠱搳慤扤愵㤵㘴昸㑥㝥㤱㕣㌲捡㠴戸戴㝦〴㝦户敥愰攵㘸愳愰昳昸㠳㙥㍡挲挶㙢㜰㥦㙤㈱晡㝤ㅥ㕤挵ㄴ〱㝥㠶ㄹ㘷昸㈰攸攵㈳㉢㡡㉦㘲㔹㘴〰攴㜳㠵ち㐰㜷慡㝥㙡㈳慡ㅥ㌹挹㥥㐸㠲㘷っ㤲㘳㐹㝣ㅥつ戹㕤搱戲挱ㄲ㕣戶㔰㘷〹攴㡤愴〷昲㌹挱戳㠴㥡挸㘷搱愱㌱ㄱㅢ愵摤㈷昲㤹㡤㈶㈲㘸〵愸㠵愶挷ㅦ㐹戴㠸㔱㐳戵攱㄰戸〴ㅥ挰㐸愲㑣㠶㈹ㅦ㈹㜴ち㔱㡣攱晢㐴ㄱ搲㉦攳扦捦ㅥ昹挵㌳㑣㝦㍤㈲㤴㐴㐴㔵敢㉡㈸ㄱ搵㉡ㅥ㑦慦挲㐷㘹昷㔵㝣㙣愳㔵㡣㔰㔸㜲㈶㐶〸㌰搴㈷捡昸愳㔶㔵㐷㠶ㅢ捡㥦㌸㑦㠰㕦换㉣㐶㑣㤴愸扥㤷㤰㐱㕦敥扣㙡㜵ㄹ㤹愴慦捥㡤挸昸捡㐷ㄹ㑡扣ㄱ㐹愷㑥㈱昲捡ㄶ㈲昵㔸㜴㘲㜷散戶㄰ㄲ㔸ㄲ㍦㥢敤㉡摢ぢ㍤㠶晡挵〷ㄳ挴ㅣ㍦㥥㝣㐲愵挵挱㈷㄰㐶㘴㥡㤲㤰戸㤱攲〳㐹攳㙦㝦愷改㍢㐵〵ㄲ愸㈷㙡㑣㠲㔳㡤ㅦ㑢ㅡㅦ挴攷㔹慡㑤㡥㔷〹㤸㥥㑤ㅡ㤳㌰㔵攳㐷㤳挶㝦㌹戸户搱㌸愱挳㘸㘴㥤㐴㤲㘱昴慡㘳㐰敡㔳敤㘱㌴搷㉤㉡搲〱㉢㉡愶〸㔵㌱攴㥡㔲愵㠳戸ㄵ攲攳㘳改㌹㕣㜲挲㕤㄰㐸摢攸晦㤹㜰〲㤷㥦㘶捤搰挴户搰㙢㠸㍡晢㠶㝡㘲攷㠲㌵敦愳愰摦㍡ㄱ攰㜰㔵摤㔶㈴〲扢㈰ㅦ敤敦㈶摥昹っㅢ戲戹ㅦ㐹戴㑣攳㘵㤲摥戴㠸㡡戰攴挵㈳〹㘶㜳て㌷㘹挶㜸〸挸㠱㤸〴㘴挶㜸ㄸ㌰㡡挸散㘱挱〸昹㕦㌱昷㈳慣㜸㍦挱愳〰㈵㐱㘶㈷ㅤㄴㅥ〳ㄸ㑥晥㡦ㄵ㘳㙢捡㜱愲㠹〷㤲㤷愵挹挸昸㈰㍢㝣〸愰て㝥㕣ㄱㄳ㘱挹昸㌰㑡搲㉦愵攰㔰㉦晤〸㉢㍥㑡昰㌱㠰㤲捥挹㙥㜹搷戸愶ㅥ㔵搸挷搱㔵㍣㑣㠰㥦昱㜸㥣攱㠳捥㝤㜸㔳㜷愳㤹㘷攲攴ぢ㝦挴㍣㕢㍥攵扦ㅢ㥦收慦㜳搱㝤昸㍦㤳攸捡挲捦㙢㙦散㙤㉣㌲〱㡤㜳昵㕢挵㘶㍦㡦㜱戸慥㘶㈸㠵㈳㔲愹ㄴ戵㠲㈰扥戹㘰攱攱つ㝣换㘱㔵㈱〴㘹㐰㔵戸㜱挵ㄱㄴㄸ㥦㘴㔳攲㤸㜸㌲㍥挵㈷愲㔶㙤攲愷攳っㅦ〴昱慡扡摦ㄷ㜷㑦㕥㐸㕣慢ち扢敤㠵挴扦慡㔸㐹扦昰㐹づ愶㤰㠵㑣慢㔶㈲搲ㄴつ㝤ㅥ㤹愱扥㘱捥敤㕥晣戴换愲㜲扥㝡晥晣㍦㠶昳㘳搷攷摦晥搶挱㈷㥦晤昹ㅦ㥥昸昵扢て晦昹㕦㑦㍤昵敢㍦㍥昱捣扦㝥戴㝣昸愷㑦㍦晤㤳㤳㕦㝡收て扢慤㉦㙢摦昹挷摣㤷ㅦ㥣扣昸攰晤搶搹㕢㡦㍤昸㡥晢敥㤹㕣戸㙡扣慦慦扦晦㤶搱㥦㕤昷㥡㤱㠷敦晦㥥昸昱㙦慦㜵㠵㕡㉥㕥搰㍡つ㉥㕢㑤攳ぢ挸㘰ㅡ㥣昱㡢㍡つ㉥㔷㙤搴㜲扣㔱搳㈸㈸挲戹挱〹愸ち戳戵㘲攰㍦㤹㌰戲㠶</t>
  </si>
  <si>
    <t>|Current Results|Sensitivity Charts|31. OGIP - CrystalBall (19-Junio-2019).xlsm|Sensitivity Chart 1</t>
  </si>
  <si>
    <t>|Current Results|Sensitivity Charts|31. OGIP - CrystalBall (19-Junio-2019).xlsm|Sensitivity Chart 2</t>
  </si>
  <si>
    <t>|Current Results|Sensitivity Charts|31. OGIP - CrystalBall (19-Junio-2019).xlsm|Sensitivity Chart 3</t>
  </si>
  <si>
    <t>|Current Results|Sensitivity Charts|31. OGIP - CrystalBall (19-Junio-2019).xlsm|Sensitivity Chart 4</t>
  </si>
  <si>
    <t>㜸〱捤㝤〷㜸ㅣ㐵搲昶戶挲㕡扤づ㕡摢ㄸ〳㈶㤸㙣㈳㙣㉢㕡ㄲ㘰ㅣ攴〸捥〱㌰〶挴㠶㔹㑢㔸挱㈸㌸㤰㑣㌸㌸㡥㥣㜳㌴搱㤸捣㤱㡥攸〳㡥晣㜱愴㈳㐷ㄳ㡥〳㡥㝣㘴昸摦户㝡㝡㜶㌶挹㍡晥搳昳戰㕥㤷扡慡摦慥慥慥敡敥改㤹改㥤〹愸㐰㈰昰㉢㍥晣换㑦〱ㄳ㥢捦㕢搹摥攱㌴㡦慣㙢㙤㙡㜲㘲ㅤ㡤慤㉤敤㈳挷户戵㐵㔶㑥㙦㙣敦挸〷㈰㔸摦㠸晣昶挲晡昶挶㐳㥣愲晡㘵㑥㕢㍢㐰㠵㠱㐰㔱㤱捥㐳晥〰昷㝦搸㌲㥡愵㜴〱〹㔰〱ㅤ㈴改㐵㔲㐴愲㐹㐲㈴扤㐹晡㤰昴㈵改㐷㔲㑣ㄲ㈶改㑦㐲攵㝡㈰挹㐶㈰㝤〶㠱捣慦㥢㌰㉢㝡㄰㑣㥤搷搱摡收散㍣㜴㉦㘳搰㤸戲戲㤱㘵㈳换㙢换㐷㡦㉣摤㜹㘸㕤㘷㔳㐷㘷㥢㌳愶挵改散㘸㡢㌴敤㍣㜴㜶㘷戴愹㌱戶愷戳㜲㝥敢ㄲ愷㘵㡣ㄳ㉤慤㠸㐶㉡㙢捡㉡慢慡ㄲ戵戵㌵㝤㌶㠶收㤹㜵ㄳ㘶户㌹㠹昶晦㤵捥挱搴㌹慢㙥挲挸㤹㑥挷晦㑡攷㈶搰〹㤵ㄳ㕢㥢㈳㡤㉤晦㈳愵㠵っ㔸挵㐴㈷搶挸挸㍡㑥㕢㘳换攲㤱㌰㍢挵搱攰慡㐷㑥㠶挷㘳㤱昶㡥㍡愷愹㘹慥㤳㘰㔰晢㌴搳㘷㑥㥢搳ㄲ㜳摡晢㌵㑦㕡ㄱ㜳㥡摣散昶愲收扤㈲㙤㌳㈳捤㑥〱ㄳ挵捤㈶㙥搳攲㑥㑢㐷㘳挷捡扥捤ぢ摡㥤戹㤱㤶挵づ㈱㠵捤㔳㍡ㅢ攳〵〵慡愰㈰㤰扦㘳㌶㘳㈴㌶㈳㈷户挵敡ㅡ㈲㙤ㅤ挲㌱㙡㘵搹戰扥ㅥ㈲㠶愷㤸挵㕥㌴㌴慤ㄴ挳㌴慦戱㜹㑦愷慤挵㘹㘲㈵っ㕥㐹ㅡ㐸㝣㘲㕣敦㌹挷戶㠶㠱㔱扤摤挱挴愶戰ㄶ扤㈹挹㘶㈰挱㈱㈰㝤愶㐴摡㠷㑥㙥㡢挸㌰搳㥢㌳㙦ぢ㄰㔵昰㉥㐶愵扦㉣㐷㐶㕥㝤㈴慦㍥㥡㔷ㅦ换慢㡦攷搵㍢㜹昵㠹扣晡挵㜹昵つ㜹昵㡤㜹昵〷攵搵㉦〱挶㝥㡡㝡昵捡㜳㍦㘵搷扦㝤晡㤷晢摤㌰攱昸㕢㑦つ攴扦㌰昳㐵挵㠱㈸㈳㜲㉢㈴昴㔰㤰攰搶㈴㘳戶慢摢慥㝣戴摥㠶搲㙤㐱㤴㝡ㅤ㔶搰㤲扢㙥晣攵攲愷㥥㙤㥢㜶摦㉢㉦㙣昹搶㌶㜷㉤㔱ㅣ挶愲㘲㝢㠲㜷〰〹敥〸ㄲ摥㍢搲攱戴つ㥤ㄷ挱㔰㡢㜰收搰挳㤸㍦ㅣ㐴愹㝦戸捡搶㤶㝥㕢㌲慡敥攳愹㜷摣㌰昶摣㑦ㄶ㝣昶㤱攲㜴㈰捡㑡〸摥ㄹ㈴㌸〲愴㘰㑣㕤㔹㤵ㅥ㐹搹㈸㄰愵晥敥㉡㌸㍡㍡昵㠱愷ㅥ㥢㍡昹愲㤲昰摣搸摦㠷㍦愱搸敢㐴㐱ㄹ挱攵㈰挱ち愶㌰捡㐶㑤㘹㙢㙤㙦搷㤵㘴慢㐰㤴㝡挲搵戲搹搴〷㤷捦ㅥ扣㝣摡搱㐳㘲挷㥤户敦攰㕡挵戹㐸戴㔴ㄳ㕣〳ㄲ慣〵改换㄰捤㙢挰㄰㔸ㄲ㔹散攸㕤㤸戹㉢㠸㔲て扢㥡愶㉣㍤㘱捤晢〵摦㑣㍥昵昸愱㜵㜹晤㝥㡡㈸㑥㘸愲㘹っ挱扢㠳〴挷㠲愰㐱攵㌵㝡ㅣ㘵攳㐱㤴扡摦㔵戰㔱㠵ち敥戴攳搳㌳捦㥤搶㝣捦晥扦搴つ㔴㥣っ㐵㐱ㅤ挱ㄳ㐱㠲㤳㐸㈴㐲㔵㝡㌲愵㔳㐰㤴扡换㔵㤱㜸㘶愳㜵摦㑣㕥㔵㜷敤晤摦晦摦ㄶ㡢慦扢㐶戱挳㠸㡡㘹〴敦〱ㄲ摣㤳㐴㔴㔴敢改㤴捥〰㔱敡㔶㔷挵㤹ㄷ摥㌱散㤲摤㕥㥤㜵搲㉦攷摥㜲攳㍤敢㙦㔶㥣㠸㐵挵㉣㠲㘷㠳〴攷㠰ㄴ㡣㙦㜳㈲㝡㉥㘵昳㐰㤴扡摥㔵昰挸挲挴㉤扢敦㝡晡昴摢ㅢ晥㌶昵搲晦㍢敡㕥挵㐹㕣ㄴ㉣㈰㜸㉦㤰攰摥㈰っ㙣慤摥㠷戲㠵㈰㑡㕤敤㉡搸敤挱愷晢㡦㍦㘷愳㍤㙦㍡晤㠹挷扥昹攱㠷㜹㡡〷〰㔱戰㠸攰晤㐰㠲晢㌳㌵扦愱㌱戶愴挵㐱㘰て㈰㕢て愲搴㘵慥㤶〱㌷扣㝦搴慥扦㉣㥡㜰搱戹敦㉦愹㕣昴搲㜳㡡㐷㄰搱ㄲ㈱㌸ちㄲ㡣㤱㠸㉢㉡㜴㥣㔲〷㐴愹ぢ㕣ㄵ㙤㐳㠶慦㕥㜷晦慢ㄳ慥摢㝥搵愷晢㍥户㔷慢攲昱㐷㔴㉣㈶戸〱㈴搸〸搲㝢㙥㙢㙣挹搰扤㕡㥢㍡㥢ㅤ㝤㄰戳㤶㠰㈸㜵㤶慢㐷昷㜹㜶摣㝥㘷㐷敡慥㝢昲搹㡥㜵戳㘶㉥㔴㍣㠴㠹㥥㘶㠲㕢㐰㠲慤㈴㘲㑡愵㕥㑡改挱㈰㑡㥤攲慡搸昸㠶扣㙢摥㕥㝦敢昴㡢㜷㕢晢晤ㅤ戳敦摢㕦昱〰㈸㉡摡〹敥〰〹㜶㠲ㄴ捤㙥㐵㑦挷㈴慡㤷㔱扥ㅣ㐴愹攳㕤㈵㐷㤷㉣扤攴㠳㤷㌶㥥㜰攲〷㠳收捣晥㜰搹㝤㡡〷㔰㔱戲㤲攰㐳㐰㠲㠷㠲㌰㌲㌵晡㌰捡づ〷㔱敡㘸㔷挱愵捦慣慣攸㌸昱昱挹㙢㙦㥡㍦㜳摣敡昵㙦㉢ㅥ㝣㐵挱㉡㠲㡦〴〹ㅥ〵㐲〵搵晡㘸捡㡥〱㔱敡㌰㔷㐱敦慤晦晣扣戳戰㙣摡㔵慦㝣㜳搸㙤ㄷ㍦㜳㘷㥦㘳㤱㍤挷㥤ㅣ㈷戶㐵㤶攳〸㤳㍣㜸㤵㡦㉣攵扦つㅦ戵㜱搰㑥㔴㈵慡ㄳ㘵㘵昱慡搲㐸㐵愴㤰搳㙢㜷㡦ㄵ戲㠰㐸散摤搸ㄲ㙦㕤㉥〷㡦㍥㠹挹㡤㑤㤸挰㠴㈹㑥攰㡦㌹〰ち摦㌷㌱㘹〵㔶づ㌱㜳㥣搹㈸㔱攷戴㜵攰㠸摢戱㌲㜹昰搹㝣㐲愴摤㐹戲㈵慥敥〹慤㥤㉤昱昶㈱搹㌳攷㜵㘰捡摣㉣㍤㉦愹㈴愳搸㍣ㅣ㡤㥤㜶㌱㘹换昴㘲㝢㐵㥡㍡㥤昱㉢ㅡ㑤昶ㄶ㘹搹㌸㉥户㐶㜳攷㑥㙥㜳づ昶㜲㌳㉣ㅡ㡦㐳搴㌲搱㥤搱㑡㤳㘵散ㅡ㕡搷搰摡敥戴㠸㜹㈵捤戳㌱㑣㥤戶㜹づ搷㤱㑥㕣㥡㍡㠸㔹敥攲愰㘴㔶ぢㅡ㡡挳㝤㝣ㅢ扦㤴㡥㜶㕡攲㑥ㅣ昶㉥㠵㤷㔷捥㡦㐴㥢㥣㡤㔳㈰愶㑥㘴㙣㥡㈲㥥摣ㅡ敢㙣慦㙢㙤改㘸㙢㙤㑡捤ㄹㅦ㕦ㄶ挱㠲㈴㍥愳㌵敥ㄴ挸㈷㘰愸ち攴攷㉢ㄵㄸ㤶敤挸㑥摤敤㍣昶晢㍡〹㔷ㄸ㕤㠳㝤㥤㠸攰慣㙢〶㑦㌳ㄲ扥㑥㐶晣昰㉥㉤昱㜷㐲愲㑢扢㐴㘷改愴㉣戴㐹敡挰ㅢ㌹ㄷ昱㐱ㅣ㥡ㅣ㡥捡扣敤㜲慢㑣昶换つ㔸敡㡢ち㑦ㅢ㠸敥挲㘹愲搶敢㝢㍤ぢ捥换ㅢ攸戶㝥搲㌲㉣㍢愷㐶㕡攲㑤㑥㕢㤷㈷㍤㡡ㄶ改攳㐸晥㐸㜲㍣挹㥦㐸㑥〰㈹散挴ㅣ㤷搳愳㕣㙣愹ㄵ㙡㘵攱昲挶㜸㐷㐳戰挱㘹㕣摣挰㐹ㅢ㈷㑢㐵㐵㜴昷つ㉡㄰㌸ㅤ晦ㅦ挲搹搲扢昸ㅢ搰㈷㤱㥣㑣㜲ち㐸㈸ㄴ〸㥥㡡扦㠱㘰㐸㥦挶㍦愷㠳ㄴ摢㜵昷㔰搳㌳㐳慡㤰㙢捡晦㝥攵㡢㑡〳㕡ㄶ摡㌸ㄳ㙡㉦㙣㠶摥昶晣晣㙣摥㤸ㅡ㘹㙦攸攰㐰散㌲㔳搶戸㘷㔰改㤹㈰㝤捥〲㤹㌹搵㘹挲㌰晥㕦㥤㐴ㄵ㜲㤵扣挱挵㍡㡦㤲ㅢ㌷捦㕢搹ㄲ㙢㘸㙢㙤挱㜹敡挴㐸㐷㘴㝣っ㘷㈴敤㉡ㄲ㙣㥥摥㕡搷搹ㄱ㙣㥥摡㠸㍦㝤㥡攷㍡㑢㥤㐸㐷ㅤ愶改㡥扥捤搳㜱㌶㈳昳攸戴昸㡡挲㘶㜳㈲㌲搱㘹㡦㘹㥥戱㑣挳戴戴㈲㠸ㄴ收搹㍥捤㥣㘸㥣ㄵㅤ㔴摤慢㜹㜶〴㘷㍣ㅤㅡ愰ㄲ㈹㘵㔲㉣搹㔷㘴戶㜴挸攵愰㈱㉣㐹㥦㤶摥㈲㌰㥡〲散㌹㌸㠲攲㌸㕢攰搲昴ㄱ戴愰愳戱愹㝤愴敢摥㤱ㄳ㕢㜱㐶敢挸㤹㍡摤ㅥっ愲㠳〵扢っ㔶晡㐰攷㈹捦慣㔸搴愸㠵㈹㔸㍢㜷㉥攵㘹捦晦㑡て㜵〵昴搹㈰㤷㝥㜱摤慥摢㕦㝣搳慦敥摦㔵ㄸ㐲昲搱㍣㉢搲散敦㘴昱㐷㍥晡㍣晣〹㜵㤵㔷挸搳愶慣㌳㙤㡥戳戳㐲攰晢㌴愳戵昳摢ㅣ㌹摤㉣ㄲ㘶攵㔲愷㙦昳摥慤㙤㑢愲慤慤㑢ㄸ晣㝥挲戵㌷㌸㑥〷捦攱㝡扢愷慣㑣㉢愵昲昳㔳㑥搲㝣㈷㝢㍣晢ぢ㕥〴搲㜷㝣㔳搳㔰慢戱㍤㜸㌱㐴昹㌸愲〴㉦㐱愲愴愲㙣攴搰㔹㔳愶捤ㅥ㍡㘲㘸㕤ㅢ㉥扢㐴㥡㈶㐴〰ㅦ㔶㔶㍢㘲㡦捥㤶挶搶ㄱ攵愵㘵戵挳㐷慥㘸㙡㙦㔶ㄱ㌸㠴㈷㘳㜳挳㘷慥摤慡晤愱㤹㈷㕦戰昵㌷㡦挵㥥㜸㔲ㅤ攸㘶㘴㥣攸㙤㠵㉡戸㈰搲㤷㤳慣㈶戹㠲攴㑡㤲慢㐰搴扥㈸捡改敢㙣慣攵昶㐷㔷晢〰㝦㍢㘴㑥戸㠶㤸㙢㐹搶㠰㘰ㄲ㤲愰㘰づ㕡ぢ㌶㜸㍤㐸慦㈹㑥㡢㠳㑢㈹㈱愵㠶㠲攵晣愳㙦㈰戹ㄱ㐴㙤〳挲㤱ㅡ搰㌷㠱攴っ昷搶㐴㘴㠴晢㔶㐸㐳扡㡢㍣戵㉤㄰っ戹愶㡢㌵㥤慡改㔰㌵挵昵㐵㠶㤳㈶扢ㄹㄹ愷戲摢愳㤸㌸改ㅥ㉡戹㤷攴㍥㤲晢㐹ㅥ〰㔱攳㕣㈷扤っ挷戰㌱㔷㘰㘴㙥〳㐷〵昴㍡㤲扦㤲㍣〴攲㜳搲㈳㤴㜱愲㠶㜳㜸㜶㉣捥㜹㤴挲挷㐰搴㌰㄰攳㥣挷㤱捡改㥣ㅤ㔹㈰挳㌹㑦㐱ㅡ搲㕤攴愹攱㐰㘴㜳捥㠸㕣捥搹搹捤挸㌸㌵㉦㠱㈶㜱捥㡢㌴攵ㅦ㈴㉦㤱扣㑣昲ち㠸摡挱㜵捥㜵㉡摤㌹慦ㄱ昳㍡挹ㅢ㈰㍥攷扣㐵㤹敢㥣㥤㤱ㄶ攷扣㐳攱扢㈰㙡㈴㠸㜱捥㝡愴㜲㍡㘷〴ぢ㘴㌸攷〳㐸㐳扡㡢㍣㌵ち㠸㙣捥ㄹ㤸换㌹〳摣㡣㡣换づ㘵搰㈴捥昹㡣愶㝣㑥昲〵挹㤷㈴㕦㠱愸㍥慥㜳愶㠲攱ㄴ㤶散㌹摦㄰昳ㅦ㤲㙦㐱㝣捥昹㥥㌲搷㌹攵㐸㡢㜳㝥愴昰㈷㄰㔵〹㘲㥣昳㌳㔲㌹㥤㔳挱〲ㄹ捥〹㈰㐶㈱摤㐵㥥慡㐲戹㙣捥昹晥㤷ㅣ㜳捦㜷㙥㐶挶搵㤴㙡㘸ㄲ攷㘸㔴慡㐳㈴扤㐹晡㤰昴〵㔱㕦愲㈸攷㥥㘱ㄸ㑥㝢㘲㘸㈵ㄷ㐰挵挴㠴㐹晡㠳昸㥣㌳㤰㌲搷㌹㌵愸㐰㥣㌳㠸挲㡤㐱搴㉥㄰ㄹ攷っ〶㥢搳㌹戵㠰㘵㍡㘷㌳ㄴ〹改㉥昲搴慥㈸㤷捤㌹㙦攵㜲捥㥢㙥㐶挶〵愲㌱搰㈴捥搹㤶戶㙦㐷戲㍤挹づ㈴㍢㠲愸㤷㕤攷㝣ち挶挱晦㥢攱愰㈶晣挷挵㌴㘲㜶㈲㈹〱昱㌹㘷〴搸攰㐸捡㘴㌹㍤㜴㍥㡥㘵㤸㝥㜶㐷㈱昱搳㈸㤶㈹〵㔱攳㈰㌲㝥㉡〳㥢搳㑦㘳㔹㕤㐶㈷慡㘴つ扡㡢㍣㌵ㅥ攵戲昹改㤱㕣㝥㝡搸捤挸戸づ㔶〷㑤攲愷㌱愸㔴敦㑥㌲㤶㘴ㅣ挹㜸㄰㜵扦敢愷ぢ昲〱挵攷ㅤ晣扤㐰晣㔴㐷捣㐴㤲㐹㈰㍥㍦㑤愱捣敤㐴ㄳ㔱㐴㥣㌳㡤挲㍤㐰ㄴ㉦慥ㄹ攷散〹㌶愷㜳㈶〱㤶改㥣㤹㈸ㄲ搲㕤攴愹㈹㈸㤷捤㌹㙢㜳㌹攷㍡㌷㈳攳ち摦㌴㘸ㄲ攷散㑤摢昷㈱㔹㐸戲㉦挹㈲㄰㜵愵敢ㅣ愴〳つ㈰㥤㜰㑣愳㌸㠷挷㝡㝤〰㐹㍤㠸捦㌹ㄱ戰挱㈸㘵㈹㥤㠸搷て挵㑦㌱㤶㠹㠳愸改㄰ㄹ㍦戱㝦收昴ㄳ㉦㍡㘶晡㠹搶㠴㜴ㄷ㜹㙡〶捡㘵昳搳改戹晣㜴㥡㥢㤱㜱ㄹ㜳ㄶ㌴㠹㥦づ愶敤㙤㈴敤㈴ㅤ㈴㥤㈰敡〴搷㑦㥣㙦昹㍦㌹ㄳ㉤㈷㘶〵挹㑡㄰㥦㥦づ愵捣敤㐴戳㔱㐴㥣㜳㌸㠵㐷㠰愸戹㄰ㄹ攷慣〲㥢搳㌹㜳〰换㜴捥搱㈸ㄲ搲㕤攴愹㜹㈸㤷捤㌹换㜳㌹㘷㤹㥢㤱㜱㠹㜶〱㌴㠹㜳㑥愴敤㈷㤱㥣㑣㜲ち挹愹㈰㙡愹敢㥣昹㘰收愰昳㈴㥤挳戳㔶㝤〶挹㤹㈰㍥攷㥣㑤㤹敢㥣扤㔰㠱㌸攷㕣ち捦〳㔱晢㐰㘴㥣㜳㍥搸㥣捥搹ㅢ戰㑣攷㕣㠴㈲㈱摤㐵㥥㕡㠸㜲搹㥣戳㝦㉥攷散攷㘶㘴㕣㝥㕥〴㑤攲㥣慢㘸晢搵㈴搷㤰㕣㑢戲〶㐴敤攵㍡㘷〲愶㥤晥㈹捥㔹㑢捣昵㈴㌷㠰昸㥣㜳ㄳ㘵慥㜳昶㐳〵攲㥣㕢㈸扣ㄵ㐴ㅤ〰㤱㜱捥㙤㘰㜳㍡㘷㝦挰㌲㥤㜳〷㡡㠴㜴ㄷ㜹慡ㅥ攵戲㌹愷㉥㤷㜳㈶戸ㄹㄹ㔷搵㈳搰㈴捥㜹〰㤵敡〷㐹搶㤱晣㤵攴㈱㄰戵㥢敢㥣㐲㈰昹㥦搳捦㘹㌲晤㍣㐲捣摦㐸ㅥ〵昱㌹攷㜱捡㜸㜲㠱〳㔷ㄴ㝦挴㌹㑦㔲昸ㄴ㠸㡡㐳㘴㥣昳㌴搸㥣捥㠹〱㤶改㥣扦愳㐸㐸㜷㤱愷ㅣ㤴换收㥣攱戹㥣㌳捣捤挸戸㕦戰ㄸ㥡挴㌹慦搰昶㔷㐹㕥㈳㜹㥤攴つ㄰戵㡤敢㥣㐷攱㤰㥢㠰㑥㉥つ摦㈲收㙤㤲㜷㐰㝣捥㔹㑦㤹摢㜳ㅡ㔰㐴㥣昳㍥㠵ㅦ㠰㈸摥㝦㌰捥昹㄰㙣㑥攷㌴〲㤶改㥣㝦愱㐸㐸㜷㤱愷㤶愰㕣㌶攷ㄴ攷㜲㑥㍦㌷㈳攳㈶㐸㌳㌴㠹㜳扥愲敤㕦㤳㝣㐳昲ㅦ㤲㙦㐱㔴㤱敢㥣㡦挰戰挳摣つ㜲づㄳ晡㝢㘲㝥㈰昹ㄱ挴攷㥣㥦㈹㜳㥤挳晢㉡攲㥣㕦㈹愴〶挵㍢㉢挶㌹ち㙣㑥攷戴戲㡥㡣㈵㑦〱㡡㠴㜴ㄷ㜹敡㘰㤴换收㥣㙦㝥捥戱㙥晥摡捤挸戸扤搳づ㑤攲㥣扥愸㔴昷㈳㈹㈶攱㘶ち捤㈹㐶晤ㅢ㐵戹㙥㍥ㅥ㑣㙡捦ㄹ㐸捣㐶㈴㠳㐰㝣捥ㄹ㑣㤹敢ㅣ㕥㝣ㄴ攷㙣㑡攱㘶㈰㙡ㄹ㐴挶㌹㐳挰收㜴㑥㈷㘰㤹捥搹ㄲ㐵㐲扡㡢㍣戵ㅣ攵戲㌹攷戵㕣捥㜹搵捤挸戸㙤戵ㄲ㥡挴㌹㍢搲昶㘱㈴挳㐹㜶㈲㈹〱㔱㉦戸捥戹っ㤱攷愴㝡〷㈶收愳㤱ㄱ搰㈳㠸ㄹ㐹㌲ち挴攷㥣㌲捡㕣攷ㅣ〲愴㌸愷㠲挲㑡㄰㜵ㄸ㐴挶㌹㔵㘰㜳㍡攷㔰搶㤱搱㜳㙡㔰㈴愴扢挸㔳㠷愳㕣㌶攷慣换攵㥣〷摤㡣㡣㕢㜲慢愰㐹㥣㌳㥥戶㑦㈰愹㈳㤹㐸㌲〹㐴晤挵㜵づ㈵㕣搹戴挳㌹晢㈲㡤㥢挹挴㑣㈵㤹〶攲㜳づ㑦捣慣㜳㡥〴㔲㥣㌳㠳挲㤹㈰敡㘸㠸㡣㜳㘶㠱捤改㥣愳㔸㐷㠶㜳收愲㐸㐸㜷㤱愷㡥㐱戹㙣捥戹㈶㤷㜳慥㜶㌳搲㙦㌷ㄶ昲攲㝤晡攵㔳搹扣攱摤㠸昱摤攲改〷㜰㌰戱愰愵戱愳扤㜷㘲㝣㘷㐷敢攴挶㡥㠹敤ㅤ㝤ㄲ㈰㐸㑡㤱捤㘴㝤散㉢㔴㤲搸慢搱㔹捥㤳慥慤㌲戳戰慦愵慥戳扤愳㔵慥っ㙦㤹㤹㍦戱㜵㘶㙢挷挴挶昶愵㑤㤱㤵摢㘵挹㌶㌹㝢㌷㌸㉤戸㠹搶㠶㝢㘹ㅢ〲戵㉥㕤敡挴戳搸㌸慦戵戳㉤收㑣㥢昸㝢戸つ愷捣㈵敥〰慥愲㉡ㄵ㔰摢攷扥敤攴昳晢挶㠸㑤ㅥ慥扣慡摦㜶ㄷ㈷戸〸㥤慥㘸㔱㝢㉣㌱㉡㤶搸ㅦ㝢ち挰昲㈲扢ち㘱摤挴晥ㄸちㄴ晥㜱㠳㝤挵㜷㠷慦㌷挰愱〴攲㙢㘴㝤摤㕢挸搳㕡摡ㅢ攳㑥挸攵㘶㌴戶昴㜳㤳戳㍡㍢㔲㜲㈲㉢〶扡㌹戸㑥㍣慢〵㝤㈰ㄶ㘹㡢晦ㅥ挲㠳㠶攱㘳㘲愳㠲昸昷摢㍣㙥搴〴〲㥦昳㘰捣捦攷慢㌰敡て㜰㝤㝤㍣〴㔹㉦摢㝢攳ㄲ〹摦つ搲㘲攰晢搲摤㥥戸㠸摣っ㈷搲㈲㔱㤸搷ㄱ㥦攸㉣敢㈷〸〷㍤ㅤ晢捡㥡㥣㠱愹慣摣扤搱㠹昱搱㜶㙣摣攸㜰晡㜹㈹ㄹ昱㍡㌱搷㘹挲收愵㘵㑥ㅦ㉦㌵㍢搶㠱敤〰㥥㍥摥挸晥晤㐴〸ㅥ㈹㜰愳愴㈴㑥挱㉥㈶扡搴㐶㜰㌰晤挶愸㈲㤸〹昹晣㝢慣扡攰㝣㝥搶㡣つ搸㐴㠸㥦㐰攱㥦愰扥晢㜷戳㌹㤲〶摡㑤ㄶ㘶慡㤳㔹慣㡦㤵昱㐶㜲摦㠴㑣㠰搸㉤挲㉤㠵挵ㅣ㍡㑤搸敦搹搱ㄸ挳㝤㤳㤵晤ㄲ搳㕡㘲㑤㥤㜱㘷㝡㈴敡㌴搹挹扢戵慤昹㜷ㄲ㉦搹㕦㙢㘲搵㠵㕦摣㕢晣搳戰挹搶摥㍢晦捤昳ㅤ㉥昰㘰愴挹戱ㄷ㍡㐲㍡攲㡥㍢摥戸晥慦户づ㠴㔰㘸㐰㜲攳㡢散搴挴搴㤶㈱攲㥣挶摢愸摥敥〳ㄹ㜱㍥搸昴搶改搸㌸攵挴㝤愲愹㡤㐶昴扢ㄹ㔷ㄲ愶㘰㌰昸㕢㡦㌴昰ㄵ㍥㥦晦敡晥攵敡っ㥦捦挷昲ㄸ挳挱㜱ㄲ戸昴ㅢ戰扥ㄵ㠹㉣〲㘴ㄲっ〳㔸捣ㄹ捣慣㈰收㌷㜶㌴㌹扤ㄳ㤲㉦改㈲づ〹㝡戳㔷㘲㝥〳㙥㘶㑥散㥢㤸搲搶ㄸ㙦㙡㙣㜱戸ㅡ挱㑥㈵敥㡥㥤敥㉣挶㥥㥡搹摣㈲㠶㝤㤹㝤ㄳ昳摢㈲㉤敤㑢㜹捦㍡戶㜲㐰ち㈷挱㉡㑣㑣㘸㙣挱〰㌲㜵㌲㕤㥣㤸搷搰扡ㅣ㥢挲㍢㥢㕢愶㐴㤶戶晦㉥〲攵ㅥ㔲攰㈱㌳慡昲㔴㕥㥥㉡捡㉢晡慤挷㉡戹挵㡣〵㠱戹づ㤸挷㡢㠱㙥戸㑥㐶慡㡢㌱换㐸戹扢㥡㌸㘶㘹㔷捡㍥攸慣㕢㉡扣㕤昵㥣㠷㜵っ㐳戳㑦ㅣ㘴㡦㈹ぢ愶㈵昷挲晤㝦敤㘲㉦㍣〵㥡扢㌸ㅣ㐸搷昰㌶摥っ〲戸㥦改㉥㤴戱昷㘸㠹㍡戹昴㉥ㄸ㑡〸㠶扤ㄱ㐷㔰挲㤹㥣㡣㉤ㄱ㝤㌰昸㌱晤㘲㉢〹收摤㝥㠶攱摡慥㌹搲搴敥收搵戵㌶㌷㐷搸扤搸㌵攷㘱敥㜶㡡㘴愱㡤搹㐴㈷㐰愴て扡愲挸ち㠸㈲㉢㐴㠴㐳㌲㌷搳㐹㥡扡㕡ㄷ㐷摡ㅡ㍢ㅡ㥡ㅢ㘳㐵㘴戸攱敤㜷搱㉦搱㠵㜰㔷换晢㐸攷挴慡㌵㝤摢㡡搹㘹㠱㜰㡦挴㠹〴㕤挷昰愳昷收挹㜱㕣晤挶㥤㑡㔸捦〶ㅤ㈸搲㡢攲挶敢晢敢〴搸㐲晣㐷㤶㍢㘴㝣换㌱㐸㘴㑡㔲愷ㄱ㠰晦㝡㌱愰㑣昰㝦挱ㄹ㈰㕤㙥㈳改〵㐰㘸㝡㙢㈴㍥ㄹ扢㈳㕢摢㝡戹扦扦㈸㐲㤰㌹挱戴㠵戹㜵愸づ晢敥戰㥦㙦ㄹ㔶挵㙤㐵ㄴ捣挳愶㥣〲㙥㍡ち㥡㘸㜲〸〷ちぢ㝢ㄷ㘵慢㙢㥡搵戵㥤扢挵挲晦攳㤴㘹ㄹ晡㍦㤹㔳㌳㤶戶㠷㐲㕣㔴攸〶㍡㠳㌷㍥搴㤹㘰搹㥥㌴挰㐱〴㉣〱㈹㍣ㅢ㤹改攳㈵攷㌶ㅢ㥣㍥〷ち㥢戹晤愷愸㤹捤挱攲㈳㠸㑤㐱搸㐶〴㤷〴㝢ㄷ㜱ㅢ㡥收㕤扢愷㥦㝡㙡っ搲〱挵㥢挰戶晥〴搲慥㠱捤慣扦〵㐴㕤づ㈱捦㔵㠳慤戴㘶搱㠴扡挹㌸㐹㔹㡡㜴ㅥ捥㔱〰搷〷㈳㡤挳㠷㕡つ㄰㑦㔴㈴㐶昸㘳て㌴㘶㜹摤收愲慥㐰づ㤷搸㐴㙤㘸戹愶慥〴㡥㑢㌶摣ㅦ㐱昱攴㥡㠱搷㙤㔹攵㔵挸攲扡挱㝣㙣㠵㔸捥换挷㍢戲愹㙢挰昳攸ㄶ〸㉥㐳㐹昹㠹挳㕣愷摤㘹㕢收攰攲ㄶ㥡挱㡢ㄴ扥愹㔵㕤ぢ㥥搳慢㕥づ戸㕡㠳ㄴ㘷㉤㈰㌵㥤愰㔷㠲㙣戸敦慥㤵ㄲ㠰ㅦ㐲㈵㉥愳㙥㐰挲晡ㅢ㜲敢敦㐳愹昷㌰〲㙦捣づ㌸㥣㠰㈳〸攰ㄵ㌶㜶ち扤ち㥣ㄷ挷㕢㝤挵㕡㤱㜶攳㜸㈴㡢ㅤ挵㘲昷㐰㈸㜱攴挵愷攴㐰挴戶㘸昰昶㠴昳て㐸搳戱昷㐲㈴戱挴㕦㝥㝣㘳ㄳ愷㑡挷扡愸晢㤰搳敤㔸㜲昷㡡㠹攵㜱㌴㠰搷㕥㘴晤挷㡢㠶慣昲〱〸扡ㄳ换㜵挰㐹㉣㘵挳〹㤴〴㔴㌹㐴晥昰晤ㄵ扣㠴敦〴攸㔶て㠱㌳攱㔳挱ㄳ㔹㜵㜲ㄲ㍡〹散㠶〳昹〸ㄴ㌰㝥晡㘴慡㜳ㄹ昵㈸ㄲ㌶㤰㐸㕡㠷㥦挲ㅡ㑥㈵昰戱散〰摥㙦搰愷ㄳ昰㌸〰ㄲ挸㌳挰㜹㠱㝣捡㔷㙣㐹㔲敦㤹㉣㜶ㄶ㡢扤〸愱〴昲㙣㜰㐵㡢摡愲愳摡㍢愲ㄸ㤳㜲㌹摡扤㜰㜰㉥戲攸搴㝦〰㥢㍢㡥攷戹愸㤷㠰敡㜶ㅣ㕦〶搸挴昱㝣ㄴ㑦挶昱㐲㔷搹㉢挸敦㑥ㅣ㕦〳捥㡣挹㡢㔰㜲㘳晥愶挵晣㙣㘱愸㤹戴㜷ㅥ㍡㘱㜱㈳晤㥤ㄱ摥搷㔱㔲挲㝢㌱ち慡㌷挰搹昰㕥〲㠱攷ㄱ㝤㈹戸つ㐷昷㉤㤴㤷攸㕥㐶㙤㉥愳摥㐱挲㐶㤷㤳慡㍢㥣㉥〷㐶慦㈶昰摤散㠰㉢〸戸㤲㠰昵〰㐸㜴慦〲攷㐵昷〳㕦㌱摥摣㜱昵㕥捤㘲搷戰搸㘷㄰㑡㜴慦愵挸敢慡戸扢〷摥づ搳敢㤰㘶㜸㍦㠷㈸㜷㜸搷扡愸㉦㠰敡㜶㜸扦〴搸㠴昷㝡ㅡ攰つ搳ㅢ㕤㘵㕦㈱扦㍢攱晤〶㌸㌳㑣㉢㤰㠲攵㤹㜱晣て挴ㄲ挷㥢愱㕢㝤ぢ捥挶昱ㄶ㔶敤戵㕤摦ち㜶挳㠱晣㕥㙡㐱挱摢愸捥㘵搴㡦㐸搸㐰㈲㘹ㅤ晥㘷搶㜰㍢㠱㍦㘵〷摣㐱挰㥤〴晣っ㠰〴昲㉥㜰㕥㈰㔹㠳搵㝢㔰㔲㉦敦ぢ改扦戰㤸〶㐰〲㜹て㐵㕥㘳戰愱て扣つ攴㝤㐸㌳㤰摣㡤㤴㍢㤰昷扢愸摥㐰㜵㍢㤰摣搶㘴〲昹〰つ昰〲戹捥㔵搶ㄷ昹摤〹㈴户㍥㤹㐰搶挲㙥㔸㥥㜱㈶愲戸㌱㑡〲昹㄰㜴慢晥攰㙣㈰ㅦ㘶搵㕥摢昵㈳㘰㌷ㅣ挸㠱㔰㠰㉦敥挷㔲㥤愹㌲愰戸愹捡㍡㥣㜶戸㈳攷㔱搶昰ㄸ㠱摣㜰㤵〵昰㌸〱㑦㄰㌰ㄸ〰〹攴㤳攰扣㐰㜲㤷㤵㉤戶㌸愹昷㈹ㄶ㝢㥡挵戶〵㐰〲昹㝦攰㝡㉤㥡㌱㘳摥晣〹㤸㙥㥦〱〷敢㘴〹昴㜷愴ㄹ挶敤〰捤ㅤ挶㘷㕤搴昶㐰㜵㍢㡣㍢〰㙣挲昸ㅣ㡡㈷挳昸㠲慢㙣㐷攴㜷㈷㡣挳㠱㌳搳敤㡢㈸搹㘷㔶㘳搳㔰晦ㄲ㐸㜶㤹昸㡦愱摣捦㈵㌱晤〷攰慡〴㥣㠹㘹㐰搳つ㥡㍢㑦㌷ㅣ挹ㄱ㈸㠶㉦㌶㘶㔲㠹昸ぢ㝦戹敤换㝡ㅣ㜲ㅢ挹㔷愹昷㌵〲戹㈵㉣ぢ攰㜵〲摥㈰愰っ〰㠹攴㥢攰扣㐸㔶晡㡡昱晣搵敤㈱㙦戱搸摢㉣㌶〶〰㠹攴㍢攰散㔲昶㕤愴㙤ㅣ搷㈳捤㌸㜲㕦㤷挴ㄱ㝦昹㔹昸愰戹㤰㔸ㅢㅤ㠷攵捦㝢㉥㡡ぢ晡㙥挷㜱ㅣ挰㈶㡥敦愳㜸㌲㡥ㅦ扡捡挶㈳㍦ㄹ㐷愹ㄵ㈴戹㤴㘵㍦愳㘹㜵挰㤹㌸晥ㄳ㈵㌷攱㘱ㄳ㈷㌱昱㑥晣㤰㘸攸戰㜹づ㑥㙦㈲㌸攳ㄹ㉥㑤㉡㠷〶㝦㑣㈷愲慣挴昴㈳ㄴ㔵㤳挰搹㤸搲㈱晡㘳㤰つ挷㜴ち㡡攱ㅢ搰㥦㔰〹ㄲ昲㝦ㅡ㘸㤶㤰㝤㑡扤晦㈶㤰㍢搹戲〰㍥㈳攰㜳〲昶〴㐰㘲晡〵㌸㉦愶摣扥㘶㡢戵愱㌲㌷愶㕦戲搸㔷㉣戶㌷〰ㄲ搳慦挱㈵㐷攷㌷攰㘰㤹㡣捥晦㈰㑤搷㜱㐳㥡㍦慡昶㝣挱㥣愰㝣敢愲ㄶ〲搵敤愸㜲㘷㥢㠹敡㜷㈸㥥㡣敡て慥㌲㙥㝡㑢㐶搵㔶㤸㡣㉡つ愳㘹晢〳㘷愲晡㈳㑡づ㥡搵搶戸戸戱㈵搲㌴㤴挳㜴㕡换㠸搹㑤㤱ㄸ㔶ぢ㔹㡥愱摣㌱㈷㈱晤〹攵㔴㍤㌸ㅢ㔲晡㐳晦〲戲攱㤰㐶㔰っ摦㠰晥㤵㑡㙣㐸㘳㐸㔹搷㐳㙥㕤捦ㅦ㔹㙡〵愲攲搹〱㜹〴攰捣㌹愰ㅣ〰㈴愴〵攰扣㤰㜲愷㥤搵换㕤ち㙥㐸昹ぢ㝦ㅤ㘴戱㠳〱㤰㤰昶〲㔷戸㘸捦收㜲㑣户㐵㐸摢愳㈶㥦摥㐰慦㜱攷㕣敥改㌶攴愲摡㠱敡㜶㐰㜹㥤捣〴戴㌷㡡㈷〳摡搷㔵挶摤㜹摤〹㈸㙦㘶㥢愳收ㅣ搸つ换㌳㡦㥡摣挴㈷愱㉢㠶㙥戵ㄲ㥣㍤㙡㠶㈱㌰敤搶晤㤹愴昷扢扣㑣挲扤㝦昸攲㔹ㄴ㔴㘵慡ぢ愸挳㤱戲㡥㠶捣㍡㝡㈰㌰㝡㈳〲戹㌱㌰ぢ㘰㄰〱ㅢㄳ戰ち〰〹攰㘰㜰㕥〰戹ㅢ搰ㄶ㑢㈴昵㙥挲㘲㥢戲搸㠹〰㐸〰㌷愳挸㍢晣〷昴㄰昰㌶㠸㥢㈳捤㈰㜲㠷㕦敥㈰㙥攱愲㑥〶慡摢㐱攴㔶㐱ㄳ挴㉤㘹㠰户昴ㄹ敡㉡攳㉥挲敥〴昱㜴攰捣愸摣ㅡ㈵〷㥢㘳㘶慣ㄵ㡦ㄷ㔹改㥤愴捣㥤㡣ㄶ㘵〶㤷㥢㄰㈵戸晣㔹㠶㍡ㄳ㥣つ敥戶㌴挹昳㠹摥づ散㠶〳捣晤㡢昸㘲㔳㌶搵搱㠹晣㝦㉥愸つ〴〵敥㐸摡㠱㌵散㐸㈰㌷㌷㘶〱っ㈳㘰㌸〱攷〳㈰〱摥〹㥣ㄷ㘰敥㘸戴挵ㅡ㤲㝡㑢㔸㙣㘷ㄶ扢ち〰〹昰〸㜰昹㡢㥡㌱㍥㐷㈲㘵㐳㍢ち㘹㠶昶㙡挰㜲㠷戶搴㐵㕤〳㔴户㐳换㡤㡥㈶戴㘵㈸㥥っ㙤㠵慢㙣つ昲扢ㄳ摡戵挰㤹昱戹㍦散㠶攵㤹㈱攴㔶㐹〹㘱ㄵ㜴慢ㅢ挰搹㄰㡥㠶㠰慤搶搵㐸㙣㌸㜸摣㕦㠹㉦㥥攰㐰㐵愶戲㠰扡〵㈹敢㘴㕡攰〶慦ㄶㄸ扤ぢ㠱摣㝣㤹〵戰㉢〱扢ㄱ㜰ㅢ〰ㄲ扣㌱攰扣攰㜱挷愵㉤戶㌸愹㜷㜷ㄶㅢ换㘲て〰㈰挱ㅢ〷捥慥㠲挶㈳つ摢攴㜸挹慤愳っ摦㠳〰收づ㕦㥤㡢㕡〷㔴户挳挷慤㤸㈶㝣ㄳ㔱㍣ㄹ扥挹慥戲㠷㤰摦㥤昰㍤〲㥣ㄹ㤹㔳㔰㜲挰搴㤵昱戶㔶散㔲㠸戶戶戸ㄷㄱ愴㌱攵㘸㤳㝦晤昳㌷㤴㤲㠸㑥㐵㈱昵㈸㌸㝢戰愴㉢昴ㅥ㈰ㅢ㡥收攳㈸㠶㙦㐰敦㐹㈵攲㌵晣㝤ㄲ㈹敢㜵摦挱㜲㍡昵捥㈰㤰扢㐵戳〰㘶ㄲ㌰㡢㠰愷〱㤰㘸捥〶攷㐵㤳㕢㐴㙤㌱摦㥡㜶づ㡢捤㘵戱㔷〰㤰㘸捥〳挷昵捦搰收ちっ挷昹攰散㜰㕣㠰㌴攳挹㑤㥦戹攳戹㤷㡢攲慥搰㙥挷㤳扢㐷㑤㍣昷㐶昱㘴㍣ㄷ扡捡摥㐰㝥㜷攲昹ㄶ㜰㘶㌸㌶挲㙥㔸㥥㜹㑤昶㙤㐰㈴㜸㡢愰㕢扤〳捥づ挷晤㈰戰㉤搷晢㠳搹㜰㄰搷愳㌸扥昸挵〱㤵㐹㠵昸晢㍥㔲搶搹戴挲ㅤ㤲昵挰攸〳〹晣㈰㍢㈰㐲㐰㤴㠰て〱㤰㈰挶挰㜹㐱攴㔶㔶慢昷愰愴摥㌸㡢㌹㉣昶ㄵ〰ㄲ挴〴㐵㕣搳扢搷搹ㄷ㠳愷㌳㘰㡡㙥㐰㥡㘱攴昶㔴〹㈳晥昲㘳㔷㤵㑣㘳挳慣㡢攲晥搵㙥㠷㤱晢㕣㑤ㄸて愲〱摥〱戳挹㔵昶㉤昲扢ㄳ挶敦㠱㌳挳戲ㄹ㈵㤳换㔸戶㈸㘵ㄹ㥢㝥挱㥤晢㘷㈵戸㉤㈸愷戸㤱搶〶户㤵〶㜹ㅥ搱㑢挱㙥㌸扣㍦㐳〱扥㜸㜲〹搵㈱㈱晦㝦〵戵㘱㠰摣㠶户㡤㌵㜰攳愱攲扥摣㉣〰㍥㘲㑣㜷ㄲ愰〰㤰昰㉥〳攷㠵户挰㔷慣㉤愹㜷㌹㡢慤㘰戱扥〰㐸㜸㔷㔲攴ㅤ晢㜱㘷〰扣ㅤ愵㠷㈲捤昰昶〳㌸昷㈸㍤捣㐵ㄵ〳搵敤昰㠶〱㌶攱㍤㥣〶㜸攱㕤攵㉡敢㡦晣敥㠴㜷㈰㜰㘶㤴㜶挲㙥㍡㉣攳捥挹㐶㠰㐸㈰㡦㠲㙥㌵〸㥣つ攴搱慣摡㙢扢㍥〶散㠶〳㌹ㄸち㈴㤰㝦愰㍡愹ㄲ㝦㌷㠵搴挶㠹㜶戸攳昴㔸搶㜰ㅣ㠱㥢㘵〷晣㤱㠰攳〹ㄸ〲㠰〴昲㑦攰扣㐰㙥改㉢收ㅢ愷㈷戰搸㠹㉣戶㈳〰ㄲ挸㤳㈸昲ㅡ㠳㍢〳攰㙤㈰㑦㐱㥡㠱ㅣ〶㜰敥㐰㥥敡愲㠶〳搵敤㐰敥〴戰〹攴㘹㌴挰ぢ攴ㄹ慥戲ㄲ攴㜷㈷㤰㈳㠰㌳攳昴㑣㤴ㅣ捣攱㠵〷㙥㘴㕢搸㘶㕣㝣ㅦ㠹愲ㄲ攰戳㔰㔲㡤〲㘷〳㝣㌶㑤昲㝣愲捦〱扢攱〰㤷㐱㠱〴昸㕣慡戳〱慥㠰搴〶㤸㐲㌷挰攷戱㠶昳〹慣捣づ攰㙦敥昴㠵〴㔴〱㈰〱扥〸㥣ㄷ攰ㅡ㕦戱㐴㔲敦挵㉣㜶〹㡢㡤〷㐰〲㝣㈹戸摥㡢愲搱愶㔱捤捤搸㥡㠹㈳敡㘵㤰搸㄰㕦㡥㌴㐳捣㉤捤戹㐳扣摡㐵搵〱搵敤㄰㑦〴搸㠴昸ちㄴ㑦㠶昸㉡㔷搹㈴攴㜷㈷挴㔳㠰㌳㈱扥ㅡ㈵昳敢愶捣㠵昵㤹㡢摣愹㠰㐹㌸慦〱㑡㑤〳㘷挳㜹㉤〴㝥て攸㌵㄰㙣㌸愰㝢㐲㠵〴昴㍡㉡戴〱㥤〱㘹㤶㠰慥〵㐶㕦㑦攰捣散㠰ㅢ〸戸㤱㠰㔹〰㐸㐰㙦〲攷〵㜴慥慦搸攲㘴㐰㙦㘶戱㕢㐰ち昷〳愰㝢摢㜸㝢愱㜸搸户户㥡㝢㑤摡晢㈷收㜴㐶㥡昰っ慢㔹搸搷搷㐱搱敦㘱㌳㐷㠱搹㕤㤹晥㔴愹搴攷〳㘲㠷戲㌴㘱搱晥㠳搱戲㜴ㅦ愴㘲摤戶戵ㄳ昹摢㜶㕦㠶ち㘷晥昴敢慦摤慢㠵扤愲搷㌲㍥戰愴扥㍥㔰挴㍡ㄱ㈹㉣㕤㙥挳ㅦ㡥慡晤ㄱ㌳改㐲㝦愶摣晤愸〳慣昴㜶㥦戴戰ㅥ搲㉥㌶㐱愵㙤㕣愴搶㠱挹㡤ㅡ摣㥣㔳搲挴㘷㠸㘶摢攱㤱扡ㄷ敡づ搴慡㈲搶㠶ㄴ换㘲㔶㝡ㄷ㌱愸㠲〶ㄶ㈶㈰摤攰敥ㅡ㙥挹挱㤶㙣散戳㤹搷戱戲〹㝢㥢㤸攴㐳㍥㑣㡡㕢㌸㑣㌶㡣㙥㙤㉢挰晥昴昴挷晡㜸㘵㡦㠵慡摥ㅢ愵㍤㐶㐹㡡㌱㈷づ㙢ち愷㈰㐴㌹换愷㐶㠵㘵昸〹晥〵㡤搹㘸㐶㘳っ㡦㜲㙢㑤㜴攰㐱㡡㉤㜸昶㈰ㅥ昸㠵改戳㜴㝣攱㈴㘸捣㕡㈷ㅢ㔶搰挲㘷㘶㑡愰㐳㑢㕡㕡㤷户㠸㌵㠵敤㝣扥㤸挴户㔷㉦㔶ㄳ㘲㍤晣㙣ぢ攷㠵ㄷ挳㔰ㄶ搶昷愲攲扥昹攱〶搷戹挱晢挰㙦㕦㌷愱㙥㙥㝤扣戲搴㐹㈴㑡㙢㥣戲㐸㘵㘵㑤㐵㑤㙤㘴㜴㔵㑤㐵㜹㔹㡤ㄳ愹㡥㤴㤷㤷㠷ㅢ摤㌲晡㝥㤴〹ㅦ㘴戹〷挸㉤戱ㅣ昳㡡㥢挰戱晥㈰敢晦㕦㝥挲捤搰㡣ㅡ〲挱㜵愰晤敡㈶搴晢昶攳〵晦ち㔹㝦挸㔲ㅦ㌶ㅡ㝣〸攲㍥㄰换昶愳戹㜸搰㔷戸挵搵㘲ㅥ搲昹〸昲攵㐹㥤㙡㈹攴㥣摡㐲慡ㄶㄱ攰搰㐳ㄶ㠶搰㘳昸挳㈱㜴㌰昲挴挵㡦㐳㠰戴晣㔷㙤㔶晡〴搱敥㐷戵㐳捡㘱愴㥦㠴㔴㜵㘶挵㉣户搲愷㠹㐱挹㐲晣㔷㉢㈱㘵㌷㔷攵㌰㠰㥤㡢㉡㠳捦〰㤲戳挷愸㔲挰搸㙢㔲愳㝥〸戴㐸搴㥦㐵㘱㐴晤㔰昰昸〶㠲捦㠱㌷㔱慦ㄹㅤ慦愹㠹㐵㉡愳愵戵㘵㤵戵昱㜸㌴㕥㔹㔵㔱ㅥ慤慡㡤搵㐴慢㥤㘸㈲昸㝣ㄲ㕡㔳敡㐴慢㥣搲㥡昲捡捡捡搲㐸㔹㑤㘹㈴㕡ㄶ愹㠹㐵㑢㙢㐶㔷㡣㉥慢ちㅦ收慡搷㉦愰㡣㝥ㄱ㈴㝣戸ㄵ晤㠳愲㤷㈸㍡挲㡡〸㄰㘸昱㉡㠸㝡愶扦ㅣ〹捤愸㈶㄰㝣ㄵ㌴扤扦扣〶㔹㤶晥昲㍡挴愹晤攵㈸㔷㡢摥ち慡昴㥢挸搷㐳㤱㔲挷㐰㙥晡换㔰昸㍥搹㕦摥〱㠲晤攵て挸㤷晥昲㉥〴㐸㥢晥㜲慣㤵晡愷㕣㜵ㅣ愴搲㕦摥〳㔶ㅤ㙦㌱敦㠳戳ㅦ㜵㠲㤵㝥㐰っ挴搲㕦㑥㠲㔴晡换愶㌰挲敢㉦晦〴㈴㜷㝦ㄹ㥣戵扦㥣っ㑤搲㕦晥㠵挲攸㉦愷㠰攷㈷㝣慡㑤㥣㘶ㄳ愷扢㠹攲㌳㤰攸㤹搸㥤〹捤㙣㝤昰㘳搰昴搸㝤〲㔹㤶搸㝤ち㜱㙡散捥㜲戵攸敤愱㑡㝦㠶㝣㜹㡣慤攲扥ㅥㄳ扢攲㤴搸㝤〹〴㘳㜷㉥昲㈵㜶㕦㐱㠰戴㠹摤㜹㔶晡㌵愴昶愳捥㠷㔴㘲昷つ愴敡㐲㡢㐹㌹㥣㕤㙣愵摦ㄲ㠳愲㜴戴扡ㄴ㔲㠹㕤㤱㉦㜶㥡㐷〷ㅥ〸㔴㌰㙢㤸㉥㐳㈱〹搳㡦挰㈱㑣㤷扢慡㠳㍦㠱㌷挳ㅡ挳㌷㔱ㄵ愹㡣搴㔴挴㘲㤵攵㡥ㄳ㡤㈵㘲戱昲㘸っ挳㍤㍥扡戴㈶ㅡ㤶摤㌶愸㐴晦㡣㌲攱㉢慣㜱扦㤰扢搲㜲捣㉢扥ち㕣捦〴昸㙡㘸㐶つ昸㍤㌹愸收散慤㌹㔷㠷慦戱昲ㄲ㘶攲愹搰收㘱挱㙡つ攴㈶㘴㍦晣攸ㅦ㙥扤㠰㘰挸慥㐳扥㠴慣〸〲㉡收㝦戵搶㑡㔳㠶摢昵㤰㑡挸㐲挰慡ㅢ㉤愶㌷㌸晢㔱㌷㕢㘹ㅦ㘲㈰㘶愶扡ㄵ㔲〹搹㔷㌰挲ㅢ㙥晤㤰㤷㝢戸㝤〱㘸收昴㝣ㅢ㌴㔱愵づ㠳㈲㡥㝦〶捦㑦昸㜶㥢攰㜶ㄹ㤱摣改㈶㡡敦㐲愲㘷愲㜱㌷㌴搳㘱挱晥戰㈶㝤戸つ㠰㉣换㜰ㅢ〸㜱敡㜰晢㡢慢㐵㤷㐱㤵ㅥ㠴㝣㜹㑥戳扡ㄷ㜲ㄳ扢㡦㔲㘲户〹㄰㡣摤㝤挸㤷搸愵っ㥡晢慤㌴㘵戸㍤〰愹挴㙥〸ち慢㜵ㄶ㤳㔲昲㈱㉢摤㠲ㄸ搸㈲㝤攱ㄱ㐸㈵㜶敦晡㘲㤷ㅣ㙥㙦㘷つ搳摦㔰〸㑡〲㝡㙢㔰㠴改㔱昰晣㠴ㅦ戳㠹挷㙤攲〹㌷㔱晣㈴ㄲ㍤ㄳ愶愷愰㤹㙤㐹ㅦ㌴㑦㕢㜹㌵㌳㜷㠰愹昲㘸㙢昵っ攴挶昱㉦愷㌸㝥㌸㄰㜴晣摦㤱㉦㡥㑦ㄹㅥ捦㘶㤵㍥〷愹㌸扥〴㠵搵ぢ㔹㌱戲戱㠵㈶㡣㈰〶〹晣挱㘳㡥㠰ㄵ挷㍦攷㜳㝣㜰ㄴ昲㜲て㥡扦㘷㡤挶㉢搰㐴㤵扡っㄴ搱㜸ㄵ㍣扥㠱㘰㌹㜸㌳昹㐵捡㙡戱㡡㉤㡦㔵㐴㈲戱捡ㅡ㍣戶㝥㜴㜹㔵愲搲愹慥㡡㔷挴攲㠹㥡㐴戰挲㠳㈶捡㉢戰搸慤慣慥㉣㉤㜵㉡㙢慡慡㙢愲搱搱㌵攵㔵戵㤱㡡戲摡㜸㐵㑤㘹昸㌵㔷扤慥㐴ㄹ㕤〵ㄲ㝥摤㡡㐶㔳㔴㑤搱ㅢ㔶攴愱㡡摦㠴愸㘷㝡挰㕢搰㉣〳㜵ㄷ㔴㥤㍥㔰㜷㠵㉣换㐰摤つ攲搴㠱晡戶慢㐵㡦愱㌳㜷㐷扥㍣挰㕣㜱攳㡥改㉦て愶昴㤷昱㐰戰扦慣㐷扥昴㤷〹㄰搰っㄹ㔸敦㔹㘹捡ㅡ昸㝤㐸愵扦㑣〴㔶㝤㤸ㄵ昳㤱㤵㑥㈶㠶㠱挴㝦昵㌱愴搲㕦敥昶昵ㄷ捤㌵戰ㅣㄷ敦捣摡㌵㍥㐱㈱㈸挱㉤㈷㔰㜴㡤㑦挱攳㡢〷愲㠳㌷㕤挳愹㡤㤴㐶㉢㥣戲㡡㠸㔳㔶㔹㔶㕤㔵㤳㠸㔵㔴挵换换㐶㈷攲昱敡搱昱昲攰㜴て㕡㥢㠸㡣慥ㅣ㕤㕢㠳㝦搱捡昸攸捡㐸㌴ㄲ慤㡤㈵捡换㙡戱晥慤㠹㔵㠴晦敤慡搷㌳㔰㐶捦〴〹㝦㘶㐵戳㈸㥡㑤搱攷㔶㐴㠰㐰㡢扦㠰愸㘷扡挶㤷搰㑣ㅦ㘹㉥㜷㌵搷户㥡慢搹昰㔷㔶㕥挷捣扤㘹挹㐴愴搴㌷㤰㥢㘰㕦㤳ㄲ散㝤㠱㘰戰戹挷㐷㠲㥤ㄲ搶㙦戳㑡扦㠳㔴㠲扤ㅦち慢ㅦ戲㘲㝥戲搲〳㠸㠱〵昸ㄳ㔰扦㐰㉡挱扥㍣㙢戰㉦捤ㅡ散㕦㔱㠸愵㜵ㄴㄴ挱㘶扢㈱ち〴㘳攰㑤戰㐷㐷㉡戰っ慡㉣㡤㔷㔷攲摣愶㉣ㄶ㠹㔵搵挴㑢㈳㔵ㄵ㑥㙤㔵㜹㔹愲㍣ㄸ㑦㐲㙢㈳搱ㅡ〴㍣㍥㍡ㄲ愹㉣㉢ㅤ㕤㔳㌶扡慡扣愶愶㈶ㅥ㐹㔴搵㐴㥤㐴㔸戹敡戵㠳㌲㍡〱ㄲ捥戳愲挵ㄴ㌵㔰㤴㙦㐵〴〸戴戸〰愲㥥〹㜶㈱㌴攳㥢ㄱ散愰㤵㑦㘳㘶㉢㉤搹〳㈹㔵〴戹〹昶愹㈹挱㙥〳㠲挱搶挸㤷㘰愷ㅣ㐸㐳㔶㥡㜲㝣攸つ愹〴扢ㄳ㠵㔵㕦㡢㐹㈹㔹㙣愵换㠹㠱〵攰戱㡦ㄵ㔴㠲㝤扣㍦搸摥㡡昷戸慣挱ㅥ㠰㐲㔰ㄲ搰㠷㠲㈲搸〳愹ち㥦昰㐶㌶㌱挸㈶㌶㜶ㄳ挵㠳㤱攸ㄹ挷㙦〲捤慣㈵晤㄰扣愹㤵捦㘲收㤱㌰㔵㕥愶愰㠶㐰㙥ㅣ㝦㐴㡡攳㡦〱㠲㡥摦ㅣ昹㤹㡥摦挲㑡扦㐶挲㝥搴㤶㘰挴昱挷愱戰ㅡ㙡㌱㈹㡥摦挶㑡㡦㈷〶㐵愹㐰㙤〷㉡㡥㕦㥥搵昱㥤㔹ㅤ扦㍤ち㐱〹㥥ㄸ〶ち挷敦攰慡づ㥥っ摥㡣戲搲昲慡搲搲捡㔸扣慡〲昳㘵㌴㕡ㄶ㡤攰㉡㔲㌵㝥㠴㔴㔳ㄱ愹㜴捡ㄲ攱ㅤ摤㌲晡ㄴ㤴〹て戳摣愹攴㠶㕢㡥㜹挵㍢㠱敢㤹㤰㤵㐰㌳扥ㄹ㈱摢搹捡ㄷ㌰昳㙣ㄸ㈱慦慦㔰㈳㈱㌷㈱㙢㑣〹搹㜹㐰㌰㘴愳㤰㥦ㄹ戲㔲㉢㑤ㄹ㉢㘵㤰㑡挸㉥㐴㘱㔵㘱㌱㈹㈱慢戲搲㡢㠹㠱㉤攰〳慡ㅡ㔴㐲ㄶ捤ㅡ戲〳戳㠶慣〶㠵愰〴て〳〶㐵挸㙡愹ち㥦昰㉥㌶戱慢㑤散收㈶㡡挷㈰搱㌳㡥摦ㅤ㥡㔹㑢晡㔸ㄹ㙢攵㡢㤸㜹㌵㑣㤵搷㝥愸昱㤰ㅢ挷敦㤳攲昸㌵㐰搰昱ㄳ㤰㉦㡥㑦㜱㜱㕤㔶改㐴㐸挵昱㙢㔱㔸㑤捥㡡㤹㙡愵㌷㄰〳㕢昰〷摢㙡㈱ㄵ挷捦昵㍢㥥换㔵㔹㝥捣捥敡昸㍤㔱㠸〸㝤ぢ㈸ㅣ㍦ㅤ扣ㅣ㤱㙥〵㙦挶㑡㈵㤶㤵捥攸㡡戲㘸㜵㔹㘵㘵㜹㑤㌴ㄲ㑢挴ㄳ搵攵愵搵㔵㌸㌹慦㡤㡦づ摥收㐱㥤㥡㐴㙤㘵ㄴ搷㕤攳㔵戱㑡㈷㔲ㄳ㉤㉦慤㡡㔵搷挶㙢㉢㑢㜱㡤慥捣〹捦㜰搵敢㍦愳㡣扥ㅤ㈴㍣搳㡡敥愰攸㑥㡡㘶㔹ㄱ〱〲㉤㥥つ㔱捦〴㝢づ㌴攳㡢㥤㔶慣㡣㑢㔱捤㠵㘷㜸慥㤵㐷㤸㜹㍦攵㔱愴搴㝣挸㑤戰挷愵〴㝢ㅤ㄰っ昶〲攴㑢戰晦ち〱㕤挹晦㙡㉦㉢㑤ㄹ㐱㝢㐳㉡挱㝥ㄸ㔸戵搰㘲㝡㠳戳ㅦ戵挸㑡晦㐶っ挴㜲晤㙣㝦㐸㈵搸戵晥㘰昷㤳㠲戸〶㔳㥤㌵搸〷愰㄰ㄱ晡〹㔰〴扢ㅥ㍣㍦攱〳㙤㈲㘲ㄳ㔱㌷㔱ㅣ㐳愲㘷ㅣㅦ㠷㘶搶愲㜹敥慥㜹戲慥㜹㙡ㅥ㜶慣㥣㜷昱昴㌳㤴㌷㈰愵戸〱挶㌸㝥㔴㡡攳㥦〳㠲㡥㙦㐰扥㌸晥㜹〸㤸愰㜲搵㘸愵㈹慢挱㠳㈰ㄵ挷扦㐸㙣㔳㔶㑣㡢㤵扥攴敡㤳㐵晥㔲㐸挵昱挳晣㡥昷ㄶ昹㍢㘴㜵晣挱㈸〴㈵㔸摤㠲挲昱㙤慥敡攰敢攰摤㈳㔲㈴㔲ㄶㄹ㕤㠱昳㍥慣摣换㉢㐶㐷捡戱攸㡢搷㈴攲戸扥㕤㕢ㄹ慢っ户㕢㜳摥㐰㤹㜰㠷攵摥㈴搷㘹㌹收ㄵ㉦〳搷㌳㈱㕢づ捤昸㘶慣摥㔶㔸㜹㌳㌳摦㠳ㄱ昲晡㈰㜵〸攴㈶㘴㥢愵㠴散㐳㈰ㄸ戲㐳㤱㉦㈱晢㈷〴摥㔸㌹捣㑡㔳愶换挳㈱㤵㤰晤ぢ㔸戵捡㘲㔲挶捡㔱㔶晡〹㌱戰〵㝦㜰挵ㅢ㔲〹搹㐰㝦挸扣戱搲㍦㙢挸晥㠰㐲㉣慤㍦〷㐵挸㡥〵捦㑦昸㌸㥢攰ㄶㄲ㤱ㅣ敦㈶㡡晦㠴㐴捦㌸晥〴㘸㘶㉤改㘳攵㐴㉢挷㡦㤷昱愰㐲㤸㉡㉦㕤㔲㈷㐳㙥ㅣ慦㔳ㅣ晦ㅤ㄰㜴晣㈹挸ㄷ挷㝦て㠱攷昸㔳慤昴㙢㈴散㐷㥤〶㐶ㅣ晦㈳戰敡っ㡢㐹㤹挸捥戲搲㥦㠹㐱㔱晣〹愸㜳㈰ㄵ挷攷昹ㅤ敦㉤㥢〳㔹ㅤ㝦㉥ち戱戴收㝢摣攰昸昳㕣搵挱㍣昰㘶慣㔴㔵㔷㤵㈶㘲昱敡搲㐴㔵ㅣㄷ㐰㜰㕥㕣㕤㔶㔶㤳ㄸ㡤戳㈴摣攱㜱慡挳戲㌱㠴㍡昲㔱㈶㝣㠱㌵慥㠰摣㠵㤶㘳㕥昱㐵攰㝡㈶㘴ㄷ㐳㌳扥ㄹ㡢㠸㑢慣㝣㈵㌳㐳㌰㐲㕥㜱愵㉥㠳摣㠴散敢ㅦ晣ㄷ㡡晢〲挱㤰㕤㡥㝣〹㔹㡡攳㔷㕢㘹㑡挸慥㠰㔴㐲ㄶ㐶㘱㜵㤵挵愴㤴㤴㕤ㅥ㌴㘱〰㌱㐸〰ㄵ㔰㙢㐰㈵㘴㥦挲〸㝢愱㌸㜹戱昱㘳㐸㌳慦〹㕦㠷㐲ㄲ戲㡤愱ち㈱㕢敢㔶ㄸㅣっ摥㠴慣愲㉡㕡㥥愸㠸㤶㔶攱㙥㕤㘵㜵㔵ㄴ㑢㠳㐸㉣㔲ㄵ㈹慤㠸㤵攳㥤㤶搱昰昵㙥ㄹ扤〹捡㠴㙦戰摣愶攴㙥戴ㅣ昳㡡㙦〲搷㌳㈱扢ㄹ㥡昱捤〸搹㉤㔶扥㡡㤹㕢挱〸㝤㈴㥤㜵ㅢ攴ㄲ㤲慤㈱㘲㐱晥て㕢㉦㠷敤昴愵敥戰㌸㥢挵㐲攱扢㈰ㄵ慦㙤㡢搲㝤昳ぢ敦〵扦㙢敥挷捣昹㙥ㅡ㤷㘰㉦㐳捡㍢愸㈶攱㥤㔲扣〳ㅢ挸挷㌳㉢ち攵㥥㜱㐱摥㉥扦㑤ㄷ㜷㡡㜰㝢㌱晦ㄷ扥㡥㜸晦㝦攸㘱㍢㤳摢㍢愸㔱㙥㐶㙥㡦〶ㄷ摥㡦收㘶㝤挸㔳㔷㉦挳攴㈱㜸㔰昳戴㜶摣ㄱ挷㑢㝢收户㡥昷㕥挸搹摦摥㈹㉦戱㉦っ摡㍥㈹戱㑦㔳戳挵㘶戵㜹攵昰晥ㅢ散㍥㐱㐶〹㕦㉦㌴㈸挹昹摥㝣㌳㈴㈹挵愳昳昰㐰㉦㈷㙥㌵戶㘳ㅦ㔸㐱㕥扥摡㈹㥢戳摤户扢攰㠵㉡㔶挱愴㤶捥收㑤搰㠶㈱㔹㥥ㄴ㌲愱戱㐳昶㤹っ㐲扥搲昷挱㍤挱ㅤ攱㈸扣㝥㙦攲㜶㘵愳ぢ㕦㐶㈸晥㡢㕡㔲㕤捦㍡㈹〹改攱㔰愹ㅥ㠰㜲敡愳㐸㍤〲㘶ぢ㈴搲摦㔶昲㍣〰㔹㕦改昲㥣㥢㤱昱㑡㤷挷愰㠹㉡昵㈸㔴㠲戴ㄹて㡦㈳㈵晤扣ㄴ㔲㕤〶搲㌷㉦㙣㔷㘳敡㐹㕢挶㑡㔸㉥晣戴㉤㔳㐱㜸扥㝡ㄶ㍣挷㠷㝡ち㜵戳㔳㑡㍦慡㐲愶㝡〱㘲昶㈵愵㥦〳つ㔶㐳㘶摥㔸㌸㕡㍤〶㈰㥢〹㡤㘸㜹㉤搱㉦㝡攸攷㠹摥搵愰㈷攲搵愲敡㘱ㄷ㙤晣㌴㠶攸㝦〰攳昹改㈵㤷愱㌶昵㈶㤸㙣㑥㝢〰㑡戲㍡敤㝥㌷㈳攳ㄵ㉦敦㐰㤳㌸慤づ㌵㈲㙤㥣昶㉥㔲攲戴㠹㤰敡㐹㈰㝤昳搴㝢ㄶ晡㍥㜱昸戰㕣搸㌲攱て㙣㤹㈹㠴攷慢㝦㠱ㄷ愷摤㠵扡㍤愷㑤㐳愶晡っ㔹搹捣扦㉤㤷昹户扡ㄹㄹ㉦㘱昹ㄲ㥡挴晣㔹搰㡢戴㌱晦㉢愴挴晣搹㤰敡㌹戴㈷㉦晣㌵戳昱㔱摦搸㌲㜶㍥㘴㐶昸㕢㕢㘶ㅥ攱昹敡㐷昰㘲晥昵㝥昳ㄷ㈰㔳晤㡣㉣ㄳ昳㥦㤰ち敥つ㤹挴扣慣㑡㕤ぢ㜰㌲收ぢ㠹晥〵ㄸ㉢攲晢㝡戳戶晣㡡㕣㉤㕦敤㘶㘴扣㘱㠵㜷㜰愵攵昵愸〴㔵㤸㤶昳㌶慥戴晣㐰㐸㜵㠴㈴ちㄲ㔲㜲捦ㄶ㈸㙤㔷慣ㄲ㍣换㠴㜹扢㔶捡挵㠱㐶敢㜹㝢㔵㕡㝦愱扦昵〹㘴慡㐱挸捡ㄶ扣㜳㜲㌵攱㙣㌷㈳攳㍤㈸扣㤱㈹㑤㘸㠲㕥摢〴㌵挴㑡㙤㜸㜸㘴〹㙦〱㈹扥㔸搹ㅢ〳㜹㘳㔱っ㍣摤㙦攰㔲ㅡ戸〳戲戲ㄹ㜸㔲㉥〳㑦㜴㌳㌲摥㐵挲ㅢ㝥㘲攰㌲扦㠱㈵㔶敡ㅤ㘱㘹㈰敦摤攱㡢㡤昶挶㐰摥㙢ㄳ〳晦攸㌷昰㄰ㅡ挸㍢㕥愶晦㤴㈳ㄵ㍣っ㌲㤹㘶换㙢搴㌱〰摢㈱ㅦ搲㐷㄰㕤攵愱㜹て㉥㜸愴㐱攳㜵挴㌵㙡㤵㡢㐶戵㤸㘱㡥㈶㥡㌷搸慣〲㔵敤㌲捣㔷扣㕦㤵捤㉤㠷戸慤捦㜸㉤搴㑡㌷㈳攳搵㈳扣慦㈵㙥㌹ㅥ㌵摡戸㠵㜹㜳ぢ㕦扣晤て㔲㝤〲挹㠹㈰㈱㌵搱挲㔳收搸挹ㄶ㝥㌲㐰攸㜱扣〱㈵晥㙡㐳戵摥㜴㜱㉡㌲ㄵ㙦ㄶㄹ㝦敤㠹㔴昰㜴挸捣ㅣ㕢愵㕡㔲㍣㜰㈶搱㌳㍤㌴㙦㑣〵捦㌶㘸捣戱㔵敡㈰ㄷ㑤攳㐳晡㕣愲㘷〱攳昹㡢㜷㥦扣愱扡㌷㤸㙣晥㜲㕣户㘴昸㉢敥㘶㘴扣㡤㠴户㠶挴㕦ㄷ愳㐶敢㉦㈵昷㝣攸㉦敢ㄶ改攷扣换㠳㙦㐰㕦ち㉣摣挲㕢㌵攲㤶〳愱摤㜳换攵㌴㥤户㔵㡣㕢㜸晦㈶㜸〵㘴挶㉤搵㙡㍦户愱㔰㠴㠶㕥㐵㜴挲㐳挷㠹扥挶愰攱㤶㙡戵㡦㡢㌶㙥㔹㐳㌴敦捦㜸㙥攱㝤ㅡ捦㉤慤㘰戲戹㘵㥥摢晡っ户捣㜵㌳㌲㕥㍥搲〶㑤攲㤶㥢㔰愳攷㤶㑥㉢戵挳㥦㤰昰㜲㐸昱挵㠵㐲㘰攱㤶㐳挱㠸㕢㘶㐲扢攷㤶摢㘸晡㤱挸捡㘶攰戴㕣〶㑥㜵㌳㌲㕥〰挲㥢つ㘲攰摤㝥〳㡦戳㔲㙢愰挴㡤昷つ昰つ攸㝢㡣㠱扣昸㉦〶㑥昴ㅢ㜸ㅦつ攴㜵㝢ㄳ㌷摥ㄱ〸㍥〰㤹㌹㝣搴慡㜱〰㕢㑦㠷昴㍡愲㑦〵挶㡡搴搹㘰戲戵㙤搷㕣㙤摢挵捤挸㜸㝦〷慦捡㑢摢ㅥ㐵㈵㥥昳㉦戴㔲摢㌶㜱晥挵㤰攲ㅢ搰㡦〳ぢ攷昳㉡戹戴㙤戴扦㙤㑦搲摡慢㤱㤵捤挰戲㕣〶㤶扡ㄹㄹ敦搰攰搵㙢㌱昰㔹扦㠱㙢慤㌴㘵敥攵㠵㘸㝣〳晡㜹㘳㈰慦㈶㡢㠱㍢晢つ㝣㤱〶昲捡慦㜱晥慤㐸〵㕦㠲捣っ㥡ち㌵っ㘰敢改㤰㝥㠵攸摢㍤㌴慦㌲〷㕦㌳㘸っ㥡ち戵㥤㡢愶㡤㈱晤〶搱扣㠴㑣〵ㄴ愹㍢㕤〶㘹扣㡡〹㑣㌶户㙣〵㜴搶昵摡㤶㙥㐶挶摢㌳㜸㥤㔷摣戲ㅥ㌵摡戸㠵㜹戱ㄷ㕦㕣晣㠲㔴扦て㠲昵摡挳ㄶ㙡㡦昲㉣ㄷ晥㥢㠵㝥㐸㔴扥攲挵㔸昱搵㈶愸搲ㅢ㐹ㅦ㈱㔳昱攲㘷㌶慢〷收戲㝡㠰㥢㤱昱㕡ぢ㕥㈴ㄵ慢㍦㠳㕥捦㙡㕥㈹挵ㄷㄷ戹㡣㈹㉦㕡㤴㥤ㄱ㠹っ扦㘴㔱㕦ㅡ搴㙢攰挵攰扥㝥㠳扦愶挱扣晥㘸㠲换㉢㥢挱晦㐰㘶㠲㕢愹㌴挰挹攰㝥㐷㌴慦㕤㕡㤱㝡て㑣戶戶ㄶ攴㙡㙢扥㥢㤱昱㤶ち㕥㕤㤴戶晥㠲㑡扣戶昲ㄲ㈳扥㜸戲〵愴㥡㍢㌶㄰㈱戹㤶㐸㘱㑡㠴㜸昵㔰愰㜹㐴攵㉢㕥〲㤴〶晦晣扤㉦㐲〵挸㔴摦㈰㉢㥢搵摦〱㤹戵㕦㝤敢㘶㘴扣㍥㠲㤷收挴敡㄰昴㝡㔶昳晡ㅣ扥㌰㄰㔲摤㠷昶攴愹ㅦ㉤搴㑥ㄲ㌲〱昲搲㥢㐰晢ㄱ㠵愷搶愳㥤㘲昵ㄷ㝥慢挳挸㔴昹挸㌲㘱攲㐵戵攰〰挸捣〴㔸愳㍥〵搸挶㈴愴㌷㈲㥡㤷捤慣㐸昱㠲㔵戶〶晦㌳㔷㠳㍦㜴㌳㌲㕥〹挱ぢ㕢搲攰捤㔰㠹㙤戰ち㕢㘹㑡摢㜸㡤㑡摡戶㌹戰㘸ㅢ㉦㌴㐹摢搶晢摢戶㈵慤攵㌵㈲搳戶挱㐸〵㠷㐲㘶摡㔶慤摥㑡㘹摢㌶㐴㙦ち㡣搷戶慤挰㘴㙢摢慢戹摡昶㡡㥢㤱晥㐶㠷昰搶搰㈴昶づ㐳㈵㝡㌸挹㑥㈰愱挲㙤㤱㤱昵㉣㕥㥥愶㍣搲㍣㜲㌶昹ㄲ昵㘲㠴扥㌰挱㕦㠱昴㑥㤸㜷㤸昳昲㡣㍣戹扦㐹㝥㐲搱〷㑦㥦㙤挳㙢捣愷攳㠱捡㜸收散扣㐶昷ㄵ戰搳昰愰㘵㍥晢搳㍥搵㔴ぢ挷挲挱挴慣㌶㍣收戴㔷㘲㕡㍢ㅥ摢ㅣ㉦挲扢㠱㍢昰㕡昹㤶摦挳慦㤹昰愳㤶〲昶㘵昴〷扥㜵㈱㉦敢敦㐹㡥㐵㜶晡㔳㔰㝤捦愶㑥晡挳㍥㥦㍣㡦て慤晤㙤扦㘵ち㤶㈰㙡挹昷㔹㉦攳戵愲昶㍣昵〲攲㉥㤷㐱㍦㉥摦㔴慥㉥昰㈲扡ㅥ〱㙣㜰㈴〸㕦愱慢愴ㅤ昸戵戶ㅥ〵㠹晣㜸㑦㐸愰㤰㔷扦搲ㅢ挶㕦昷㑣㘶㠹戴㌷㜱昷敥捤搶捥㍢晦㉦攳㝥慥搸㝦㝣挱㜰ㄴ敤敡搲ㄱ㐷㔱慦收晡㐸㕢㕢㘴㘵㔱㜳㝤㤳搳戲戸愳愱愸ㅥ㑦㈹㘹挷㜳戵昱戳㌶扣㜵㔹㤷挱ㅥ㔶挵晦攱㔱搰㈸ㅤ戵㥣㔶㔶㤰㔴㠲㠴㔴㈹㌲㘴㠴㍤㠹戶昲愸㌴っ昰㈲㍣㝡愶捣㘶㍣攱㘶っ㐷㠶慥㐶㈱㔵㠱㉣㜶昰㘰つ戸㑣慦㍤㙡扤挶昷㈷愳㄰㍥昰摡㉥慣昳㘲愴㤳ㅥ摢㡤㈲晥愲搵㜸㑣昱㍡て扤戶㘶散㐷攳㡥ㄸ㜷挲㜸㔵ぢ㠶扥搰扢〳㘹㍦㡡㤷㙣㐴㍡ㄶ㔲㜱㍦戲挲㜵㤰㑡ぢ挷㔱敢㜸㤲〹㈰㌸㉢㐲㠶戴昰扥戴ㄶ㑥戲ㄹ昷晡㕢㌸〹㠵ㄴ慦慣戰㠵㥡㉤捣㔳㜷摢ㄶ愵昴㠳愹慣㈳戵㐵㝢㔰攴㙢搱㌴攸昰户㈸㍣ぢ〲戱㜲㍡㤱㌳㐸㘶㠲㠴搴㙣㘴㠸㤵户愴㔹㌹挷㘶摣散户㜲づち愹㜹挸昲㔹㜹㠳戵搲㝡敡ㅣ捣扢㝡㍥敢㐸戵㜲㉦㡡㝣㔶昲㕡㡢摦㑡戵㄰〲昱昰㍥㐰㝡㝤愸ㅥ㔲戱㝤㈱换敦㑢戲〸㈴愴㜸〹㐴㙣扦搲㌵戱㍦㉣㈸挲搵搲㠸捤戸㈲慤㔱扣㔴㈲㈵㔶晢ㅢ㔵て㙤㡡搷㐵㝣㡤扡搴㙢搴慦㠱㘴㘷㡡戲昲搴㐶挵㈹昲㌵㡡㤷㔰晣㡤ち昳摡㠷㤸㥦㈰㜲㌱㐹〳㐸㐸昱㐲㠷搴挸㐹㈰㑦㥤㘳㙢㑣〹昶ㄲ攲㌹攸㤳摤户㤹㈲㕦㡤㑢摤ㅡ敤㌰づ昳㘲㠶搴搸㑡攴㔲㤲㠳㐱㐲㡡㔷㉥㝣㙤㍣搹搶㠸ㄶ㈶摢搸㐱㝣㙡ㅢ㤷㔱攴慢㤱ㄷ㌹晣㙤㔴扣㡥㈱㠱㕢〱愴つ㥣攲昵ち㤱慥昴㐹挳扣愶㈰搶ㅤ㐲慤㠷㤲ㅣ〶ㄲ㔲㝦㐲㠶〴攷ㄸ㌷㌸㌶㥣扣搴㈰ㄹ㐷扢ㄹ㜶慥攰攵〷挹㌸捡捤㤰戹攲㐸㘸㔳扣攸攰㙢敡ㄱ㕥㔳晤㜳挳㌱慣㍣戵愹挷㔲攴㙢敡愹搰㤳搲搴㌳㈱㤰㐶晤ㄱ㐸㍢ぢ㈸㕥㙡㄰改昱㍥㘹㤸㤷〳愴愹㝦愲搶ㄳ㐸㑥〴〹愹㑢㤱攱戳慥摤戳捥ㅦ㠸㔳㠸㑦戵敥㌴㡡㝣搶㕤づ㍤㈹搶㕤㘵敤㌸〳㐸晢㔱㙢慣昴㑣㐸慤捤攱㥢㈰ㄵ敢捥愲搶戳㐹捥〱〹㈹㥥㠲晢㍡㘶㠳戵㉥愵㘳㥥㑦㝣㙡挷扣㤰㈲㥦㜵户㐱て慤昳㍡收摤戶挶㡢㠹扣㠴攴㔲㤰㤰攲㌹戵慦挶晡慣㌵慥㈶㍥戵挶㉢㈹昲搵挸搳㙦㝦㡤㙡ㅤ〴ㄲ㤷慢㠱戴ㅤ㌳捣㔳㘲㘹昹㌵㉣㝦㉤挹ㅡ㤰㤰㝡㍣搵㡥〵㔹敤戸㥥昸㔴㍢㙥愴挸㘷〷㑦㤵晤㜶㠴㜹㡥㉢㌵摥㑣攴㉤㈴户㠲㠴搴昳戶㐶㌳攳㑦户㌵ㅥ㜹愴㙦㐸摥㑥㝣㙡㑦戸㤳㈲㕦㡤㍣昷㘵㡤摥㌱散ㄵ㌰搲昲扢㠱戴ㅦ挵搳㔸㤱晥〵㔲慦㈷慣㠷㔴慣扢㠷㕡敦㈵戹て㈴愴㜸戶㈹〳㙣〲散昲ㅦ愵摦户ㄹ攳摤っㄹ㜹て愲㤰攲㘹愷慦㙦敦㙥㕢㤴搲㝢ㅥ㘲ㅤ愹㉤㝡㠴㈲㕦㡢㍥㠲ㅥ㝦㡢挲㥦㐱㈰㔶㍥㑡攴㘳㈴㡦㠳㠴搴攷搶㤸搱㈹㔶攲㉤摢愹愶㔴㕡㔳㔲ㄶ〸㑦㔳㔱慡㈹捦㔰攴㌳㠵攷㥥㝥㔳ㄴ㑦㉦挵㡤捦〲改戹㤱攷㠳㘲攰㜳㉣晦㍣挹ぢ㈰㈱挵㔳㐲㜱㘳㐹㡡㠱㔸㠲㈲㕢㌲㜶㜲㌳挴㡤㉦㐱慡昲㐰㝣㙥摣搱戳ㅤ㙦㍦㌴攱挴攲收㔵㠰搲㙣㝦㥤㈲㥦敤㍣㡤昴摢ㅥ收昹㥦㔸昹㈶㤱㙦㤱扣つㄲ㔲扤㐱挵㤸慤搲慣攴㘹愱㘴㙣改户㜲㍤愴慡ㅦ㠸㙦攰づ㐹㕡㜹㘴搲捡て〰㑡ㅢ㌰晦愴挸㘷㈵㑦ㅢ㘹愵㥤㉡搴㐶㄰㠸㠷晦㠵㠴㌷㜰㌷〳㈳戶㝦㡣㠴晥㠴攴㔳㤰㤰摡ㅣ搴攷慤晥搶㡥㤴㑥昷㌹昱愹㤱晥㤲㈲㥦ㅤ㍣挵昳㝢㑢㙤〳㠱搸昱㌵ㄲ搶づ㌵っ㡣㜸愴户敢㤱摤㄰㤲愲扣愰攲愹㤸㘴㠴摣㡣㌱㤲愱搴㑥㌶㐳扢ㄹ㘳㤱愱扦㠳戴㜰〴㐸户㑦㌸㜸㐶晢ㅢ㥦㉢昰㍤敡㔱㍣㕢㤰戳攲ㅦ摣〴㤹攲㌲㤷㈹攲ち㕦㤵㠳㤳㐶ㄴ愶戵㡥敢㜷挹㈸㐸㙢㕤愵捤挸昷户敥ㄷ㐸㡢戹㜲敦〷慤扤㥥挵㕢ㅣ㍥挸敦挸扢㈹晦㈲昵㔸摥攷㠱〲慣㘸㥥㐵挶换㉡㍦愰㜶〱㡡㝥搰扦㠲愸摤㐸㤰愵〳㌸愷戰㑥㉦摥ㅤ㔲㝥㡡㡡挷扡昹㐵㘴搵㌸㜰㘲搵慦摦㤹㐹捡〶㠳㡢㜱挹昸挵捤戰挱㤸㘰㌳㝥㜶㌳㈴ㄸ〵愸慣㤸换㜰扥㜴㐸捣扤愲㘰㥢晣㠷昳搶慢㘳昳㍦て昰昱愷摢㘳挴ㅥ〰㜳户㔷〵〱㌵ㄵ㐸㌱戹㄰攵搴ㅥ攰挴攴愰捦㘴挵搵戶㔸昰㝤㥡㘹㌳㙣挶㜷㘹愶捤戴ㄹ摦晡㑤ぢ搱戴㌹挸敡㥥㘹昳㠱ㄴ搳㝡搳㌴㉥扢挵戴㍥㍥搳㡡戹挴愶搴㠴㝣㈱㌸㌱昴慢㌴㐳昷戵ㄹ㕦愶ㄹ捡㈵戸㤴昸挲㙦㘸㤸㠶搶㈳慢㝢㠶㐶㠱ㄴ㐳晢搳㔰㉥愵挵搰〱㍥㐳ㄵ㤷捤㔲搱愷㘹愶㜱㈹㉤ㄹ㥦愴㤹搶㘰㌳㍥昶㥢戶㌱慢攰㜲㕡㉡ㅣ㑣慥ㄹ㥣㔴戸〹㌹昶㈵晥攷慡㔹昴㝥㤸㔶攱㔲㥢昱㐱㕡㠵〷摢㡣昷晤ㄵ㙥㑥愵ㅤ挸㤲ち户㈰挷㠵戴㔴戸㈵㌸慦㘳㜳搱㑣愹㠴愲㜸愵㥦㔳㠷㠰ㄳ㘳摥㐹㌳㠶ぢ㘷挹㜸㍢捤㤸挳㙣挶㕢㝥㘳戶㐱㠵挵㐷㈲换ぢ捣㍢昹ㄷ攴㍤㥣昷㠹㝡〸㘳㜱〸慡㝦ㅢ〶つ㐱攷㝥ㅢ㌳慣攲捡㔸捣摥ㄶ攵ㄴㄷ挵㘲昶㜶攰㍣戳戹〰ㄶ戳㘱㝡愰昸㜸㍦愷戸攰ㄵ敢㕥㑢㌳晢〴㥢昱㙡㥡搹㕣ㄸ㑢㠹㔷晣㘶て㘳昵愷㈰㑢㡣ㄹ㑥敥㌴㜰㘲捣㑥㝥㘳捥㠰㤴㥦愲㘲慥㜱㍤戳搴㔹攰㐴敤㡢㘹㠶㜰扤㉢ㄹ㉦愴ㄹ挲㌵戰㘴㍣敦㌷㘴㈴慢㍥ㅦ㔹㘲挸㈸㜲㕣敥㡡㈱愵攴㔰户晣攷搲㔶㡡㍦㤳㔶攱㈵㌶攳晦搲㉡扣搴㘶㍣敤慦戰㤲㑡㔷㈳㑢㉡慣㈲挷搵慥㔴㌸摡㔷㘱㌱㔷戶㤴㥡㠱捣ㄵ慤㔴晦㜸㕡昵搷摡㡣挷搲慡攷捡㔷㑡㍣敡慦㝥ㄷ㔶挱㤵慥㔴扦㉢㌹㉥㜲愵晡摤㝣搵慢㥢㙤昱㠷搲㉡扣挵㘶晣㌵慤挲㕢㙤挶㍡㝦㠵攳愸㤴ぢ㕤愹㜰㍣㌹慥㜱愵挲〹攰扣㙥㜷㌷愴晣ㄴㄵ晦挵捤㌷㠷〱慥㕤愵ㅤ昷愵ㄹ㜲慦捤戸㌷捤㄰慥㜱愵挴㍤㝥㐳㈶愳戲攲〷㤱攵㡤㤴㉥て〳㕣挹㡡挹㔳㘸㌲ㄷ戱㘲昲㔴㥦挹㡡ぢ㔶愹攸捥㌴搳ㅥ戳ㄹ㜷愴㤹挶㠵慤㤴戸摤㙦摡㜴㔶昱㌴戲愴挲ㄹ攴戸㔴㤵ち㘷晡㉡㉣㝥搶㤵ㅡ捦㍣㘷㤵摤㤲㔶㍤㤷愸㔲换捤㘹搵扦㘰㌳㙥昲㔷㍦ㄷ㔵ㄴ㜳㜱摡㍤捦扣ち愴ㄸ㍡㡦㠶扥づ㑥っ㥤敦㌳㔴扤㘹㉢㕡㥢㘶摡㕢㌶攳扡㌴搳戸㔶ㄵ㥢搷昸㑤摢㠷愶㜱㐵敡㤹㜶㐷晥搱㤸摥搶慢搵㤸摥㝡愱㘲㍥搵扡ㄷ㤷ㅡ㍣㜶㜳㐵㉡愶㉤愴㘹晦〴㈷愶敤敢㌳慤㤸ぢ㑦㑡捤戸攲㠲㔳慡扤㉡捤㔰㉥㐲㈵攳捡㌴㐳㍦戵ㄹ㔷昸つ㍤㠰ㄵ㜲㈱㉡搵搷㤳晢ㄲ㥣㔴㝦㈰㌹搴挸晦挵㕦扢㔲㜳㔰攰㐲㜱㙦㠸昳㔶愸搸㠱昱〳て晣慥戸㘰攸㘶〵晢㡣敢㜳晥摢㑦扣㝢挶ぢ晢㡤昹昰愷㡢㉥㝡攱扤㌳㥥晡改摥攸㤸㐷㔷慦㝥㜸㡦㑢㥦㝡㜷㐰攲戲扣㍢扥㥢㝥搹㘱㘵㑢づ㍢㌸戱㘰愷㈹㠷㉤㍣㘸㑥搹散晥㈵昹昹扤㝡敤㌸昰戱㑤㠶㠵㡦㍣昸㉥戵敥㤵挱㉤敡㝢㙢㐴挴㘷㐴昸〷㐸㘵扤ㅤ㠵戴㙦㝥㌱㔷㜴㍤㙡挶慦搶㡣ㄸ㉡攴㤰挷㌹〱㘲ち㐶捣㠸㈳愱ㅤ摡㤲㔷捣攵㕡㡦摡㈲敢㍡㔴慦ㄳ愸㠹戶搰㠴㌰搷㜷㘲换㘲㈴㜴〳〸㙣攱晡慣㐷㙤㤱㠵ㅣ㙤㘹㐴㑤㥥㉤㕣搰㠹㉤〷㈱愱㤷㠰挰ㄶ㉥挱㝡搴ㄶ㔹慢搱㤶㈶搴攴搹挲㌵㥢搸搲㡣㠴收捤〰搸挲㌵㔷㡦摡㈲换㌸摡搲㡡㥡散搸〹㜳㌹㈷戶㉣愵ㄹ昹挵㕣㠹昵愸ㄹ戲戸愳ㄹ〷扢㘶搰㉤㘱㉥昲挴㡣㌶㈴㜴㍢〸㕣挲㠵㔸㡦摡㈲㉢㌶摡挲ㄷ昱搱づㄹ㐲㕣戹㠹㉤㥤㐸攸㘵㈰戰㠵慢慢ㅥ戵㐵ㄶ㙣戴㘵㌹㙡愲㉤㍣扦っ㜳攱㈶戶慣㐰㐲慦〴㠱㉤㕣㘰昵愸㉤戲㘶愳㉤㠷愰㈶慦慢㜰敤㈶戶ㅣ㑡㌳昲㡢戹散敡㔱㌳㘴㈵㐷㌳づ昳㥢挱ㄵ㥤㤸㜱戸㌱㠳换慦ㅥ㌵㐳㔶㜴㌴攳〸扦ㄹ㕣搹㠹ㄹ慢㡣ㄹ㕣㤴昵愸ㄹ戲捥愳ㄹ㐷扡㘶挸挰攱㝡㑦捣㌸ち〹㝤㌴〸㍡〸搷㘵㍤㙡㡢㉣攰㘸换㌱愸㠹㜶攰㔸ㄴ〸㜳㈱㈷戶晣〱〹㝤㉣〸㙣攱㐲慣㐷㙤㤱戵ㅤ㙤㌹づ㌵㜹㠳㤸㙢㍣戱攵㡦㐸攸攳㐱㘰ぢ㔷㘵㍤㙡㡢㉣摦㘸换㥦㔰ㄳ㙤愱〹㘱㉥攳挴㤶ㄳ㤰搰㈷㠲挰ㄶ㉥挳㝡搴ㄶ㔹慦搱㤶㤳㔰㤳㘷ぢ搷㙤㘲换挹㐸攸㔳㐰㘰ぢ㔷㕡㍤㙡㡢㉣摥㘸换愹愸挹㥢㔰戸㠸ㄳ㕢㑥愳ㄹ昹㘱慥愷㠴㍦㕤㜸挵㤵㤴慣ㄷ㕢摣㘵攱〴愸㈸挲攳㈸戹攲ㄱ攰㤹㐸攸戳㠸捥㔳㕣昰〸㝡㐹㉡㕡㜱ㄱ㈴ㄹ〷戹ㄹ㕣昸敡㜳㈱つ㜳戹㈲㡡捥㐳㐲㥦て〲㐵㕣慤〸㍥㤱愶㠸㉢ㄸ挹㜰晣㡡㉥㠲㌴捣戵㠶㈸扡ㄸ〹㝤〹〸ㄴ㜱愹㈱昸㐸㥡㈲㉥㍦㈴攳㐰扦愲换㈱つ㜳愱㈰㡡㔶㈳愱慦〰㠱㈲慥ㄳ〴扦㕦㥡㈲慥ㅤ㈴㘳㤱㕦搱搵㤰㠶㜹㤴ㄷ㐵搷㈰㠱㝤㍡㍣扥ぢ㜴㥦㔴ㅤ㘱ㅥ㠷〵戸挶〰㜹〴ㄶ攰㕥愹㐰挵愳戲㘴㉣昰㔷㜶㍤愴㘱ㅥ㍦㐵挷つ㐸攸ㅢ㐱㘰㌵て㥦㠲㥦㤳愶㠸㠷㔴挹㤸敤㔷㜴ぢ愴㘱ㅥ晣㐴搱慤㐸攸摢㐰愰㠸挷㍥挱㑦㑦㔳挴攳愱㘴散改㔷㜴〷愴㘱ㅥ戹㐴搱㥤㐸愰昹㍣㘶〹㜴㙡慡㡥㌰㡦㉤〲扣摢〰㜹㔴ㄱ攰攴㌴㈰㘷㝦〱摥㘳㠰㥣昷〵㌸㌱つ挸昹㔹㠰昷ㄹ㈰㘷㘶〱㑥㐸〵㉡捥搶㤲㌱摥捤㤰㡥昹㈰愴㘱捥慢愲㘳ㅤㄲ晡慦㈰昰〳愷㔵挱㡦㐹㔳挴愹㔶㌲㜶昳㉢㝡〴搲㌰㈷㐵㔱昴㌷㈴昴愳㈰㔰挴㌹㔱昰㌵㘹㡡㌸㑦㑡㐶戵㕦搱ㄳ㤰㠶㌹愳㠹愲㈷㤱搰㑦㠱㐰ㄱ㈷㌴挱㔷愴㈹攲㈴㈷ㄹ攵㝥㐵捦㐰ㅡ收㜴㈴㡡晥㡥㠴㝥ㄶ〴㡡㌸ㅢ〹㝥㘴㥡㈲捥㔰㤲㌱挲慦攸〵㐸挳㥣㑢㐴搱㡢㐸㈰挴㥣㐵〴扡㔳慡㡥㐲㑥㈷摢㘵晢㔵㤸搹改㤵摣愶挴㙢〰扡㜹ㅥㅥ㠵换つ㑢愱㘶晥㐶㑣㝥㉦ㄶ㙣收㑢敤㕢晡扢㑦㉥㉥昱㌰〳㍣㠹㠷敤攷㠹愴捣愶收㤵搴㤱㘸㤳㐳㐸㐹㔲改愰昴ㅣ挱愳㐵㙣㔴㘰㥢摣〶㕢〳昹㉢扥㈲搵㙤㘰㤱㘲〱晤ㄲ扣挱㡦㑡愶㠴㔵㥣㑣改㉡晤㌲㠸㑣搲挹㤴戰㡡㌳慤㈰㕥㐱㠲㔶㉡敤愵㠴㔵㥣㔵攵㜴晤㔵敡攰慣㉡昸搷㤰㤰㑡戴㤷ㄲ㔶㥤㙦ㄱ慦㈳㘱㌴㝡㈹愳㤱搳慢㘸㝣〳〹挵改㔵㌴扥㠹㠴搱攸愵㡣㐶捥扤㠲㜸ぢ〹愳搱㑢ㄹ㡤㥣㘷㐵攳摢㐸㈸捥戳㠲㝦〷〹愳搱㑢ㄹ㡤㥣㠴〵昱㉥ㄲ㐶愳㤷㌲ㅡ㌹攱㡡挶昵㐸㈸㑥戸㠲㝦て〹愳搱㑢ㄹ㡤㥣㘹〵昱㍥ㄲ㐶愳㤷㌲ㅡ㌹慢㡡挶て㤰㔰㥣㔵〵晦㈱ㄲ㐶愳㤷㌲ㅡ㌹攵ち攲㥦㐸ㄸ㡤㕥捡㘸扣〵ㄹ愲昱㈳㈴ㄴ愷㔷挱晦㡢ㅣ㜴㈸敤愵㑣慣㌹昷ち攲㘳㈴㡣㐶㉦㘵㌴㜲㥥ㄵ㡤㥦㔰〷攷㔹挱㝦㡡㠴ㄸ愵扤㤴戰㡡ㄳ慣㈰晥敤㈱扣㤴㐱㜰㘶ㄵ挴㘷ㅥ挲㑢ㄹ〴愷㔴㐱㝣㡥㠴戱捡㑢ㄹ慢㌸㝤㡡㔵㕦㈰愱㌸㝤ち晥㑢㈴㐴㠵昶㔲㐶㈳攷㔶㐱㝣㠵㠴搱攸愵㡣㐶捥愳愲昱㙢㈴ㄴ攷㔱挱㝦㠳㠴搱攸愵㡣挶㐷㉤攲㍦㐸ㄸ㡤㕥捡㘸攴㠴㉡ㅡ扦㐵㐲㜱㐲ㄵ㡤摦㈱㘱㌴㝡㈹愳㤱戳慤㈰扥㐷挲㘸昴㔲㐶㈳㘷㔶搱昸〳ㄲ㡡㌳慢攰㝦㐴挲㘸昴㔲㐶攳戳ㄶ昱ㄳㄲ㐶愳㤷㌲ㅡ㌹挵㡡挶㥦㤱㔰㥣㘲㐵攳㉦㐸ㄸ㡤㕥㑡搸㐲㑥㉢摤㤸㡡搸戹㝥攳㑤搹㕦㘹〸攷㈶㔶愵〳㤸慣搵㉢㤶㔳攴㘴捥㠱㝥㥤㈷ㄷ㜳捤慡㔷㜱挶㤱ㄲ昹挴㜰㜶ㄱ慥㠰㥣捣㈹㉣攱摦攲慣㌸愳〸㈶㐸っ㘷て攱㝡㤱㤳㌹挳㕦㐲㐶ぢ㘷っ挱㘸㘲㌸㍢〸ㄷ㈲㈷㜳㐲㐶〹捥〸㠲改㐳っ㐷扦㜰㝤挹挹㤸㘷〹晦て㍢ㄴ㐷扣㘰㡡㠹攱攸ㄶ㉥㑣㑥挶㌴㑢搸㤶换捤㘹㡥㘸挱っ㈰㠶愳㔷戸㠱攴㘴捣晡㑢㐸㍢㌸㘲〵㌳㠸ㄸ㡥㑥攱㌶㈶挷㤱㈸摣㘰㜲ㅣ㜵挲㙤㐲敥ぢ㜰㔴㤰㙡㌱㐷㥡㘰㌶㈳㠶愳㑡戸㈱攴㘴㉣戱㐴㡡攷㌹㤲〴戳〵㌱ㅣ㌵挲㙤㐹敥㕢㜰㔲㐷㑡ㅢ㌹㔲〴㌳㤴ㄸ㡥ち攱戶㈶㈷㘳挱㕦㠷戴㤱㈳㐱㌰摢ㄲ挳㕥㉦摣㜶攴愴慦㘷㤴㘰㑦ㄷ捣づ挴㐸㌷昴㘳㤰㠶㘱捣愲搴挶㑣愴搲㉤㈹ㅤ敥㘶ㄳㄲ戶つ㔰搲㈳㤹扤ㄳ戲敤㐷㐹捦愴戴挴㔷㐸㐹㕦愴搴㍡㡣㜸㈵㝤㤲搲ㄱ㝥慣昴挲っ慣昴㐶㑡㐷昹戱搲晦㌲戰搲て㈹㉤昳㘳愵攷㘵㘰愵〷㔲㕡攱挷㑡㥦愳搴戶ㄶ改㠰㤲扥㐷㘹㤵ㅦ㉢扤㡤搲㤴戶㐹慦换㤰㑡敦换㤰㑡㉦愴戴摡慦㔷晡㕤〶㔶晡ㅦ愵戵㝥慣昴㌸㑡㜷㠱搴㝥㤴昴㍣㑡㜷昵㘳愵慦㔱㥡㘲慦昴㌹㑡挷昸戱搲换㌲戰搲摢㈸ㅤ敢挷㑡晦㑡挷㠶搹㜷㌸㈷敢昱㐸攰㌴搹㜶㤶㌰晢㠷㘴㑣㌰ㄹ散〳挲搷ㄹ㥥㜱ㄶ㝥愲攱ㄹ㑢攱㈷ㄹ㥥昱ㄲ㝥戲攱ㄹㄳ攱愷ㄸ㥥扥ㄴ㝥慡攱改㉦攱愷ㄹ摥㝡㉡㑣攷㐸挶ㅥ㈶㠳づ㄰㝥㑦挳戳㤱挲㑦ㄷ扥㤰つ改㘲ㅢ捦㙣愷㉤收戴㜴㌴㌶㌹㕣改昲〱㈳㝤㥢敢㍡摢㍢㕡捤㘲扣扤㔰㤶摦㤹换昳〱㠴㤷愴㐰㐳㐶㐴㕡㙣㤲摥㍡扤户㥢挵㠵晤㝦扢㐸攷て捥昹ㅦㄷ扥戶散㝡㥤㙥搶攸摤㐳戹ぢ昴ㄹ昰㑥㠸ㄷ搴㤴㑥㈶㠵㔷っ㌴㥤愷㘷㈶㌱挹愴挱㌰昸㠲㤹㤵挴㈴㤳〶挳づ㈱㤸搹㐹㑣㌲㘹㌰散㈴㠲㤹㤳挴㈴㤳〶挳㡥㈳㤸戹㐹㑣㌲㘹㌰散㑣㠲㤹㤷挴㈴㤳〶挳づ㈶㤸昹㐹㑣㌲㘹㌰散㜴㠲㔹㤰挴㈴㤳〶挳晥㈷㤸扤㤲㤸㘴搲㘰搸㈷〵戳㜷ㄲ㤳㑣ㅡっ晢愹㘰昶㐹㘲㤲㐹挱ㄴ㌳㌶㍣捣〶㉦㌸㥦㥦扢戹㌱ち㥦户挷攲㍤㐸昸㝣㌲戶㤸㤱改ㅡ挱戸㜴㡤㘰㔴扡㐶㌰㈶㕤㈳ㄸ㤱慥ㄱ㡣㐷搷〸㐶愳㙢〴㘳搱㌵㠲㤱攸ㅡ挱㌸㜴㡤㘰ㄴ扡㐴昴晥㝦㄰㤲㤵㐱</t>
  </si>
  <si>
    <t>㜸〱捤㔹ぢ㜰㔴搵ㄹ摥戳挹㙥昶㙥ㄲ㕤㜹ㅡ㡡㄰㔲㔴㘸㘰㈵㠱㈸㔱ㄱ㤲つ㈴戱㐸〲㠹搰搶㍡敢捤敥搹攴㥡摤扤昱摥㑤㐲慣愲愲敤㑣昱搱㉡慤㈸っ攰ぢㅤ〷㐵搱㡡〸㍥戰㤵ㄹ戵㍡慤㥤敡㘸㙤慤愸㥤㡡慦搲晡ㄸ慤㉤昶晦捥㍤ㅢ㜶昷摥ㅢㄱ改㡣ぢ晢攷㥣昳㥦昳㥤晦晥攷㝦㥤扢ㅥ收昱㜸扥愰て晥攲㔳㡣挶挴㡥㈱㌳挳㔳攱㠸㥥㑣昲㔸㐶搳搳㘶戸挱㌰搴愱挵㥡㤹㈹愲〹晥愸㐶㝣搳ㄷ㌵戵㡢㜹㈰㍡挰つ㤳㈶昹㍣㥥㐰㐰昱〲㐵㝥㐳搹㡥㠲㔵ち㠶ㄵ㥡攵㔱晣㐴捡㑡㠸㜴㐶ㅡ摢扡㉥愴㑤㍡㌲扡挱㘷㔴㉥户愰收搵搴㠴㙢挲戵昵戵愷㠶㘷捤愸㡣昴㈷㌳晤〶㥦㤷收晤ㄹ㐳㑤捥愸㙣敦敦㑡㙡戱敦昲愱㑥扤㤷愷攷昱慥㔹戳扢搴㌹㜳㙢收搴搵㈵敡敢攷㤶〵〸戹㍤搲搸挲㤳㝤㠴㜷戴㔰ㄵ㐲㕤ㄲ㘹㙣㌷㜸攲㘸㘱晡愰㤷㥡㈶ㅥ搳愰㐰捥つ㉤摤ㅤ㡥㌴搲晦ㅣ慤㔰敦戴㜰㕢㐷〷㑦㥢㕡㐶ㅢ搰㌲㐳㐲㠷愹戶㔸搷㜲㌵搹捦晤㈹㈱㔲㈰戵㕣㌵㤶愸㈹㕥㥥㍡搷攴换搴㜴㌷㐷捦㤷㙡敥搷攲挵㜴戰㐵搳㥤㌶㤲㑡ち户㐵ㅡ㈳㍤慡㤱ㄱ㤰㔰攰㈹㑥戳挵㑥攱ㅣ㔱挴ㅡ㌱ち昵戰㔲㘹㍡搸ㄳ攷慢〴㐱㑡㠹昸换㠸㡣捥㔹㔹㈹㤶㔶搶戰攲て挹〰㜳ㄷ㘲扡㌷慡㝡愳㕤摥㘸捣ㅢ㡤㝢愳摣ㅢ㑤㜸愳摤摥㘸㡦㌷慡㜹愳ㄷ㝡愳扤㌴㈷晢〹㤴㤴㜸攵㘷敦晢愷扣扢㘵㘶㘵摢挳ㅦ慣扡㙥晢㙢㥦捥㘵戰㌹㘱㝣挷㔰㐳㌹㤶㠸㍦㐴挴㐱㤰㕡挶晥㐱㠲㐰㤸㤷㝦㜸㜳敦㍢扦敥㘸戹敢摦㡦搴㙤㌴㙥晤ㄷ㠳挲〵捡㈸愰㡣〶捡ㄸ㘷㤴搹㡣扤㉢㔱捥摢㜹摥〵〷㌶敦㘹搸㕤㔵㔶㌱㘱晢ぢ㘷㌱㔸扤㐰ㄹ〷㤴昱㐰㌹摥ㄹ㘵づ㘳㝦㤷㈸昷㐵敡扢晢㕥㡣㌵慣㕥晦慢戱搳㡡㌷㉣㉤㥢㐰㑢㤶搰㘹㠵㤷昰捣㔱㌲㙤ㅦ㑥改昰慤〳㈷改㑢㔹挶搵挴捤㤸〲换㙢㑤挷昹㑡㍦戵挸㈲换㔲ㄱ㍤㥤攱㉢㌳㑤㙡㐶㉤㐹戵慢〶㑦㘷ㄴ㥡㔴㉤㔶㔹㉤慣㉣ㄷ㘳搹搵㐱搹㈳㠴㤰㘸收愰㤴㡡〱ぢ㠹㔱㤰㉡㉡戶㘸挰敦ㄴ慤㕡㔴戳㈷愳㜶㈵昹搴〲㈳㠶摥挸㙦捥捤㘸㐹㌳㑣㤰捤㠶摥摦〷㡤ㅥ㌵ㅣ挲㔲愰㈰晦㐴㈲㈲戶攲㉦㙤戰㐰㌹㠱晥〴〵㔳〱㤳づ昸ぢ㜰づ昱捡愶㔰㠷㐴㙣搲㔳慡㤶㍥㑡㠷㕢㔶㐵愰㑢愵㕦㌶ㄹ敡㈰挵㤸㐳搰戵攱㔹昸昷攵㐱㤶㘲㙣愲㉥㜱㕡愲愶㈶㕥㌷㑢㥤慤晡攰愵㕦㌵㐶挰㘹捡㔲㉢戴㜴㕣ㅦㄴ㐱㘳㔴㡡㈲㠲〸〴㥤㐳㝤㕣っ㤵㈵㍡㔵愳㥢㔳㈰㌲㕡㥢挶㈴㈲扡㘱昰愴㥡攱㜱㌱㠰ㄴ㌴㍥㝦搰㕣㘴攸㈹㡣㑦㙣㔴㑤㝥㈸㈰㔵㈷慣㡤ㅡ昵晥㜴摣晣㤶㌳戳㈳㐳搰ㄳち㜹㠷㐰㙣换㍡㈸㐸㜳㔳㐸㍡愹㜰㤹㌰晥㠶㤵㥡挵㍥愱㠰㑤㘱㕡敦㜲攷㉥㌲昸㐵挳㕣㥢㐴つ㤴㠷〷㌸昸戶愷戴㔸㤶㕣ㄴ㔴㜵㤳愷㠵㜸搵愹㜶㉤搶换㡤づ㡥㉣捥攳攲㔱挷㠲挵挹ㅦ㘳摣慣㙥㠳敡㈹㑦挴慢㜲㐷ㄳぢ㔷㘶㌸㜹㜳㥣攴愵晣㤹ㄹ敡㠴㈷㡤换㥢㘲敤㐹㡣㡡扣攱㐵㝡慣摦㠴搷ㅡ㝡㌲㥦搳㄰ㅦ㔰㘹捦昸㌹㝡㥣ㄷㄷ㝢㡢愸㐶㈸挶挷㐳㜹愹㠸㕣㜹㔶㠱愳㡡㈴〸㙣㌳㌷摢攴㔸づ搲捤散挳㕡㤴㙦㕥㔸攷ㄴ㌲㠶ぢㅣ㜶㝣扥慦㠴㤷㤱昶㐸㑢㐹づ㐷昲ㄶ㐶㤴ㅣ㐱て㔹つ㌶㜱㡣愷搶ㄳ攵攸っ㜶㡢搹搳摣ㅦ㐵挰づ㕢挶晦㜷戲搷㍢㕡㍥晤挲〱㡡搹㉤㙡㍡㥥攴挶挸晡㠲㐴捡户㐱愶㠲㥣〸㜲ㄲㄱ收㝢㠵㈲㥣慢㌶㤱㤹搹㑡㌶攴ㅢ搴攲㤹ㅥ㝦て搷扡㝢㌲㌴㐶㐵㘴㈰〰㔵㈳㡡敥愵㔰㝦㈶㔵㤱㘵昴昵㈸搳㐰愶ㄳ〹〶㠳ㅥㄱ㐳晤㐱愵㕡昴㍤っ〹㕥㔴ㅢ挸敦昶〰ㅢ〶㕢ㄹ㠱挷㔰ㅣ㈰愸㈹戵㈰戳㐱收㠰搴ㄱ㘱散㔹㝡ㄶ㍣捦慢㈴㔱扥㔴愷㘱搲㕣㈲戹㔲㥤㑥㝤晦ㄹ㐴㑡㥡㜹㥡㔳搵ㅡ㘴っ挵㠳㤰㄰㘱搰㉥攱㔹㘰㉢㈳昰ㄸちて㈱㘱㈳〰㈲㈰㑤㈰ぢ㠹㌰戶㑢㑡搸㐲搵ち㈴昴て敢慤ㄹ㤳㕡㠸攴㑡㜸戶攸㝢ㄸ㡡ㄱ㈱ㄵ㙡ㄱ扢㔴攷㠰慤㡣挰㘳㈸㘴㠴㔴㑢〱戰っ愴〳愴㤳〸㘳㕢愵㔴㤷㔰攵㤳㉦搵㜲㑣㕡㐱㈴㔷慡敦㡢扥愷ㄸ戹搲挹散㠶㌳㍢慡换攰㘲㕤㡤㉦㔲㘳㜴㜷㈸㤱㌷㠷㐰㐴㑦昵㔱扤㘱㠴㌰㌳㐲搱㠶愲搸㠰ㄶ攷㐶〰〳ㅤ㜴㘱㈹愶㡢㠳改ㄷ戱摡愴㐲愲挸攳昳㤵〶㥣昶㙡捤㘲㑤㤵㍥㤱㝢㈱㙡戵攱扦户㜴敥㝣㤸㘹㌰㈸戴昱〳㙡㉡攷ㄱ昱挱㌷扥㜲㝣㠳㌵㡥㑢㜵昴攸㠳㉤攴ㄸ摣戴ち㜳㌳㘲㘸㤹昱昶㘱㉡㡣搴㔴㠵ㄸ㙦㌶㌸愵㌴愳㤳㈲扢㜸㐶慣㤸攰挸ㄱ㡢㈶㠸昰㤲ㄳ㔸慢ㄳ换㌵㍥㠸㜴㍣搹捥愲㥢㐵愴摦捣攸愲㡥㥢㘴攷㌷改㑢昴㑣㤳㘶昶㈵搵愱愹づ㙣㡢戳愲㠷愷㈹ㅢㄹ㤴㤴扥㙣㤲摥搷挷攳づ㌲㜶攸晤㐶㡣户㌶㝤ㄳ昲ㄹ㥤㤴昵㘱㈲㤵戱〰昳㝢ㄹ㝤㡥㉣㤴戲ち㠰晤㘸捣戶收㝤ㄷ㕦㌵ㅦ㜷〶㐶づ㐲〱捦㠷昰㝡愴㈹慦㍣慦搰ㅡ㡢㉢攲㌹㜴慤搶晡㤲扣㔱㌵挸戰㜵挳㔴㔲搹愶㘵㜸㌹㤷㌵换㕢扥〹捡愶扡挱慡ㄸ挲敥ㄹ㌳㐷㜰㘱㠳㌰㘶㘴㈹㌶愶㈰戵㡢攷慥〲攷挸捥捡㜷〷㐵户慦㈸〸㐵㘶㑦挹〰慥㐹搱愸㈷〰戱昰㘱扥摢〹捡㔱㍥㈴捡攲㌴慥昲㘲㔵戰㌷慤て愶㠵攴㍥ㄳ搵㉢〰㤵㤲ㄲ㍣〶攲戸昸搴㔱㕤㈵捣挶攳㐳㍥慥㜶搲㤵㜵换ㄸ㝥搷搰ㅡ愷㠴㉦㕦㉥㤴攱攵㐲愷挱挵ㅢ㠴㠰攸㤰ち换㔳㉢㜴愳户㑢搷㝢㜱昷㍢㐶昴捣ㅥ捥㌳戸敤㤷愶慣㔷ㄶ㘸㤳敤ㄷㄵ攵摤攸愵摥挱㥣㐲昲㔸戹㍢㑡慤愲㐵㐶㑣昴搸㘶㝡㝥㕣扥㤷㠵搶㙥㥤㙣晥㘶挹戵敢愷㝣晣㜴散搹摦戲㑤㤲㌱敥㕥敦㕤慦扦昹挰攲㡤㘷㙥晤㙣㐷晢㘳攷㌳㔱㘴〰㉤㐶〴昹〰㕦ㅦ㡡㠴挳㉡搲㔰ぢㅣ㥢ㄸ㡥㘸㥤㕡㈶挹㑢ㄳ㤶挱愰ㅤ㐸㔰㡣愲〲㍡㕥㤲攸散㈱㕤㌴㤵㈷㥡つ㉤㥥搴搲ㅣ〶㐵㔷ㄳ扣㉦㔹捣扢愹㔸㙥搷昱㙥㐶㑦㤷㈷㍡つ㌵㙤㈲〳愵㘳㐳愳昲㝡挲㠷㝣㠹㐶㉤㙤搲㌶㈲㡡愲㝤㙣〲㐱㥥捥戳㍦㤵㙥㔶晢捣㙦㠲㤳㤱昵㘴㍦㔶㐸昳㌲慦㤷〵扣㠱㈳昴ㄳ㡦㍦㑥㜸㔵㌹㝥㜹㝡㘵㥢愱㜵㙢㘹㌵㔹搹慣㥡㤵慤改㤹敤㐹㌵挶愹挰昶㡡〰攸㐵ㄱ㠶捡㠰攲ㅥ㉡扥挳慦愶㈱㝡㤹㜸㈵㈶慦㌹㐵㑥戹㝤戸摣㠷〳㉡戴慦㠷㔵㠳愰㤷㤰つ㜴ㄸ敡㐶ㄴ㈳〵搹扤㥢㠶㤴ㅥ㑣㠰愰挸昰慥㜱㥢愱㤴㐴散㘶敢挸㤲ㄱ㌱愸㑤㤵搱㡤搴㠲搳㍢㌸㉤㐳攱〹挷ㄵ慥愱挰㔱㉣㈷戹㠱收㍢㍡挹昵㤲戱㜳摢挱㡤捦扤㘰戴㍥昶捡ㅦ㈷晤戵㙡㘷㉦ㄳ搵㉢搶昷ㄱ挹㍡〹㐳捤ち㐷昱昸㉦㈲㔲㤱㜷㌰㌸㡦㘵摣攴挶〰愷晡挸㝥ㅥっ戵㉥捥㐴㌱㠸㌰㔴扡㐲㙤㌴㔹㌴㠴摡㔰捣㍡愸㉤㐳挳㑡㍦㈶㌶ㄲ㜱㔲㥢㡣㕢㐱て㡢搰っ愱戶㌵昴㙣㠷搴昶㔳敡戹愹慤㠹㤶っ慢捤㍦㐴扤㐳昱攵挷㙥慡扢㑡㌲挶捣㘶晥敦㥣晣晣㤲㜵慤愹摤攷ㅦ㡣㡣㘶ぢ㘹扤㜸戲㑢愹㠱㐴㉣㤲㜱㌳㌵㉣搵慤愲㔶扥敡摡戴攴挸慡㙢愱㈵㐲㜵㤷㔱㠳愱〴ㄷㅢ㕣㉥ㅢ㐲㜵愸戸ㅤ㔴㜷〵つ㉢慢㌱ㄱ㜵昶挸慡㐳ㄱ㉥㔴㜷㘹㥥敡㉥ㄹ㐱㜵ㅤ戴㘴㔸㜵ち㔴㘷㔹摣㑡㌷戵つ㑡挶摡つ㍢愶㙤㍡昳㑦㙤搷ㅣ㕣户㝤摢敥㌷敦㘷愲敥挷晡㌵㐴㝣昲换㔰敤㕢㙡扢㥡㕡㉥愱〰晡ㅢ㈹ㄴ㌰㕣ㄷ㠴晥慥愱〶挳㘵㐱攸敦㕡搹㐰㈷㠴挲摢㑢㕦晦㜵㐴㡥㠹㌴㐶㜳慥摢晥㥦搱搸㜱㌴㘶㈵慢㙣捥ぢ愱㑥挷ㅡ昱慡㕡戹㥥㕡愱ㄸ㤱〰㠶㙥〰㔹ぢ昲ぢ㤰㕦㠲摣〸戲づ攴㈶㈲㐱挶㠹ち㐹㙥愶㐶昶ㄳ㐲㈰㈹愶慦戲㥥㐸㜹㔱〸㐱㐳散〲挹ㄴ㠸ㄲ敡挹づ愱摥㔷㌶㘱〸㡥㉡㌶摥㡣愱㕢㐰㙥〵戹つ攴㜶㤰㍢㐰戶㄰〹㌲攱㠲攸收㙤っ㔷ㄴㅢ摦㐵つ摡ㄸ㙥㔷戰㌱㥣㔰っ㡤愶㠶戲㤵㐸〸㘶㉥㌶扥〷㐳昷㠲㙣〳戹て攴㝥㤰敤㐴捡扤㑣ㄸ㉦晡て㄰挹㝥㐲㤷㔳㑢㙣晡㈰㌵㘸搳㉢攸㑦挱愶慢戳㐳攳愹愱㍣㑣㈴〴㈳ㄱ㥢敥挴搰㈳㈰扢㐰㜶㠳㍣㑡愴扣㠸㠹挳㐶㍦㙦㍦ㅣ扡搸敦㜱㙢ㄶ㑥つㄶ散㝦〲晤㠶㘴戲㌲㕢慥㤸晥㍤ㄸ捡晢㠹挳晦㈴つ㔵捦慥〹㔷戶㌵户戶㔷捥慣㡣ㄸ昴慢㤷㥡㙣㔴㘹攱戴㥡晡㤹㘷昷愷㌵㝤㘶敤慣㥡晡改攱㤵㐹㌳挵捥㤲〶ㅦ㝣改愹㝢㉦㜸昴㠹〵㌷摦㌸昱㡢㥡㡡㌱㌳搹㍣挹戰晤昸〰换㠱㐴挲㤳晣㝢愹㔵搴㘰愶㉣扦慡㤷㡢㑥㑣昵㙥搸昰㔱㘰攱㙤愳敥摣戵㜹㘸晥㜱㙣慥㘴㈴㍦㝦攷攵㔳晦戰扦昵戱扢㍦昸昰搵昶攳摦㘱㙢㜳搱ㄴ愰㔹㐸㜵㙥㐸㜳㈴㘳㑤散敡捡戲挴摢ぢ戶㑦搸昸㜸挵㌳晢愲っ㜶㍣㉣㔷づ㔲㡤ㅢ搲㉣挹㌸昷〰摦㜳攷捥戵㘷㍦㜴攰捡挱ㄷ户晦敥㘴〶㘷㜰㐲㥡改㠶㌴㐳㌲摥㠸㑣㍢改㡡㐹ㄵ㑤慢㙢㥦㡣㍣昴㜸搱〰㠳㐷㌹㈱㑤㜷㐳㥡㈶ㄹ慤捦慦㥤摡㜵昷慡戶㝢㤲敤愳搸收摡昷ㄹ摣搲〹改㐴㌷愴愹㤲搱晢挰㍣攳捡收ㅤ㡢㜶摣㜴搹㑥㜵摣㥢㈵っ扥敤㠴㌴挵つ愹㔲㌲敡㔷慣㔰攷扦昶㐹昳㑦㍥慤摡戰㙥㝢搷㙢愱慣㜷晡㄰〹捥㜰慡挶㙤㙦〶慢ぢ㕦挳㉥愴搷慡㐳㜰愸㈲㝡㠱攱ㄳ搵㘴戱昷昴㈳挳捡摥㠸㔰晤昸㈶㤳搴㕦〳〷㜱㉦晦㐲㌳㤹㐶㤴㌷㠸㌰〴㌴愱㐱昸愴戲〷〴㝥挷㈶㐸㐵搹㝣愹㐲㌲㙣㍦挱㙤愶㘵㑥㘷㌱㔶㉥戰昹搱ㄸ挹戰昹搱㉤㉥㐸挷戹㈱㠵㈴挳收㐷户扡㈰㤵扢㈱㤵㐹㠶捤㡦㙥㜳㐱㔲摣㤰〲㤲㘱昳㈳㈴〸㈷㍤昹摣㤰㡡㈵挳收㐷挸㌲㑥㐸捣つ〹扦㘸愱㌸戵昹搱ㄶㄷ愴晦ㅥ戴ㄶ搸捥敥㍦㤲㔱攸㐷っ昹っ㉥挴㍥愷ㄹ㤳㘹㉦㘱㙡㝥㌲㐱㠶ㄴ㈶挴㉤㌰戵㑦㈴㤶捤搴㍥㤶っ摢敦戴㐸㝦㑥て晥㑦戹挰㈶敥〱挹攸扡改搱㥦敦㍢攵㘰攴㤶敦敤摦ㄴ捥㍣戴㡦㈱㠷㍡㈱扤敦㠶昴㥥㘴搸っ〴㠹搸〹㘹扦ㅢ搲摢㤲㘱㍢㔶㘴㜳㈷愴扦戹㈱扤㈵ㄹ㥦㑤㕤ㅡ㙣㝢昰慤〵㕢㝣敢户敥㌶㜶㝤挴㔰ㄲ㌸㈱敤㜳㐳㝡㕤㌲㙣〶㠲扡挲〹改㉦㙥㐸㝦㤶㡣㐲〳〹㘵㉢〴㠶㈲㐴㔸捡慢㌴㜵搸㔲㑥㠲愵愰敥㄰扢ㄵ㔸捡㑢ㄲ搴㘶㈹㉦㑡㐶攱㙦昱っ㌵㡢㤳摣㉦挸〵㌶㑢昹扤㘴搸㉣〵㠵㡦ㄳ搲昳㙥㐸捦㐹㠶捤㔲㔰㍤㌹㈱㍤攳㠶昴戴㘴搸㉣〵㈵㤸ㄳ搲㕥㌷愴愷㈴挳㜶扥愸攳㥣㤰㥥㜴㐳摡㈳ㄹ㠵攷换㔰敢㠹㘳㝤㠲㘶っㅦ㙢㈳ㅤ慢て〹愷昰〵ㅡ摥昷㉦㐲捥㉣昸㤵愹戴戴㡡〶敦㥥扦㝦挱慡〵㙢ㅡㄸ〲〸㤶てて挰㑥昲〶戰㐳敥㐰改晦〰捤㔵戸搳</t>
  </si>
  <si>
    <t>㜸〱捤㕣ぢ㤴ㅣ㔵㤹敥㍢㌳㕤㌳户㘷㈶搳㠴㠰㐴㔴㈶㤰㐰㈰㘱搲敦㠷㄰攷㤹っㄳ㐲㕥ㄳㄲ㌵挴㐹㜵㜷㔵愶㐹㍦㐲㜷㑦ㅥ敡ち㉢㠲ぢ愸㈰攸㉡㈰ㅢ㐴ㄷ㐵㍤慥挰㤲㘵㔹㔴㔶㕤㜶〵㜱㌹慣㡢慥扡㙥㜸㉣㐷㔹ㅦ㔹ㅦ攰㠳㤵晤扥㕢㔵㍤搵摤㌵㤳挰扡攷㔸㤹晥晢摥晦㝥晦㕦昷㝥昷搶慤晡㙦摤㡥㑦昸㝣扥㤷㜱昰㥢㐷〷ㄳ慦㥢㍣㔸慤ㄹ挵㠱搱㜲愱㘰㘴㙢昹㜲愹㍡㌰㕣愹攸〷搷攷慢戵㜶〰戴愹㍣捡慢晥愹㙡晥敤㐶搷搴㍥愳㔲〵挸敦昳㜵㜵挹㌶㤴〷散㑦搰挹㐸㕡挹づち愰㝣㔲愳攸愴攸愲㤰ㄴ㌴㤲摤ㄴ㍤㄰㍤扤㄰㕢㐷㐷㌶㘶㉥㐵ㄵ㈶㙢攵㡡戱戲㝦㥢㜵愲搵攱昰㐰㜸㈰㤲㡥㈴〶㐲㉢晢㐷㘷ち戵㤹㡡戱扡㘴捣搴㉡㝡㘱㘵晦愶㤹㑣㈱㥦扤搰㌸戸戵扣挷㈸慤㌶㌲愱㘸㐶㡦愵挲戱㜸摣㑣愷㔳㍤ぢ攰㜹挳攸挸愶㡡㘱㔶晦㔰㍥晢攸㜳攳攸挸挰〶愳昶㠷昲ㄹ㠴㑦戸ㅣ㉢ㄷ昵㝣改て攴搴捦㡥㠸㡦ㄹ搹㍣㝢捣㌰㉡昹搲敥〱㔴扢㠱㘸攴㤲〳挳搵敡㑣㜱㉦㍢㝦搴㈸ㄴ戶ㄸ愶敡愹攲㔸戵戶㐹慦ㄴ慢㍤㐵昲㘷㔴㡣㔲搶愸㉥㈸慥㌹㤰㌵ち㌶戰摡㔵摣愶㔷㌶攸㐵愳㠳㠹扥愲搵㠷ㄳ㌹愳㔴换搷づ昶ㄶ㉦慥ㅡ㕢昴搲㙥㠳㄰㝦㜱㝣㈶㥦ㄳㅤㅤ昸昳戵㥦攵㔵㌳搵㔱愸㑦㜱㜴㕡慦搴㔴㡥㕤ㄸ昶挲扡㠶㡢㙡㐵㐳扤㌸愴晡㥢慣搸㘷㤳昹攲㠵㐶愵㘴ㄴ㜸ㄲ昶攴㡡㈶㤰㈲挸敡㠷㍡㔳㑥㜳搸㑢愲摢扥㘲搸ㄶ㥥㐵㍢〱㘲昹挵愵扣㔹慥ㄴ㔷慥㉦㡦捥搴㔶㠷㔶㕥㤰攷㜷㈴ㄴち慤扣㈸㕦㕡ㅤㅡ㠸慦扣㐸㍦戰㍡㈲ㄷ〲㉤㑦愴摤㈲㠸昶搱昱㉤昲㈴慡㑥㠶㄰ㅤ㍦挲昵改㍥〱慦㤱戶㈹扤㙤㉡搳㌶㤵㙤㥢捡戵㑤ㄹ㙤㔳㘶摢搴敥戶愹改戶愹㝣摢搴愵㙤㔳㝢㠰㜱㡥慥捥捥㌶晢挸㝣昴挱ㅢ㥥㕡昵晢搱摢摦晣愳扦ㄸ愸摤昷㤴攰㈵愹慥攸㔳㤰ㄸ摥㕡挹愳㕦㘶ち㝡愵愹捥㘱搴搹愹㜶ㅣ搵㕦㥦摦㘳ㄴ昲㐶戵戶㍡㥡㡡㐷㔴㉢挲愱㘴㈴㉡ㄷ挳㡤㝣㉤㠴㜶㉡㐴昷㤶㜲㜶㑦晦戶㜲㘱愶㘸挸搷戱攸昵㄰㐲㍣㡤ㄶ戱㔵改敤摢昵挱ㅦ扣㌰㝥昵慦㑦扦昵㈳㜷㘷㝥㈰㌸㌹愸敡㥣㠶挴㌹敢换扢㌷㠰㍦㕣搳㈰㙦㜵㜸㘵㌸戴っ愴挵㔶愶搵㜷〲㜵捣敡ㅣ愰慢㐳戲ㅦ㜸戹〴㐲㍢ㅤ㘲挱戸㕥敤㥦搴㌱㉤愸㜲㜹〶㑢㤷㐲〸昱㍤晢搴ㄷㅦ㌵ㅥ扡昳晥㥢搶摤㜷昴捡晤晦㝡昷㍦㥦㈵㌸㈵愹㔳㥦㠹挴搹摥㕤ㄷ戶晢㉤㘶㜵ㅣ㍡㌰㉥捦愲敦攵㄰摡搹㄰㈷昲捣㕢㡣㙣ㄹ㜳攲挱晥戵㝡ㄶㄳ㤷㍣㠷㤰ㄵ㄰㐲㝣换㍥晤戵搹敢晡㝢捣ㅦづ摤晤摡摢扥戴昸敢㑦㑤〹㑥㠶敡昴攷㈲㠱㤶㜹戵㍣㥥㜲㥡ㅥ㜱户㝤㠰敥㔷㐱㘸㈱㠸㔳㌰〳昵搷捡晤攳㤵㜲ㄵ㔵㈱〱晤㍢㌶慣ㅡ摦㈹挳挴㐵㈰㠴㜸捣慥挶挴㘳㌷㉤捤摣昵慥㡤㥦㉢㙣㕡㈸づ㐵㝥攲攷㐵ㅥ昱ㅡ晤捤ㄷ搶㘸戹㔲㌱ち㡡㕥捣つ㥣挰ㄷㄷ㘷愷㡣昰昶㜲㘵㑦㜵摡㌰㙡扣㈲㠲敥ㄲ㉡摣搰挸㥣搰〸愱㍤挵搱戲㘱㥡昹㙣ㅥ戳挷㐹㜶〶搳ㄷ㜲㌸㉦敥〷㕢换㑤戳㡦搷晣搲㡥挳搷㠶〹愶攱㍡㜲㕤戴㜳改戵㔷㌷换戴㑣〸攲ㅢ㌶攳换㡡㝢㙥扤昵㤷㕤㙢敥㔸㜸攷〳㠷づづ㥥㈰ㅥ戵ぢ昶摣戳扡㜲攵昸攱戵㠷㍦㝡昹晤晡挹捦㜴㡡㐷收戲昸扡㕤搰㍣㠴搱〷㌸㝥㌸ㄸ㤰㈹㈶挴㍦摡戸挳㘷㔶㡦㝣㝦昸搷ㅢ㍥昷捤㍢㌷っ扦晤㠱愳㠲扤愵挶摡ㅢ㤱㤸㘳慣㠵攲昶㔸ぢ㌵㕣㘷攷挱㐲㥥て愱慤㠶攸摡㔴挶㈸挳㥣㉥摦㐴晤㈰㠴㄰て捤搵㈰摥攰搵㘹㠷㤱㌸挶ㄵ㤶㑥慡㐹㈵㌴㤰㑥挹ㄱ晡ㅥ㠵搰挶㈰㝡搵戵㍤㡤ㅢ搷ㅥ㝤户㈱搷戰㜰㉤㠴㄰㝦㙢㥦昸改搱攵㘷晥改ㅢㄶ㡦扤㍢昲昷愳昷㝤愹㝤㥦攰㠴愹㑥㝣〱ㄲ挷㌸戱晢搲㥥愰敦㜵㄰摡㠵㄰㈷㙥捣ㄷ㕡㉥敤昵㠴㕣〴㈱挴㍤昶改㝦戳㜴㜳㘰攳扤捦づ晤愵晦㤶捦晥㕤攵㠱㕦ち㍥捥愸搳㙦㐴㘲㝣㡥㤹愵㍥扤㐶攳挹㠱㘸㍣㡤㠷㤵㘸㌸ㄴ㐹挵攳ㄶㄳ搱㘴㜸㈰ㅤ㡥愵㔳戱㐸㈸ㅥ㡥挶攵㈶㥥㜹㌳㠴戶〵㘲㌱㔹㔹㜳㘰慦㕥攲㝤摤㥥㜸㔶昶慦搹㥤㤷㤳〴㙥㠵㄰攲戳㜶ㄵぢ扦㝢晥㍢㠹㈷㝥㌴昱挵扢㝥晡㡢敦㙤㍡攵昹㥥㙤㈸摥㙣㕦づ㘳ㄵ㝤㍦㥥ち㘶ㅦ㌸㈲〳㈱晥㍢昶㤳ㄶㅥ戴捣戸㤹㌴挳攱㕣㍣愴㐷㜵㍦敦㙢挷㝢㑢攷㝤戴挷摣㥥㉦攵捡晢搵㍤晥㜵㈳㝡搵㤸扤攵慦戰换㐶捡㌳愵㕣昵㔴敦挲挹㥡㕥㌳㕥摢㕣㌶敢愴挵㙣ㄲ㑦㐰㐶㔵㥤敦つ捤㘶摢昴挲㡣㌱㝣㈰㙦ㄵ扦扥愹ㄸ捦㍦攵捣摣愵㙢㉢挶㘵昵搲㤶ㅡつ攳愹㝡㥦昲摤搲㑡慢挸慡㔷晦攸㜴戹㙡㤴㔴昵㔶ㄴ㌷攵戳㝢㡣捡愴挱㘷㜲㈳愷㥡㝡ㄲ㡢散㠷戰ㄵㅢ㑢㘸㈸ㅥ慢㜲愷扢戵收㥡〳㌵愳㤴㌳㜲愸敦㕥愳㔲㍢戸㔵捦ㄴ㡣㤳ㅢ㈰搶㌹㔱戰戸㐱扤戶㥣㥤愹㡥㤶㑢戵㑡戹搰㔸㌲㥣摢愷攳挱㉦㜷㔱㌹㘷攰戹慤㠳㠷㑦昸摡摢㠵昰㥤攳㜵晢愰摦敡㠰敡〸㔷ㄷ昳㌱敥㤴挶㘱㌷㠰㥢㘷つ慤㈸ㄸㅣ㤳㙤㑢㡦攱㑣昹愵㥢戳攷〶扡摡挴〰㠶攸攵㜳愳㔵ㅤ敢㍤昷晦ぢ㙥㙢㍢搱㙥晤㥡㝤戸愱㕤愰㤷㜲〵愳㌲㙦昸㈵㔸㈳戹ㅤ挲晦㘹㕣捤㜳戲挷〷㍢㜱㐰ㅣ昴敦捦攷㙡搳摡戴㤱摦㍤㕤㠳づ㈱㕡㔷ㄷ愹㙤㌹攴㕢愰㤲㙦愵搸〱ㄱ〸昸戴㑢〸搲〲㜲愷㤵昷昳ㄱ昵㤵摦㄰ㄹ〴㑡昵㤸㡦㤸慣敡㉦慥㉤㔷慡敤敤㕥慤扣㐰慦㑥搷㌸㍣攷㉤攴〳戶㝣ㅢ挵ㄴ㠴㥦㑦捡挷昵㔴摦挱攰愵户㌸㘶㤸㍡㐲㐶㜵㜵ぢ摤㕦戴愲㤰㌱愳㥡㤵っ㔷㈶㜰慤ㅣ搰㤰挲挵捦㠷㡦㔲捤㌸㔰ㅢ搳㙢㝡㘷ㄱ㠱て㝡㐹〲戴㐲㔹㔹㈹㕡昶㉡㥤㘳ㅤ戰㜳昰㄰㔴㐹㤷㤷㙥愵戰㍣攱挲挱昵攲㙢户攵晣㡤㐰摤ㄹ㥡㘸捤〳扤㌱㠰㐱㕣㤵ㅢ㌷㑡㕢て敥㌵慡㠴㜷㘹昳㔲搹㝣㜹搱搹挶㙣收攲㕡扥㔰ㅤ㐰㑤昱㄰㌹戳昷て改㠷扥攴㉥〸攷昰ㅦ挲㈸㍥晥㌶㜱㜹愲㜳ㅦ晢㘶㙡捡搷㐵㙦搴㐸㠶㑤㤲愳ㄵ捥㕥挶㤷㍡㘴づ㕦㠱昹捡晣っ戰㕥㐹戰挷昸愴愷〸㠶戶㔶っㄵ扥㜶愹っ搸敥㉤昲㌹㌶㔳㉥敦攱㜸㕡愰㜲昵〷攰㙥㍢〴收〳慤㄰愲㝤捥挷㔰摥〴戵㘹㠸摥攱㐲愱摦昱㔸搵昲㔰戵㈳㌸搵㉥㐵㘲㐵㌴㍣搰扦㜱㝣㘲㔳晦戹晤愳ㄵ㉣搵攸㠵ㄱㅤ昰攵攱昴戹敢㘶㑡昹昲戹㤱㔰㌸㝤昶挰㠱㐲戵㈸㍥っ㐲ㄸ㙡戵㍣㜷㝥挸㉥㘸〹〹ㄹ挲愹㠰戴㠸㠴戸ㄱ㌰㑥㌴㐸㌷ㅥ戲㡣扣摣㑢㜱ㄹ〴愶ぢ搵〱㤸㉤慡㔶㔶㌰っ攴㡣㈱㌹敦挸ㄹ〸挱ㄸ㔰㐵戶晢㤰㜰づ㜱つ晣ㅦ挲㐷㜵㈵攳挶搶慥㝣㍢戴〱㌹㑦㤹㘰㘴挹敥㤴愴㑦㤲㌰㐹戲挴攵㜰散㐹挰扢散㠲㤶㈰戴ㅦ㘶㡡㠰㉢㘹晦㑥挰扣〹戸ち挵昲㙡㡡昷㐲戸〸戸挶捡㡡㈵昸㔶〴㕣㑢搰㜵㄰攲っ〸㐵挰晢㤰㜰づ㔱挵㌹づ攱愳〸㘰〰摢㑡挰つ搰〶攴㍣㘵㠲昱慤ㄷ〱㜹㌸昶㈴㘰摡㉥㘸㡥㈳〴㐳㕡㐵挰捤㐸〸ㄳ㌰㙦〲㙥㐵戱晣ㄸ挵㙤㄰㉥〲づ㔹㔹戱ㅣ摦㡡㠰摢㤱㤰ㅦ㠷㄰攷㐰㈸〲敥㐰挲㌹挴㑥㥣攳㄰㍥㡡㠰戳愱㙥㈵攰㑥㘸〳㜲㥥㌲挱〸摢㡢㠰㐹㌸昶㈴㘰㡢㕤搰ㄲ㡣て挰㤳㈲攰慦㤰㄰㥢〰昳㈶攰㙥ㄴ换㝢㈸敥㠵㜰ㄱ㜰㥦㤵ㄵ慢昰慤〸㌸㑣搰摦㐰〸㐶攱㡡㠰晢㤱㜰づ㌱㡥㜳ㅣ挲㐷ㄱ㄰㠲扡㤵㠰〷愱つ挸㜹捡㐴〴〸㉦〲㔶挳戱㈷〱攷摢〵捤换〰㠲〱愴慡昷㍦戰㉡て㐳㠸昳㈰ㄴ㈷晦挸㕣ち㤶摥㥣㝣㥤ㄶ㡦㔰㍣ち攱攲攴㌱㉢㉢捥挷户昲晤㑤㠲晥ㄹ㐲㌰㝡㔴㥣㍣㡥㠴㜳㠸㔵㌸挷㈱㝣ㄴ㈷っ㌷㕢㌹昹ㄶ戴〱㌹㑦㤹ㄸ〴挲㡢㤳㘵㜰散挹挹㔲扢愰㈵ㅥㅦ㠱㈷㐵挰扦㈳㈱㑥〷捣㥢㠰晦㐰戱㍣㐲昱ㄴ㠴㡢㠰㘷慣慣ㄸ挵户㈲攰㔹㠲晥ㄳ㐲慣㠱㔰〴㍣㠷㠴㜳㠸挵㌸挷㈱㝣ㄴ〱㘳㔰户ㄲ昰㍣戴〱㌹㑦㤹㔸ぢ㠴ㄷ〱㝤㜰散㐹挰〲扢愰㈵㡣㥥㠰㈷㐵挰㉦㤰㄰㍤㠰㜹ㄳ昰㉢ㄴ换ㄷ㈸㕥㠴㜰ㄱ昰ㅢ㉢㉢搶攱㕢ㄱ昰㕢㠲㝥〷㈱ㄸ㐷㉢〲㕥㐲挲㌹㐴㍢捥㜱〸ㅦ㐵〰㘳昰㔶〲㜸晦て挸㜹捡〴愳㜳㉦〲㝥昳晢㌹〸昸戵㕤搰ㄲ挸㙦㠲㈷㐵㠰挴㐹挵ぢ㠰㜹ㄳ搰㡤㘲搹㐳搱换摡捤摥ㄹ晢慣慣㘰搸慥〸〸ㄲ㜴〲㠴㤸㠴㑡ㄱ戰㄰㌹攷㄰㍦挱㌹敡〴㙣㠱扡㤵㠰㤳改㔳捥㔳㈶戶挲捥㡢㠰㘷收㈲攰㘹扢愰㜹㤹挰捦戰攳ㄵ㠴㜷摤慣戰戹㉤㙦散攷昳攸〲ㄳ敢晥愳㌳搵㕡㔹㍤㍣昷㥡㘳攵つ攵摡㔸扥扡户愰ㅦ㍣搱戴ㄳ摢愷㡤ㄲ㐲摢ち㈲摣㈶㕤㜹敦㕥㈳㈷捤挹昲㑣㈵㙢㑣㡣晤㌱㠴扥㘸ㅦ扡㑥㐵扤㙤㜸慥ㄳ慦㉥㥡挳挲㡣挰㈸挱攱昳㌳〶㙢㝥㈸㔷㙦ㅦ㕣〱戴㑡〶〱散㥢㘵㜴㙢扥㔶㌰扡㑤ㄵ扣慡㜴㤷〹ㄶ戱㕥㤰敢㌴户㑥攳㘱㜵慣搷ㅣ慦攴㜳㠵㝣挹㘰㘷㉣戲愰敢㡤摤㔸ㅢ搸挴㌵㍣㉣ㅢ昵㥡㕢㉢㔸㐰摡换㌰㈷㝢㜰㘱㐳㑥挵㐳㝥㜳㈴㕦慡攲㌴慡ㄷ㤹敥㌳㈷愷换晢昱愲㜰愶㔸ㅡ搷昷㔶晦㈸㝡㘵昶ち㔲㕤㈳摡㐴㕢㥢攸㙡敢㝡戵晤愳㥤〶㡦㡢散㠵扢㝥っ搴㕡㈵㥦㤹㈱㘳散㝦㕦〴㥦づち搵㠹㍥㍦㐳攸收㠸挶搵㠷㑤换ㄱ慣㙣挳换㌴捦挸戸晥晡㜵〱攰戲ㅦ㐶㍤㑢㈰搶㡤㕦㍣㌱扢㔰昷㝦㝡㉤敡摦〱捦挷扤㉥挲愹㙡㠱㌵㠶戸㔶挲㈱㠵㑢ㄳ㐳㠱戹收㜱ㄹ㌰ㄵ㠶㐳㜴挱㙣㜲㉤㐲敢ㅥ㜳扤㥥㌱ち㔸ㄱ㈸敡戵〵㔶㠶㑢㌳㜸攷㔳戵换㐶换挵愲捥㌱挷㤷㝦㤳㔹扤㘰㜴㤹挳㌳戵㌲摥愰㐹ㄳ㐲つ㑣㕢愵ㅦ㠰㑡㍦㘰挵敥收ㄶ慥ㄴ慡㌴㝤㤵㜷敢㤵㝣㙤扡㤸捦㜶㌱挳搵扣㍦㡡挱㡡〹愴〳㘴㍡㠷㌳㤹㌴㉦〶㔸㈱㌹扡㝢〰敢㘷愴㡥摤㡦㈱摤㈶㌴晣ㄳ慦㜲㈱〹㔳㡦扡愳挸㌳攰捤摦㠶㑡㜰㉥㔲挷㔱㜵搷㐵昲攸攵搰愸搹㐹散㈴〰ㅦ戹ㄴ㤲〹㝥㍡戸ㄴ㌳敦㉡〳摦㙤〵搶㤷昵㥣昵㍥慣搳㝥㡤摦㠵慥攵㕣㔳〹㜲摤㘷ㄴ㑢㠹㔸愲摣㤷捦ㄹ㤵㉥㉡㈶戱户愰㠳㉢㐶㥡搵㠷㠸㠰摢㝤㝥㝦㜷㤷搷戹㈶ㅣ㕦㑢敤〵㌵昷摥㠵㠹ㄶ晦㍦摥㥣ㅡ㘴㙢〳〱㜵㡦㕡㠶㜶挸㌳搹愶㈹㈸搹㥥㈶挰㔹〴㉣㠷昰敦㐲㘱㜳摦㌴㉥挱㘰愱㐶〲搴愱㕥㠰㜳㜱愸ぢぢ㈹㙡㔵挹慦ㅡ搲敤㕡つ搲慣㠵愰㉥攷慤扡㌶㠹㔱㙥攴〲搶〴换㔵㈷㜶㐷ㅢ摥㕣戵㜵㘹捤㉢改㉤愷㠵戳攲愴愱㤶㠹㐴ㅦ慡愰㥤つ攳㙥㕥㉣昰㍦挵户捡㤷㐰㡢攷愹㤷昱愵㡥㐰㐰慥〰挶ㄷ㄰㌹㐸愷攱㝣㑤㘲㌳戳ㄲ愵昲㕣〸挱搵〰摥晦㕤㜷㉢㔱㐶㤶㜷㉣㥦㌶〰挸㙢㘶㕦ㅦㅦ㜳㤲ㄴ㝢㘱挵㠹㔲慥愲㜳慥㈰㜰晥愹㡦挷㌰戴挷ㅥ㡦㔵㕡攰㈳㈳㜴㘲㘷〴㤷ㅢ㥣愶戴㈳㙤㌷㈵ち㠰㡣ㄱ㌸攳つ㠸ㄳ㤰㈰㘰ㅦ〰扢昰搱㤲挸㥤攸㄰攸㝥㤹敤㐱㘴ㅡ㔸㄰挹㤵ち攷散㙣㤲㝤昶㌷搲昹㜹㜴㝥㈵㤴捤㐴㜲㈹挱㈲昲㝣㐰㑥挶晣㔴㔲㉦扥㡦捤攳搵戰㔴㍣慥愶㙦㉥㐴㌴昰㌸〸敤戱㜹扣〶㘶〰晡攴㄰㥤搸ㄹ㜱㉤ㄲ㑥㑢㕣ㄷ换㌰〰㜲㠴挰敢扣〱愳〴㡣ㄱ挰㐵㡥㕤昸㘸㙢㤰㍢搹攱戱改攵扣〷㤵攳㠰㠳捡ㅢ㈰㥤ち㈴愹戱慥搶ぢ攸㝦㠲晥㙦㠶戲㤹捡㕢愱戳愸㕣〷挸㜱摦戵挵挷㘰愷㠸扣㤰㥥㙦㐳慥㠱挸㡢愰㍤㌶㤱㠷㘰〶愰㑦㙥愰ㄳ㍢㈳㙥㐷挲㘹㠷㡢挸㡤〰挸㑤〴㝥摣ㅢ戰㤹㠰㉤〴摣〱挰㉥㝣戴㐹攴㑥㜵ㄳ搹扣搷挰㠳捤㡢㘱〳㌶敦㠴㜴㙡挱愰搰㘶㜳ㅢ㑦戲㥤㈷昹㉢㈸㥢搹攴ち㠷挵收㥢〱㜹㈵〳昳ㅥ㔸㉡㍥摦㐲摦昷㈲搷挰攷づ㘸㡦捤攷㝤㌰〳㄰㘱て㥤搸ㄹ㜱ㄸ〹愷㈵ぢ㤱戶㕢戲ㄳ〰昹㌶〲晦挶ㅢ㌰㐵挰㉥〲戸昶戲ぢㅦ㑤㐷慥摦攱㜳捥㥤ㄳㅥ愴㘶㘱〸㔲ㅦ㠴㜴慡挲㈹搴慥㑡㡥㘷㌲㜸㈶㉥愰㌸〰㈴ㅤ㠰㐹挰㙥〲ㅥ昶〶㑣ㄳ㤰㈷㠰敢㉤捤摤挲㐵ㄶ慢㕢㉥〵攴㤵㜴ぢ㔷㘶㔴户散愱敦㐷㤱㙢攸㤶㈲戴挷敥ㄶ㉥攵〰攸㤳㈵㍡戱㌳㠲敢㌹㑥㔳昹㤸㙡㜳㔱〶㐰敥㈵㤰㙢㍤ㅥ㠰换〸愸㄰昰㌸〰扢昰搱慡挸〵㥤㙥愹㙦㌲昰攸㠶ㄹ〰搱つ㕣〷㜲㍣昳摢㍥昵㍥㝡摥㑦捦㕣戳㘹㈶㤱ぢ㌵ㄶ㠹〷〰㌹晥㤹攲〸散ㄴ㠵〷改昹㈹攴ㅡ㈸㝣〷戴挷愶昰ㄹ㤸〱攸㤳敦愴ㄳ㍢㈳㥥㐵挲㘹㠷㙢愶昸ㄳ〰攴扢〸攴㙡㤱〷㠰㡦㘸昲ち〲㥥〳㘰ㄷ㍥摡㥦㈲㜷㤲㐳㘱攳㥥〹てㅥ慦〴ㅡ㍣㜲㌹挹㜱㍦㐶㡤㌵攳扥㠷敥慦愲晢㕦㐰搹捣攳慦愰戳㜸扣ㅡ㤰攳攷昱〵搸㈹ㅥ摦㑢捦㉦㈲搷挰攳㌵搰ㅥ㥢挷摦挰っ㐰㥦扣㤶㑥散㡣昸㉤ㄲ㑥㍢㕣㍣㕥〷㠰㝣ㅦ㠱扦昳〶扣㥦㠰て㄰昰ㄲ〰扢昰搱慥㐷慥㍥攳㝡㙤〱昱㘰昳㠳戰〱㥢慣㡦㔳ぢ㉥㥥搹㙣摥〸戵扣〹㐲㐸㠸㘶㌶扢愱戳搸晣㄰㔲挷捦㈶搷㥢ㄴ㥢ㅦ㐶㐲昴㐲㌴戰昹ㄱ㈸㡥捤㘶ㅦ㙤㔱㔳昹㔱㍢挱㡣攰㉡㤵搳づㄷ㥢㌷㐳㉤㙦㈱昰〴㙦挰慤〴㝣㡣㠰㠵㄰扢攰㑡扢つ㠹㈵敥㔱改扤㘷挵㠳搳㐳戰〴愷㕣敥㜲敡㌲㑥㡤㌵㐲㙦㠷㕡㝥ㅣ㐲昴㔳愰㐰摥㘱㈷摡㤱昱㌳扥㘹㝥㙣㙦〹愹㍡攸捦㘴㜰㌵㔹㍢㔸㐰㐰换㈴ㅦ攳慤ㄴ〳ㄲ慢ㄸ挱㐵戹搲㈱㝣ㅤ捤慦摦敢戶摢攰慡㝢㔱搳搶〶㘵挶㤲㈵愸㡤㝦㈷㔶搹收戴㘷ぢ㘶摦㜳搲㠶㠷昶㐹攸ㄷ㕤㤴捦㘲搷㔵搹慣㘱㡢㘳〹晢ㅣ戱㠵挵昴昹㐲挳晥ㅤ昰攸㜹㑥㌶慣愳挴摤戶晢昸敡㌴戰愷㔴摥㕦㔲戵昱攳敤㘱㡤㌷㉡㙣挷敥攴㘹〲昸愸攳っ戰ㄸ㕣㡡ㄲㅡ换㍢㤱攸㙤て㉥挳ㄷ㐷㠰昶㈹㈴㤶㡤㡥㡣㙥㤹㡡㘴㤳戱愸㤱捣攸㠹㔰㌲ㄶ搷挳改㤴ㄹ㑥㤸㠹㔸㉥慣愷ㄳ㐶㍡愲㝤扡づ㑤挴挳㤹㥣ㄱ挹愵挲搸挹ㄴ换愵㔳㤱㠸㙥㘶捣戰ㄹ㐹攷攲攱㤸ㄱ㍣搳㜶㉦敦㐲㐲㝥〶㈲㜸㤶愳晡㉣㔵㥦愳㡡㜱ㄸ㉢㌱㡢昲慦㠰敡㜸挳㈳戶㐷㘴㐴㔶攴㠴搱搱搹㈹㤶㌵敤〵㘹〹慢敡㉦搳㌵㡤㔱㤵㝦㌳㘸㍥㍥㈳搴捡搵㡢㌴愶㐶㝥〱㔲摥つㄱ〸㌲扥攲〰搵敥㐱㘲挱攸挸㤴㙢㜵㐸扢ㄷ扡ㄳ愰㙢摣㍦慤晤㌵搴㍤㔰慢㘸ㄲ㥢㈰慢挱㜳㙤㉦搶㐶攲挳挸愹摤挴㘲ㄵ㔲昸昳挹晢敤〴㌳㈲っ挹敢㐱㡣愳㈱ㅣ㠵㔰晡戴〷愰㤹㜳㘸㠹㌵㠰㜱㜸㌵づ㡦〸㙣搴昰㜸㄰〹っ㡦㈸扥㔴㙢扥㠸㠴㌵㍣捣愸ㅥ㌶戳戹㐴㈴㠶扦㐸㍡㤱㐹㠶㘲㐹㌳㤹搲攳搹㥣㤹ぢ㐵戴㉦搵愱昱㔰㍡㥡换㈴㜳挹㘸㉥ㄶぢ㠷捣㔴㌴㘲㈴㌲㠶㤹㑣㥢㍡㠶㡣愱㝤戹づ㡤㈶㡤㙣㍣慡㘳敤㈸㤴㡤挵㌱㤴㡣㐴㉡㥡㑢愵搲㤱㐸捣㐸㘵㔳㐱挶㜹慣㠹㝣〸〹昹昷ㄴ㕦㠱〸㌲挶㔳晡慦㔲昵㌵㡡㝦愰㍥攱攸ㄵ㔴ㄹㄱ㉦ㄸ搴㜱㜰㠹㈴ㅡ捦㡥㔷〳敦ㄱ㘸攴愳㄰㠱㈰攳㍡搵攴㙦㈰搱摣㠱㡦㐱攷搱㠱摦㠴扡戱〳ㄹㄸ慡㙡㉤㘶㥤ㅦ㐷㑥㙤愲ㄶ慢㤱挲㥦㑦㍥㘱㈷㤸ㄱ㠳㤰慡〳捦㐵㠵敡ㅤ昸㉤㘸攷敥挰ㄵ㠰戶㜶攰㄰㙣㔴〷㍥㠹〴㍡㜰ㄸ㕦敡晡晥㌶ㄲ㔶〷敡㝡㌶ㄱ捤㈵捤㐴㌸ㄱ㡦愵㡤㘸捡㐸愵㐳搱㘸㉣㤷捤㘶㔲㤱㜴㐸晢㑥ㅤ㙡敡㠹戸ㄱ㑦㐶㡣㐸㐸㡦㘵戳㘱㍤ㄷ㑢㘶㤳㠹㘸㠲㔳㐳㍡ㄵて㌲㙡㔴〴晥ㅢㄲ昲扢㄰挱㔱㐷昵㍤慡扥㑦搵㤸愳㈲㐰ㄲ㉡挶㈱㔴㌷㉣戱扢㐱㔵晡〸换㥦㠲〸〴ㄹㄳ慡㙥㜸ㅡ㠹收㙥㜸〶㍡㡦㙥㜸ㄶ敡挶㙥㤸戰扤挸㝥㜲晥ㅣ㜲㜲〹〹扦㄰㈹晣昹攴て敤〴㌳攲㈲㐸搵つ慦㜱㜵㠳晣㈴换㌰ㅢ㡢㤳㍣ㄹ㘷㘰愸㉡晦㘳㈴挰昸㐶㝣㈹挶㝦㠲㠴挵㜸㉥㥣㑢愶㘳愹㕣㈴ㄹ㑦挴㐲昱㜸㈶㤳㡢㤸㝡㍡㤴捡㐴㌲摣晦愹晤戴づ㡤挶戳愹㙣㐶搷攳搸㈷ㅡぢㅢ攱戴ㄹ㠹㠶㔳㘶㌴㠹晥〹挵㡣㕣㜰㤳敤㕥晥っ〹㜹ㄴ㈲戸搹㔱晤㌷㔵㍦愷㙡㡢愳慡愳〴㠳㐶挵㜸户捤㌸昲㜸慢〷㈹㕦㠴〸〴户㐱慡㈱㝢て㜵㥣慡㈴㈷愶攰㜶㐷㝦ㄶつ㕥愲㥥摢〰挴㕢㤰挲㥦㑦晥摥㑥㌰㈳㜶㐰㉡づ㠵㥢㐳捥㐵㡡挳㤷晦挷㙢搴㕥㠲㘲挵㘱ㅢ㤸〳㠷㍢㤱㔷ㅣ戶㐳㍡㜷㈵捣㉤㤹㘴㉡㥥㐸㐷㘳戱㔸㈲ㅤ㐹攵攲㤹㘸㌸ㄳ㠹㠵㔳愱㘴㐲敢愸㐳攳〹㌳㥤㐸挶㜳㌱摤㐸㘰㠰㠷㔲愱㠴㘱㘶搳戱㐸㉥ㄲ捤㠴挲愱㈰㐳㑡扡㤷㝣㝥㤲ㅡ㐴㜰捡㔱㜵㔲搵㐵搵㉥㐷㔵㐷攱ㄶ㘳㜳昸㉢㌴㠳㤳㠷慡㜴て㑤㝡㈱〲挱ㅣ〰㡡㐳㑥ㅥ㤲戳㠵攴摣㄰攴つ㔹改〷㜸摡㠵㌴㔸㠵㔴搰㠴㥥㐷㜰户㤳㤸㜶ㄲ㜹㍢㈱昶㈰挱戴㕣〴㌳㈶搴愷〸愹㜸晥㉦㔴挵㤹㌲㘴㥤攷ㅦ㜹昲㕣㠲㤱慡昲㈹㜰〵㥥换挸㈳攵搳ㄶ㐳摡㍣攳ㄷ㔵㘶っ㤷㜸挸㡣挶戲㤹㕣㈶ㅢ㑥㘷攲㐹挳㑣㘷㡣㈸愶㙤敤戵㜵愸ㄱ㐹ㅡ㤹㤸㤹捣㘴㑣㍤㤶捥㈴昰㠳慣㈸收㠷ㄴ㔲㔹㍤㤵㑡〶昷摡敥攵愹戰㤱慦㠳〸㕥收愸㕥㑦搵ㅢ愸慡㌸㉡〲ㄴ㔴㌰〸㔴㘳昵㍦摣㍣㥦捥昲㌳㈰〲挱㝤〰㜸昱扣摦搱㥦㐷挲㤶搳攰㝣㌲㜶㄰㝡晣昹攴㌹㔰㌱㐱㘳昱づ愴ㄴ㠷晦敡收戰㝥扤晦㡢㈷㠷敦㠴㤱攲㜰〰慥挰攱㥦㈰㡦㤴㑦㕢〵㘹㜱㤸㡥愵㈳搸㌵ㅤ㑤ㅢ搹㔴っ户挷㔴搲㐸愷㤲㝡っ捦㐵㠹㘴㈸㤴搴㐲㜵㘸㍣㘷挶㌲ㄱ摣晡戰挹㍡㠶ㅦ摣愴㘳㘱摤㑣愵㜱㙢つ㘱慣㠷戳㐱〶㠹㜴㉦挳㤰㌲〲ㄱ扣摣㔱㐵愹㡡㔱㜵㠵愳㈲㐰㐱挵㤵㔰㈹づ扦㙥㜳㠸扣㑦愶㔸㥥㠶〸〴摦〳㠵攲戰改㝡扦捡搱㡦搰攰㑤㌴ㄸ㐵㑡扣ㄷ㝡攵㘳〸㉡㈶搴攷ㅡ㐸挵攱㤷㍤㌹晣愲㈷㠷っ敤ㄴ㠷㘳㜰〵づ慦㐳ㅥ㈹㉣㉢㐲㕡ㅣ㠶愳㌱搳㠸攵㔲㘶〴挳㉡ぢ〲㡤㔴㌸愲敢戱㔰㌸ㄹ㐹改搱㠸戶戶づ㑤㘱㜳㕣㈶ㄱ㑦攵㘲㈹っ挷㥣㥥㐹敢㤱戸ㅥ捡攰搲㑦愷㤳搹㕣昰㝤戶㝢㌹づㅢ㜹〱㐴昰晤㡥㙡㠲慡㜵㔴㝤挰㔱ㄱ愰愰攲㠳㔰㈹づ敦㜵㜳戸㠱攵ㅢ㈱〲挱ㅢ〱昰攲㤰挱愰搲㌳㑡㤴㕢㘹戰㡥㡣愹㔰㡥慡㙤㔰〱㘳㝤㍥㠲㤴攲昰㉥㑦づ㍦攵挹㈱〳㍡挵攱㕢攱ちㅣ摥㡣㍣㔲㍥㙤〷愴挵㈱㝥㔹㤰㠸㠶愲戱㑣㌸慣挷㜴㕣㤶㍡㙥昸㌹ㄳ㑦㙡愱㔰㌴㥤ぢ㙢㤷搴愱搹㘴づ㔳㘵ㅣ㑦㜶改㈴㥥敡㜴㍤㙣愴挳㔱㈳㙥㐴㈳挹㤴ㄹ㡡〶㙦戱摤换㥤戰㤱㙦㠳〸摥敡愸愶愸摡㐵搵挷ㅣ㔵ㅤ㈵づ㐱愵㌸扣捤捤㘱㡥㈶〶㐴㈰㜸㍢〰㕥ㅣ㝥摣搱㙦㈲㘱㤷搲㠰摢㉣㠲㜷㐰慦ㅡ㕥㠰慡户摤捦㐸收扣愶㐷㝥敦户戳㉢㥡㜷捥慦挱㑥昸㠳昰攲㙢挷㙢㈹敢㘵㑥㐷摢ㅢ㕦㥤㉦戵㈳〲慥戸㔰收扦〹㙤晤㍦昸㐱㡢㕣㘱〶㍤㥥㠶㡦㉣愱慡㝥㐶㔲㈱慦㉡㌶晦愰换晤㑢㐹つ收㈷ㄵ㈷慡捥㉦慣㠶敢㍦搷㍣挱〹㍡㔶㌸ㅢ扡㤷捤㙡㠶㌳㔵㙣〴愸ㄹ㡥搹挶㑡摤づㅢ愴ㄱ㜸愲㘰〵户㝦㥦㌴㥢㜳扤っ㍢㜵㔶㍢㔱慡攲愷ち㐶捥昱㔸挵㡢愱㡥戶㜶攱昹㝥摡晥㘱㈶摦㝥搱ㅢ㝥慣㌰㤱ぢ愲〵愷㝡扣ちㅣ挹搷搴慢昴㕥㤴ぢ昹㈹㤰愳敤〵㑤摡敡愵㘳㑢㈳〹晦昵攸㠸攳㍥㐷㈳敤㍣㈳挷㔹㐰㔶攰㔰㌰㜸㈵昷㐲㝥㥡㈷愹㔹㈷㔹㡢㤳㠸敢㜰ㄲ㥥〸㉡愰昷ㄱ晤㔹㘰愸愲〳昱㌹㍢挳昲扥㉦㈰攳㐷㠲㕤攲㍡㡥づ摡㤹㈱敢扢换晥づづ昵摤敤㔸散ㄴ㑢㙥ㅣ昶ㅦ戹摣㐶㕡㕦㐳㠷㙣攴㤱扡〷㜱ㄸㄶ㈷愳戸㜹敢散搵愸㤱攷ㄶ戱慢散㠲收扤挳㐱挶㤹敡㘲㝢㈷㉡摦摢㉥ㅥ㐴㥥ㄷ㥣戸ㄲㄶㅣ攵㙡㘰扥㡢㑤㝥〸㙡㡢㈰〶㡢摡ㄵ搰愱ㄷ搶㉣つ㠷挴攵〰㤲つ㕥收〱昹㙥愲ㄹ㤶㔹㘸挶㡢摡㝢㉣昴ㄸ搱敦戰搱ㄶ昹㔷ㄳ捤搰捤㐲㝦㤹攸㍦戳搰㙢㠹摥㙦愳愱㠲敦㙢㠹晥㉡㌰㜵昲扦㘶㘷㜸㙥挱搰搰改愹㍥〶㝤散㠵攳敥〹㘰㜱㉣ㅡ敡㝢搴戱昴敡㤱㉢摥㌳㌰慣㠰㐳㤷て愹敦㔳㍥慦扥慦昸敦慦つ㠹挷㘱改搵㌳ㄵ戴挲戳㘷㉥戳ぢ㥡㌷㌵〷㥦㠰㈷搵㌳㌷愰挹攸㤹㈷㤱㔷㍤㔳㠶㐵扤㘷㙥㈴ㅦ㡣戸㉣昶扥㡤㤴昶㈱攸搰㌳㘰㉦㈹昶㌴戰昷攷㐴㌳㐸戳搰っ〴戵㡦㕡㘸昴㑣㔲散戶搱㔶㍦摥㐲㌴愳㍣愷㙢挵昷敤っち㝣㝤㐷㤰㤹㜷愰摦㜲㌳㡦扦ㅤ㝣散ㅢ㍣㝥㍣搸挷挸捦挳㐲㤱〸㜱㜴搰戲昸户挱愸㍡㥥ㄹㄴ捦挱挲㡢捥㡣捤㕡换㈶㜹摤㉥㘸摥㈲ㅤ㘴㈰愸攸扣ㅤ㤵〷㥤㍦㐶㕥搱㌹〵㡢㍡㥤㜷戰挹㡣愹㉣㠲ㄸ攲㘹㥦㠴㑥㑤㌷搱愸搸㘱ㄳ㘴つ摤㍢㠹㘶㠸㘶愱ㄹ攵㘹㥦戶搰㙢㤷〲扤摤㐶㐳㠵愱晢ㄹ愲ㄹ挲搵㠷敥捦敤っ换晢㕥㐰挶㠳㥣㜹收㡤ㄷㅤぢ慦㔱㑡㍡㉤攲扦㙦搳晡搴愰㜸〹ㄶ㕥㜴㙥戱㔹㙢愱㜳戳㕤搰扣攱㍡挸㤸㔰搱昹〵㔴ㅥ㜴㌲戰㔳㜴㙥㠴㐵㥤捥㝢搸㘴㠶㔷ㄶ㐱㡣昶戴扦愶攰散ㅤ㡥㠹ぢ㙤㠲慣昱㜶㤸㘸㐶㙢ㄶ扡㠳挰晢㉤㌴挶㜲㑣㡣摢㘸愸㐰攷〳昸ㄲ㡣收敡愳戳换捥戰扣㡦㐱摢扣㜴戶㡣㑥㐶㜸ㅥㄶ㜰愶㡥愳㠳搷㝦攵㔷换㉦戹晥改挱㙦㝦㘲敦敡挰户㌱㍡ㄷ挲挲㡢捥ㄱ㥢戵ㄶ㍡㠷敤㠲收敤摢挱㐵昰愴攸㝣〸〹搰挹昸㑤搱㌹〸㡢㍡㥤㕦㠱㔶㌰搶戲〸㘲㔰愷㝤㡤㐲㕤散㜱㜱㕥〳㐱てㄳ捤㤸换㐲㌳慥搳晥挹㐲㠳晣戸㐸摡㘸㡢晣㐷㠸㘶搰㔶愷㤳挱ㅢ㌳昸昲昵㥤づ改㐱捥散攸㙣愱㤳㠱㥣㠷㠵捤㘶晤㘲扦㙢昰晥㌷㕣昵㕦㥢敦晦晣愰㔸づぢ㉦㍡㈳愸㠴攷摣ㄹ戶ぢ㥡㜷㝥〷捦㠱㈷㐵攷攳㐸㠰㑥㠶㜲㡡捥㔵戰愸搳昹〴戴㠲㘱㤷㐵㄰攳㍢敤㕢ㄴ愴㌳ㅡㄶ㉢〰㜶〸〸挸㈷㠹㡥搴搱㈱〲扦㘳愱挷㠸㍥换㐶㕢㔳挳㜷㠹㘶晣㐶〷㔴㠹㤸㥤挱㤷慦㉦〵改㐱捥㉣㥤ㄶ㑤慥㠷〴挶㜴捡㘲慥㡢㍤愰㠶攵捦〶㉦㔱挳昴㘷㠳㠲㤱㥤ㄷ㥤愷愳㐶㥥㜴㉥戱ぢ㥡昷㤱〷㠷攰㐹搱㜹〴〹搰㌹㠶㉦㐵攷㘹戰愸搳昹㌴戴㠲ㄱ㤸㐵㈷㐳㍤敤㔹ち㐵㘷㐸㥣ち昰㉣㥤捦ㄱ㝤㐱ㅤ扤㤶挰ㅦ㕡㘸搰ㄹㄲ慦戱搱ㄶ㥤捦ㄳ捤㔰慥㑥攷㍡㍢㠳㉦㕦ㅦ㈳戶㔷㐶㈷挳扢㜹改㙣㤹㍢户挲挲㡢捥㠵㌶㙢㉤ㄷ晢〹㜶㐱昳慥昴攰㌶㜸㔲㜴ㅥ㐵〲㜴扥ㄵ㕦㡡捥㍥㔸搴改晣㌹戴㠲㘱㤶㐵㈷愳㍥敤㤷ㄴ敡挹㌷㉥扡ㅢ〸㝡㠱㘸㐶㙤ㄶ㥡㠱㥦昶㙢ぢ㡤㐷搸戸攸戴搱㔰㘱敥晣㉤扥〴愳扡㍡㥤扢散っ换晢㜲㤰慦㡣㑥㐶㝡㜳搳昹㘷㕦ㅤ㝡慣㍦戱昵愱㡢昷つ㝤㜸摢摢ㅦ晥挴㥢昶て㠹㑢㘱攱㐵㘷㥢捤㕡ぢ㥤挲㉥㘸搹攳捥㌰昱㔸㝢摣㕤扦ㅡ㔷㙦㠴㑣扥㈴散㌶㉤㌵㈳㍢扣㈶捣ㄷち敡つ㕢て㜶愴㔶昰扢敤昵搸㜹㡤㝤愸昸扦㘶散搷㌹搸㤱捤つ㝥捥㥥㐷愹㜲㌴搶捣㡤ㄵ㙣㠲散㌴㈷慡搸㌱㥦敢挲敦㑥㙢㌵晣晦㌴㝦っ摢㔵昱捥戳〳〴攱戰㌶慡㝡扥㙥摣㠶㘲捦㈸捡摡挴㍥换㠷昳㜳散㌶㙥㘴㝤㜵㥢攷㌵㉥〶搴摦㤲攷㕣㝢戳㍢挴换㉦㌹慢挷㔷昸㕥㔶㤵昶戵昹㘴ㅢっ㌴㙣㈵昵昱〷㤵㙡㐵〵㈲㈰㍢愰戱昶挲昲攵戳捦捦攸戹戹㜵㝣〳捣愹挵搷昴慢敡敥㙥㌶搹㌹㍡㉡㠰捣ㄷ㝣攲㑣扥捥攲㤴捥晦㔲慢慢㌸㔵㌰㑡扢㙢搳昵晦㐶慢㔳晤㐶㕢㙡㐰昱㔴晣㠸㝤㤰昴㉡㍢摤㕡〶㔹ㅣ慥㕡ㄷ戴敥摤㤷㡤㌴扣攸㐹㐳〰㌶㕡㌷㐴㈳つ㍤搰戸㘸㄰㡣搵㐸㠵㜳㠸㜷㈳愳慡戲〰㐸攷㄰㔷㍢摡㍥户昶㕡㐷ㅢ㜴㙢㙦㠰㔶㔵晢〴㘸㕤㝢㤷ㅡ㙢晤㔳捦㕡㥦〸ㄳ㙤ㄱ㐴㘳慤㑦㠲挶㕤敢ㅢ㜱㡡㠶㕡晦戹㔳㤳搷〰㠹戴㐵敢㉤㡥昶ㄴ户昶㜶㘸㔵晤ㄶ㐳㍢挷搰㝡捥戳㜶愷戲ㅡㅣ㕡戳挳敡昵㔴㜱㐴㈹㠱㥤㝣㜰摥㔰戳㍢㥤㍡㥣〶㈴搲㔶捤㍥攳㘸晢摤摡㉦㐰慢㙡戶〴摡㌹㤹晢㠱㘷摤捥㠰㠹戶ㄴ愲㤱戹㘵搰戸敢㜷て㑥搱㔰扦挳㑥㑤捥〲ㄲ㘹慢㝥て㌸摡攵㙥敤㐳搰慡晡㥤つ敤㥣昵㝢搲戳㝥㉢㘰愲慤㠴㘸慣摦戹搰戸敢昷ㄵ㥣愲愱㝥て㍢㌵㔹〵㈴搲㔶晤ㅥ㜱戴㈱户昶㜱㘸㔵晤挲搰捥搱戳摦昴慣㕤㤴搵㘸散搹㌸㔵慥㥥㝤〲捥ㅢ㙡昶愴㔳㠷愴扢づ摦㜵戴㈹户昶㠸㔳戳㌴戴㜳搴散㘱捦㥡㥤挷㙡㌴搶㙣㌵㔵慥㥡昱㔱慡愱㘶捦㌹㜵ㄸ㜴搷攱㜹㐷㍢攴搶昲愹㐲㜱㌶っ敤ㅣ㌵晢㤲㘷捤㐶㔹㡤挶㥡慤愱捡㔵戳㥦㌷搷散〵愷づ攳敥㍡昰〱愳㠲㡦扣挰愵昵㜳㈲㍦敥摢っ〲㑣摦㠹戸㈱摢晦愱攱〸㝥晥戱愲挰晦捥搰敢搷〴㡤扦戶㤹挰㜹〴㙦て昴㈱搷搹〹㘶晡㌸㐹㌳挱〹搸搷挷挹戹㥥ㄳ㥣㘰㔹㐵㜹㈱搵㥣㔷㤵晤㝡㍢愱散㥤㌹戴慢捦㤹㌷扢晡㥣戹ㄲ㍦㔷〲㔴㜹戸㠸㌶㥣攳㤴㠷つ㙥て㥣捦敡攷散攳㍣㔶捦〹㑥㐷捡㝥㈳搵㥣㠹㤴晤㈶㍢挱㑣ㅦ㘷㥤扡㐵ㅦ㘷㥢㝡㑥㥣㠱㥣戲摦㑣㌵㘷ち㘵扦挵㑥㈸㝢捥ち㜵㡢㍥捥〶昵㥣攰㈵慤散㈷愹收㤵慣散户摡〹㘵捦慢戶㙥搱挷慢戵㥥ㄳ扣攸㤴晤挵㔴昳㝡㔳昶摢散㠴戲攷戵㔵户攸攳㌵㔵捦〹㕥ㅡ捡㝥㍢搵扣㉡㤴晤㥢敤㠴戲攷ㄵ㔰户攸攳挸慦攷〴〷戰戲㝦ぢ搵ㅣ扢捡晥慤㜶㐲搹㜳㥣搶㉤晡㌸㍥敢㌹愱〶づ㐸㤶㍢愰㜶㡥㈰〷㤰㝡㕥扦〴〹㍣慦慢攱㐱搴㑥㌷㡡挳㐴愱摥㘶愱搴㄰㈰㙡捡㡤攲㔰㔰愸㕤ㄶ㑡㜵㜴㡢㉦㜶戸㐲㘵㉣㤴敡㑥愲戲挸㍢㐷㤰摤慡㔰㌹ぢ愵㍡㡤㈸挳㡤㘲攷㈹㤴㘹愱㔴搷㄰搵搰㐶㜶㤱㐲㑤㕢㈸搵〱㐴攵㤱㜷㡥㈰㍢㐲愱㉥戵㔰㡡㘶愲昶戸㔱愴㕢愱ちちㄵ㜴㑥㈴挸㥦ち㜴㙥挲昴挳㐰㘷〴戶㕤搸戵收㄰㈹挸㥤㐲摣搸㠴㜰㐸ㄴ攴㑤㈱㍥搸㠸㄰愴㑡ㄵ摣搰㔸㄰㜴㌸ㄳ愴㐹㈱慥㙦㐲㌸㝣〹㔲愴㄰ㅦ㘸㐴〸戲愲ち摥摦㔸㄰㜴攸ㄱ㘴㐴㈱摥搷㠴㜰愸ㄱ㘴㐳㈱慥㙢㐴㜴晦㉦昸㠲㑦愷</t>
  </si>
</sst>
</file>

<file path=xl/styles.xml><?xml version="1.0" encoding="utf-8"?>
<styleSheet xmlns="http://schemas.openxmlformats.org/spreadsheetml/2006/main" xmlns:mc="http://schemas.openxmlformats.org/markup-compatibility/2006" xmlns:x14ac="http://schemas.microsoft.com/office/spreadsheetml/2009/9/ac" mc:Ignorable="x14ac">
  <numFmts count="98">
    <numFmt numFmtId="41" formatCode="_(* #,##0_);_(* \(#,##0\);_(* &quot;-&quot;_);_(@_)"/>
    <numFmt numFmtId="43" formatCode="_(* #,##0.00_);_(* \(#,##0.00\);_(* &quot;-&quot;??_);_(@_)"/>
    <numFmt numFmtId="164" formatCode="_(&quot;$b&quot;\ * #,##0_);_(&quot;$b&quot;\ * \(#,##0\);_(&quot;$b&quot;\ * &quot;-&quot;_);_(@_)"/>
    <numFmt numFmtId="165" formatCode="_(&quot;$b&quot;\ * #,##0.00_);_(&quot;$b&quot;\ * \(#,##0.00\);_(&quot;$b&quot;\ * &quot;-&quot;??_);_(@_)"/>
    <numFmt numFmtId="166" formatCode="&quot;P90: &quot;General"/>
    <numFmt numFmtId="167" formatCode="&quot;P10: &quot;General"/>
    <numFmt numFmtId="168" formatCode="&quot;P1: &quot;General"/>
    <numFmt numFmtId="169" formatCode="&quot;P99: &quot;General"/>
    <numFmt numFmtId="170" formatCode="0.0%"/>
    <numFmt numFmtId="171" formatCode="0.0;\-0.0;&quot;--&quot;"/>
    <numFmt numFmtId="172" formatCode="0.000;\-0.000;&quot;--&quot;"/>
    <numFmt numFmtId="173" formatCode="0.000"/>
    <numFmt numFmtId="174" formatCode="#,##0.00;\-0.00;&quot;--&quot;"/>
    <numFmt numFmtId="175" formatCode="&quot;P50: &quot;General"/>
    <numFmt numFmtId="176" formatCode="&quot;P10&quot;\ 0.000;\-0.0;&quot;--&quot;"/>
    <numFmt numFmtId="177" formatCode="&quot;P90: &quot;0.000;\-0.00;&quot;--&quot;"/>
    <numFmt numFmtId="178" formatCode="0.000\ &quot;[CB]&quot;"/>
    <numFmt numFmtId="179" formatCode="0.00;\-0.00;&quot;--&quot;"/>
    <numFmt numFmtId="180" formatCode="0.0000;\-0.0000;&quot;--&quot;"/>
    <numFmt numFmtId="181" formatCode="0.000_)"/>
    <numFmt numFmtId="182" formatCode="_ * #,##0.00_ ;_ * \-#,##0.00_ ;_ * &quot;-&quot;??_ ;_ @_ "/>
    <numFmt numFmtId="183" formatCode="_ [$€-2]\ * #,##0.00_ ;_ [$€-2]\ * \-#,##0.00_ ;_ [$€-2]\ * &quot;-&quot;??_ "/>
    <numFmt numFmtId="184" formatCode="_([$€]* #,##0.00_);_([$€]* \(#,##0.00\);_([$€]* &quot;-&quot;??_);_(@_)"/>
    <numFmt numFmtId="185" formatCode="0.0\%_);\(0.0\%\);0.0\%_);@_%_)"/>
    <numFmt numFmtId="186" formatCode="#,##0;\-0;&quot;--&quot;"/>
    <numFmt numFmtId="187" formatCode="#,##0.0;\-0.0;&quot;--&quot;"/>
    <numFmt numFmtId="188" formatCode="dd\ \-\ mmm\ \-\ yyyy"/>
    <numFmt numFmtId="189" formatCode="0.00000"/>
    <numFmt numFmtId="190" formatCode="0.00000\ &quot;[CB]&quot;"/>
    <numFmt numFmtId="191" formatCode="&quot;P90: &quot;0.000000;\-0.000;&quot;--&quot;"/>
    <numFmt numFmtId="192" formatCode="&quot;P90: &quot;0.000000;\-0.0;&quot;--&quot;"/>
    <numFmt numFmtId="193" formatCode="&quot;P90: &quot;#,##0.000;\-0.00;&quot;--&quot;"/>
    <numFmt numFmtId="194" formatCode="&quot;P10: &quot;#,##0.00;\-0.00;&quot;--&quot;"/>
    <numFmt numFmtId="195" formatCode="&quot;P10: &quot;#,##0.000;\-0.00;&quot;--&quot;"/>
    <numFmt numFmtId="196" formatCode="&quot;P90: &quot;#,##0.00;\-0.00;&quot;--&quot;"/>
    <numFmt numFmtId="197" formatCode="&quot;P50: &quot;#,##0.0;\-0.00;&quot;--&quot;"/>
    <numFmt numFmtId="198" formatCode="&quot;P1: &quot;#,##0.0;\-0.00;&quot;--&quot;"/>
    <numFmt numFmtId="199" formatCode="&quot;P99: &quot;#,##0.0;\-0.00;&quot;--&quot;"/>
    <numFmt numFmtId="200" formatCode="#,##0.0000;\-0.0000;&quot;--&quot;"/>
    <numFmt numFmtId="201" formatCode="#,##0.000;\-0.000;&quot;--&quot;"/>
    <numFmt numFmtId="202" formatCode="#,##0.00000;\-0.00000;&quot;--&quot;"/>
    <numFmt numFmtId="203" formatCode="#,##0.0000000;\-0.0000000;&quot;--&quot;"/>
    <numFmt numFmtId="204" formatCode="0.0"/>
    <numFmt numFmtId="205" formatCode="&quot;P90: &quot;0.000"/>
    <numFmt numFmtId="206" formatCode="0.0\ &quot; %&quot;"/>
    <numFmt numFmtId="207" formatCode="&quot;P10: &quot;0.000"/>
    <numFmt numFmtId="208" formatCode="&quot;[&quot;@&quot;]&quot;"/>
    <numFmt numFmtId="209" formatCode="0.00000;\-0.00000;&quot;--&quot;"/>
    <numFmt numFmtId="210" formatCode="0.000000;\-0.000000;&quot;--&quot;"/>
    <numFmt numFmtId="211" formatCode="0.00\ &quot; %&quot;"/>
    <numFmt numFmtId="212" formatCode="0.0000"/>
    <numFmt numFmtId="213" formatCode="&quot;MW: &quot;0.00"/>
    <numFmt numFmtId="214" formatCode="&quot;SG: &quot;0.000"/>
    <numFmt numFmtId="215" formatCode="_-&quot;$&quot;* #,##0_-;\-&quot;$&quot;* #,##0_-;_-&quot;$&quot;* &quot;-&quot;_-;_-@_-"/>
    <numFmt numFmtId="216" formatCode="_-* #,##0\ _D_M_-;\-* #,##0\ _D_M_-;_-* &quot;-&quot;\ _D_M_-;_-@_-"/>
    <numFmt numFmtId="217" formatCode="&quot;$b&quot;\ #,##0;&quot;$b&quot;\ \-#,##0"/>
    <numFmt numFmtId="218" formatCode="_-* #,##0.00\ _D_M_-;\-* #,##0.00\ _D_M_-;_-* &quot;-&quot;??\ _D_M_-;_-@_-"/>
    <numFmt numFmtId="219" formatCode="#,##0.00;\(#,##0.00\)"/>
    <numFmt numFmtId="220" formatCode="#,##0;\(#,##0\)"/>
    <numFmt numFmtId="221" formatCode="_-* #,##0\ &quot;DM&quot;_-;\-* #,##0\ &quot;DM&quot;_-;_-* &quot;-&quot;\ &quot;DM&quot;_-;_-@_-"/>
    <numFmt numFmtId="222" formatCode="_-* #,##0.00\ &quot;DM&quot;_-;\-* #,##0.00\ &quot;DM&quot;_-;_-* &quot;-&quot;??\ &quot;DM&quot;_-;_-@_-"/>
    <numFmt numFmtId="223" formatCode="m\o\n\th\ d\,\ yyyy"/>
    <numFmt numFmtId="224" formatCode="mmm\-d\-yyyy"/>
    <numFmt numFmtId="225" formatCode="mmm\-yyyy"/>
    <numFmt numFmtId="226" formatCode="#,##0.0_);[Red]\(#,##0.0\)"/>
    <numFmt numFmtId="227" formatCode="#,##0\ \ ;[Red]\(#,##0\)\ ;&quot; 0  &quot;"/>
    <numFmt numFmtId="228" formatCode="_([$€-2]* #,##0.00_);_([$€-2]* \(#,##0.00\);_([$€-2]* &quot;-&quot;??_)"/>
    <numFmt numFmtId="229" formatCode="#,##0."/>
    <numFmt numFmtId="230" formatCode="#,#00"/>
    <numFmt numFmtId="231" formatCode="#.##000"/>
    <numFmt numFmtId="232" formatCode="#.00"/>
    <numFmt numFmtId="233" formatCode="#."/>
    <numFmt numFmtId="234" formatCode="#,##0.0\ \ "/>
    <numFmt numFmtId="235" formatCode="_ * #,##0_ ;_ * \-#,##0_ ;_ * &quot;-&quot;_ ;_ @_ "/>
    <numFmt numFmtId="236" formatCode="#,##0.000000"/>
    <numFmt numFmtId="237" formatCode="mmmm\ \ yyyy"/>
    <numFmt numFmtId="238" formatCode="#,##0.00000"/>
    <numFmt numFmtId="239" formatCode="_-* #,##0.00\ _€_-;\-* #,##0.00\ _€_-;_-* &quot;-&quot;??\ _€_-;_-@_-"/>
    <numFmt numFmtId="240" formatCode="_(* #,##0.00000_);_(* \(#,##0.00000\);_(* &quot;-&quot;_);_(@_)"/>
    <numFmt numFmtId="241" formatCode="_(* #,##0_);_(* \(#,##0\);_(* &quot;-&quot;??_);_(@_)"/>
    <numFmt numFmtId="242" formatCode="_-* #,##0\ &quot;$&quot;_-;\-* #,##0\ &quot;$&quot;_-;_-* &quot;-&quot;\ &quot;$&quot;_-;_-@_-"/>
    <numFmt numFmtId="243" formatCode="\$#,#00"/>
    <numFmt numFmtId="244" formatCode="#,##0.0000"/>
    <numFmt numFmtId="245" formatCode="_-* #,##0.00_-;\-* #,##0.00_-;_-* &quot;-&quot;??_-;_-@_-"/>
    <numFmt numFmtId="246" formatCode="#,##0.000"/>
    <numFmt numFmtId="247" formatCode="_(&quot;R$&quot;* #,##0_);_(&quot;R$&quot;* \(#,##0\);_(&quot;R$&quot;* &quot;-&quot;_);_(@_)"/>
    <numFmt numFmtId="248" formatCode="_(&quot;R$&quot;* #,##0.00_);_(&quot;R$&quot;* \(#,##0.00\);_(&quot;R$&quot;* &quot;-&quot;??_);_(@_)"/>
    <numFmt numFmtId="249" formatCode="_ &quot;$b&quot;\ * #,##0.00_ ;_ &quot;$b&quot;\ * \-#,##0.00_ ;_ &quot;$b&quot;\ * &quot;-&quot;??_ ;_ @_ "/>
    <numFmt numFmtId="250" formatCode="#,##0.0\x_);[Red]\(#,##0.0\x\);&quot;--  &quot;"/>
    <numFmt numFmtId="251" formatCode="%#,#00"/>
    <numFmt numFmtId="252" formatCode="#,##0.00\x"/>
    <numFmt numFmtId="253" formatCode="&quot;Bg: &quot;0.000000&quot;, cf/scf&quot;"/>
    <numFmt numFmtId="254" formatCode="0.000000"/>
    <numFmt numFmtId="255" formatCode="0.0000000"/>
    <numFmt numFmtId="256" formatCode="#,##0.00000000;\-0.00000000;&quot;--&quot;"/>
    <numFmt numFmtId="257" formatCode="0.00&quot; ppg&quot;"/>
    <numFmt numFmtId="258" formatCode="0.000\ &quot; psi/ft&quot;"/>
    <numFmt numFmtId="259" formatCode="#,##0.00&quot; ºC&quot;;\-0.00;&quot;--&quot;"/>
  </numFmts>
  <fonts count="162">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1"/>
      <color theme="1"/>
      <name val="Calibri"/>
      <family val="2"/>
      <scheme val="minor"/>
    </font>
    <font>
      <b/>
      <sz val="11"/>
      <color theme="1"/>
      <name val="Calibri"/>
      <family val="2"/>
      <scheme val="minor"/>
    </font>
    <font>
      <sz val="8"/>
      <color theme="1"/>
      <name val="Calibri"/>
      <family val="2"/>
      <scheme val="minor"/>
    </font>
    <font>
      <vertAlign val="superscript"/>
      <sz val="8"/>
      <color theme="1"/>
      <name val="Calibri"/>
      <family val="2"/>
      <scheme val="minor"/>
    </font>
    <font>
      <sz val="8"/>
      <name val="Arial"/>
      <family val="2"/>
    </font>
    <font>
      <sz val="8"/>
      <name val="Calibri"/>
      <family val="2"/>
      <scheme val="minor"/>
    </font>
    <font>
      <b/>
      <sz val="8"/>
      <color theme="1"/>
      <name val="Calibri"/>
      <family val="2"/>
      <scheme val="minor"/>
    </font>
    <font>
      <b/>
      <sz val="8"/>
      <name val="Arial"/>
      <family val="2"/>
    </font>
    <font>
      <b/>
      <sz val="8"/>
      <name val="Calibri"/>
      <family val="2"/>
      <scheme val="minor"/>
    </font>
    <font>
      <sz val="9"/>
      <color rgb="FF000000"/>
      <name val="Arial Unicode MS"/>
      <family val="2"/>
    </font>
    <font>
      <b/>
      <sz val="8"/>
      <color rgb="FF0000FF"/>
      <name val="Arial"/>
      <family val="2"/>
    </font>
    <font>
      <b/>
      <sz val="9"/>
      <color indexed="81"/>
      <name val="Tahoma"/>
      <family val="2"/>
    </font>
    <font>
      <sz val="10"/>
      <name val="Geneva"/>
    </font>
    <font>
      <vertAlign val="superscript"/>
      <sz val="8"/>
      <name val="Calibri"/>
      <family val="2"/>
      <scheme val="minor"/>
    </font>
    <font>
      <b/>
      <sz val="8"/>
      <color indexed="81"/>
      <name val="Tahoma"/>
      <family val="2"/>
    </font>
    <font>
      <sz val="9"/>
      <color indexed="81"/>
      <name val="Tahoma"/>
      <family val="2"/>
    </font>
    <font>
      <sz val="8"/>
      <color indexed="81"/>
      <name val="Tahoma"/>
      <family val="2"/>
    </font>
    <font>
      <b/>
      <sz val="8"/>
      <color rgb="FF0000FF"/>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sz val="11"/>
      <color indexed="17"/>
      <name val="Calibri"/>
      <family val="2"/>
    </font>
    <font>
      <b/>
      <sz val="10"/>
      <name val="Arial"/>
      <family val="2"/>
    </font>
    <font>
      <b/>
      <sz val="11"/>
      <color indexed="52"/>
      <name val="Calibri"/>
      <family val="2"/>
    </font>
    <font>
      <b/>
      <sz val="11"/>
      <color indexed="9"/>
      <name val="Calibri"/>
      <family val="2"/>
    </font>
    <font>
      <sz val="11"/>
      <color indexed="52"/>
      <name val="Calibri"/>
      <family val="2"/>
    </font>
    <font>
      <sz val="11"/>
      <name val="Tms Rmn"/>
    </font>
    <font>
      <b/>
      <sz val="11"/>
      <color indexed="56"/>
      <name val="Calibri"/>
      <family val="2"/>
    </font>
    <font>
      <sz val="11"/>
      <color indexed="62"/>
      <name val="Calibri"/>
      <family val="2"/>
    </font>
    <font>
      <sz val="10"/>
      <name val="Tahoma"/>
      <family val="2"/>
    </font>
    <font>
      <i/>
      <sz val="11"/>
      <color indexed="23"/>
      <name val="Calibri"/>
      <family val="2"/>
    </font>
    <font>
      <sz val="8"/>
      <name val="Helv"/>
    </font>
    <font>
      <sz val="8"/>
      <name val="Palatino"/>
      <family val="1"/>
    </font>
    <font>
      <b/>
      <sz val="15"/>
      <color indexed="56"/>
      <name val="Calibri"/>
      <family val="2"/>
    </font>
    <font>
      <b/>
      <sz val="13"/>
      <color indexed="56"/>
      <name val="Calibri"/>
      <family val="2"/>
    </font>
    <font>
      <sz val="11"/>
      <color indexed="60"/>
      <name val="Calibri"/>
      <family val="2"/>
    </font>
    <font>
      <b/>
      <sz val="20"/>
      <name val="TimesNewRomanPS"/>
    </font>
    <font>
      <sz val="10"/>
      <name val="Arial MT"/>
    </font>
    <font>
      <b/>
      <sz val="11"/>
      <color indexed="63"/>
      <name val="Calibri"/>
      <family val="2"/>
    </font>
    <font>
      <b/>
      <sz val="12"/>
      <color indexed="12"/>
      <name val="Poor Richard"/>
      <family val="1"/>
    </font>
    <font>
      <sz val="11"/>
      <color indexed="10"/>
      <name val="Calibri"/>
      <family val="2"/>
    </font>
    <font>
      <b/>
      <sz val="18"/>
      <color indexed="56"/>
      <name val="Cambria"/>
      <family val="2"/>
    </font>
    <font>
      <b/>
      <sz val="11"/>
      <color indexed="8"/>
      <name val="Calibri"/>
      <family val="2"/>
    </font>
    <font>
      <b/>
      <sz val="9"/>
      <name val="Arial"/>
      <family val="2"/>
    </font>
    <font>
      <b/>
      <sz val="9"/>
      <color rgb="FF0000FF"/>
      <name val="Arial"/>
      <family val="2"/>
    </font>
    <font>
      <sz val="10"/>
      <name val="Calibri"/>
      <family val="2"/>
      <scheme val="minor"/>
    </font>
    <font>
      <sz val="8"/>
      <name val="Arial"/>
      <family val="2"/>
    </font>
    <font>
      <b/>
      <vertAlign val="superscript"/>
      <sz val="8"/>
      <name val="Calibri"/>
      <family val="2"/>
      <scheme val="minor"/>
    </font>
    <font>
      <sz val="10"/>
      <name val="Symbol"/>
      <family val="1"/>
      <charset val="2"/>
    </font>
    <font>
      <sz val="14"/>
      <name val="Symbol"/>
      <family val="1"/>
      <charset val="2"/>
    </font>
    <font>
      <sz val="9"/>
      <name val="Arial"/>
      <family val="2"/>
    </font>
    <font>
      <sz val="9"/>
      <color theme="1"/>
      <name val="Calibri"/>
      <family val="2"/>
      <scheme val="minor"/>
    </font>
    <font>
      <vertAlign val="subscript"/>
      <sz val="9"/>
      <color theme="1"/>
      <name val="Calibri"/>
      <family val="2"/>
      <scheme val="minor"/>
    </font>
    <font>
      <b/>
      <sz val="9"/>
      <color theme="1"/>
      <name val="Calibri"/>
      <family val="2"/>
      <scheme val="minor"/>
    </font>
    <font>
      <b/>
      <sz val="9"/>
      <color theme="1"/>
      <name val="Arial"/>
      <family val="2"/>
    </font>
    <font>
      <b/>
      <sz val="8"/>
      <color indexed="12"/>
      <name val="Arial"/>
      <family val="2"/>
    </font>
    <font>
      <b/>
      <sz val="8"/>
      <color indexed="51"/>
      <name val="Arial"/>
      <family val="2"/>
    </font>
    <font>
      <sz val="11"/>
      <name val="Symbol"/>
      <family val="1"/>
      <charset val="2"/>
    </font>
    <font>
      <sz val="11"/>
      <name val="Arial"/>
      <family val="2"/>
    </font>
    <font>
      <b/>
      <sz val="8"/>
      <color indexed="8"/>
      <name val="Arial"/>
      <family val="2"/>
    </font>
    <font>
      <b/>
      <sz val="8"/>
      <color indexed="10"/>
      <name val="Arial"/>
      <family val="2"/>
    </font>
    <font>
      <b/>
      <sz val="8"/>
      <color indexed="11"/>
      <name val="Arial"/>
      <family val="2"/>
    </font>
    <font>
      <b/>
      <sz val="9"/>
      <color theme="1"/>
      <name val="Symbol"/>
      <family val="1"/>
      <charset val="2"/>
    </font>
    <font>
      <sz val="8"/>
      <name val="Arial"/>
      <family val="2"/>
    </font>
    <font>
      <sz val="12"/>
      <name val="Helv"/>
    </font>
    <font>
      <sz val="12"/>
      <name val="Times New Roman"/>
      <family val="1"/>
    </font>
    <font>
      <sz val="10"/>
      <color indexed="8"/>
      <name val="Arial"/>
      <family val="2"/>
    </font>
    <font>
      <sz val="10"/>
      <color indexed="9"/>
      <name val="Arial"/>
      <family val="2"/>
    </font>
    <font>
      <sz val="11"/>
      <color indexed="16"/>
      <name val="Calibri"/>
      <family val="2"/>
    </font>
    <font>
      <sz val="11"/>
      <color indexed="37"/>
      <name val="Calibri"/>
      <family val="2"/>
    </font>
    <font>
      <sz val="10"/>
      <color indexed="17"/>
      <name val="Arial"/>
      <family val="2"/>
    </font>
    <font>
      <b/>
      <sz val="11"/>
      <color indexed="53"/>
      <name val="Calibri"/>
      <family val="2"/>
    </font>
    <font>
      <b/>
      <sz val="11"/>
      <color indexed="17"/>
      <name val="Calibri"/>
      <family val="2"/>
    </font>
    <font>
      <b/>
      <sz val="10"/>
      <color indexed="52"/>
      <name val="Arial"/>
      <family val="2"/>
    </font>
    <font>
      <sz val="9"/>
      <color indexed="10"/>
      <name val="Geneva"/>
    </font>
    <font>
      <b/>
      <sz val="10"/>
      <color indexed="9"/>
      <name val="Arial"/>
      <family val="2"/>
    </font>
    <font>
      <sz val="10"/>
      <color indexed="52"/>
      <name val="Arial"/>
      <family val="2"/>
    </font>
    <font>
      <sz val="10"/>
      <name val="Times New Roman"/>
      <family val="1"/>
    </font>
    <font>
      <sz val="10"/>
      <name val="Garamond"/>
      <family val="1"/>
    </font>
    <font>
      <sz val="1"/>
      <color indexed="8"/>
      <name val="Courier"/>
      <family val="3"/>
    </font>
    <font>
      <sz val="12"/>
      <name val="Tms Rmn"/>
    </font>
    <font>
      <sz val="12"/>
      <color indexed="12"/>
      <name val="Times New Roman"/>
      <family val="1"/>
    </font>
    <font>
      <b/>
      <sz val="1"/>
      <color indexed="8"/>
      <name val="Courier"/>
      <family val="3"/>
    </font>
    <font>
      <b/>
      <sz val="11"/>
      <color indexed="56"/>
      <name val="Arial"/>
      <family val="2"/>
    </font>
    <font>
      <sz val="10"/>
      <color indexed="62"/>
      <name val="Arial"/>
      <family val="2"/>
    </font>
    <font>
      <sz val="10"/>
      <name val="MS Sans Serif"/>
      <family val="2"/>
    </font>
    <font>
      <u/>
      <sz val="7.5"/>
      <color indexed="36"/>
      <name val="Arial"/>
      <family val="2"/>
    </font>
    <font>
      <b/>
      <sz val="15"/>
      <color indexed="62"/>
      <name val="Calibri"/>
      <family val="2"/>
    </font>
    <font>
      <b/>
      <sz val="13"/>
      <color indexed="62"/>
      <name val="Calibri"/>
      <family val="2"/>
    </font>
    <font>
      <b/>
      <sz val="11"/>
      <color indexed="62"/>
      <name val="Calibri"/>
      <family val="2"/>
    </font>
    <font>
      <u/>
      <sz val="7.5"/>
      <color indexed="12"/>
      <name val="Arial"/>
      <family val="2"/>
    </font>
    <font>
      <u/>
      <sz val="10"/>
      <color indexed="12"/>
      <name val="Arial"/>
      <family val="2"/>
    </font>
    <font>
      <u/>
      <sz val="8.4"/>
      <color indexed="12"/>
      <name val="Arial"/>
      <family val="2"/>
    </font>
    <font>
      <sz val="10"/>
      <color indexed="20"/>
      <name val="Arial"/>
      <family val="2"/>
    </font>
    <font>
      <sz val="10"/>
      <name val="Courier"/>
      <family val="3"/>
    </font>
    <font>
      <sz val="11"/>
      <color indexed="48"/>
      <name val="Calibri"/>
      <family val="2"/>
    </font>
    <font>
      <sz val="11"/>
      <color indexed="53"/>
      <name val="Calibri"/>
      <family val="2"/>
    </font>
    <font>
      <sz val="10"/>
      <color indexed="60"/>
      <name val="Arial"/>
      <family val="2"/>
    </font>
    <font>
      <b/>
      <i/>
      <sz val="16"/>
      <name val="Helv"/>
    </font>
    <font>
      <sz val="12"/>
      <color theme="1"/>
      <name val="Calibri"/>
      <family val="2"/>
    </font>
    <font>
      <b/>
      <u/>
      <sz val="10"/>
      <name val="Arial"/>
      <family val="2"/>
    </font>
    <font>
      <sz val="8"/>
      <color indexed="10"/>
      <name val="Arial"/>
      <family val="2"/>
    </font>
    <font>
      <sz val="12"/>
      <name val="Arial"/>
      <family val="2"/>
    </font>
    <font>
      <b/>
      <sz val="10"/>
      <color indexed="63"/>
      <name val="Arial"/>
      <family val="2"/>
    </font>
    <font>
      <b/>
      <sz val="10"/>
      <color indexed="8"/>
      <name val="Arial"/>
      <family val="2"/>
    </font>
    <font>
      <b/>
      <sz val="10"/>
      <color indexed="39"/>
      <name val="Arial"/>
      <family val="2"/>
    </font>
    <font>
      <sz val="8"/>
      <color indexed="62"/>
      <name val="Arial"/>
      <family val="2"/>
    </font>
    <font>
      <b/>
      <sz val="12"/>
      <color indexed="8"/>
      <name val="Arial"/>
      <family val="2"/>
    </font>
    <font>
      <sz val="8"/>
      <color indexed="8"/>
      <name val="Arial"/>
      <family val="2"/>
    </font>
    <font>
      <sz val="10"/>
      <color indexed="39"/>
      <name val="Arial"/>
      <family val="2"/>
    </font>
    <font>
      <sz val="12"/>
      <color indexed="48"/>
      <name val="Arial"/>
      <family val="2"/>
    </font>
    <font>
      <b/>
      <sz val="12"/>
      <color indexed="18"/>
      <name val="Arial"/>
      <family val="2"/>
    </font>
    <font>
      <sz val="19"/>
      <color indexed="48"/>
      <name val="Arial"/>
      <family val="2"/>
    </font>
    <font>
      <sz val="19"/>
      <name val="Arial"/>
      <family val="2"/>
    </font>
    <font>
      <sz val="10"/>
      <color indexed="10"/>
      <name val="Arial"/>
      <family val="2"/>
    </font>
    <font>
      <sz val="8"/>
      <color indexed="14"/>
      <name val="Arial"/>
      <family val="2"/>
    </font>
    <font>
      <b/>
      <sz val="18"/>
      <color indexed="62"/>
      <name val="Cambria"/>
      <family val="2"/>
    </font>
    <font>
      <b/>
      <i/>
      <sz val="10"/>
      <color indexed="8"/>
      <name val="Arial"/>
      <family val="2"/>
    </font>
    <font>
      <b/>
      <i/>
      <sz val="11"/>
      <color indexed="12"/>
      <name val="Arial"/>
      <family val="2"/>
    </font>
    <font>
      <b/>
      <i/>
      <sz val="14"/>
      <color indexed="8"/>
      <name val="Arial"/>
      <family val="2"/>
    </font>
    <font>
      <sz val="12"/>
      <color indexed="8"/>
      <name val="Times New Roman"/>
      <family val="1"/>
    </font>
    <font>
      <b/>
      <i/>
      <sz val="12"/>
      <color indexed="8"/>
      <name val="Arial"/>
      <family val="2"/>
    </font>
    <font>
      <b/>
      <u/>
      <sz val="10"/>
      <color indexed="8"/>
      <name val="Arial"/>
      <family val="2"/>
    </font>
    <font>
      <b/>
      <sz val="10"/>
      <color indexed="10"/>
      <name val="Arial"/>
      <family val="2"/>
    </font>
    <font>
      <b/>
      <u/>
      <sz val="10"/>
      <color indexed="18"/>
      <name val="Arial"/>
      <family val="2"/>
    </font>
    <font>
      <sz val="6"/>
      <name val="Arial"/>
      <family val="2"/>
    </font>
    <font>
      <i/>
      <sz val="10"/>
      <color indexed="23"/>
      <name val="Arial"/>
      <family val="2"/>
    </font>
    <font>
      <b/>
      <sz val="15"/>
      <color indexed="56"/>
      <name val="Arial"/>
      <family val="2"/>
    </font>
    <font>
      <b/>
      <sz val="13"/>
      <color indexed="56"/>
      <name val="Arial"/>
      <family val="2"/>
    </font>
    <font>
      <sz val="12"/>
      <name val="TIMES"/>
    </font>
    <font>
      <sz val="11"/>
      <color indexed="14"/>
      <name val="Calibri"/>
      <family val="2"/>
    </font>
    <font>
      <u/>
      <sz val="10"/>
      <color theme="10"/>
      <name val="Times New Roman"/>
      <family val="1"/>
    </font>
    <font>
      <sz val="8"/>
      <color theme="1"/>
      <name val="Arial"/>
      <family val="2"/>
    </font>
    <font>
      <b/>
      <sz val="8"/>
      <color theme="1"/>
      <name val="Arial"/>
      <family val="2"/>
    </font>
    <font>
      <b/>
      <sz val="10"/>
      <color rgb="FF002060"/>
      <name val="Arial"/>
      <family val="2"/>
    </font>
    <font>
      <sz val="8"/>
      <color rgb="FF002060"/>
      <name val="Arial"/>
      <family val="2"/>
    </font>
    <font>
      <sz val="9"/>
      <name val="Calibri"/>
      <family val="2"/>
      <scheme val="minor"/>
    </font>
    <font>
      <sz val="9"/>
      <color theme="0"/>
      <name val="Calibri"/>
      <family val="2"/>
      <scheme val="minor"/>
    </font>
    <font>
      <b/>
      <sz val="11"/>
      <color rgb="FF0000FF"/>
      <name val="Calibri"/>
      <family val="2"/>
      <scheme val="minor"/>
    </font>
    <font>
      <b/>
      <sz val="9"/>
      <name val="Calibri"/>
      <family val="2"/>
      <scheme val="minor"/>
    </font>
  </fonts>
  <fills count="122">
    <fill>
      <patternFill patternType="none"/>
    </fill>
    <fill>
      <patternFill patternType="gray125"/>
    </fill>
    <fill>
      <patternFill patternType="solid">
        <fgColor rgb="FFFFC0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rgb="FF00FFFF"/>
        <bgColor indexed="64"/>
      </patternFill>
    </fill>
    <fill>
      <patternFill patternType="solid">
        <fgColor rgb="FF00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9"/>
        <bgColor indexed="64"/>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50"/>
        <bgColor indexed="64"/>
      </patternFill>
    </fill>
    <fill>
      <patternFill patternType="solid">
        <fgColor indexed="4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indexed="8"/>
        <bgColor indexed="64"/>
      </patternFill>
    </fill>
    <fill>
      <patternFill patternType="solid">
        <fgColor indexed="44"/>
        <bgColor indexed="44"/>
      </patternFill>
    </fill>
    <fill>
      <patternFill patternType="solid">
        <fgColor indexed="61"/>
        <bgColor indexed="61"/>
      </patternFill>
    </fill>
    <fill>
      <patternFill patternType="solid">
        <fgColor indexed="54"/>
        <bgColor indexed="54"/>
      </patternFill>
    </fill>
    <fill>
      <patternFill patternType="solid">
        <fgColor indexed="22"/>
        <bgColor indexed="22"/>
      </patternFill>
    </fill>
    <fill>
      <patternFill patternType="solid">
        <fgColor indexed="24"/>
        <bgColor indexed="24"/>
      </patternFill>
    </fill>
    <fill>
      <patternFill patternType="solid">
        <fgColor indexed="58"/>
        <bgColor indexed="58"/>
      </patternFill>
    </fill>
    <fill>
      <patternFill patternType="solid">
        <fgColor indexed="48"/>
        <bgColor indexed="48"/>
      </patternFill>
    </fill>
    <fill>
      <patternFill patternType="solid">
        <fgColor indexed="15"/>
        <bgColor indexed="15"/>
      </patternFill>
    </fill>
    <fill>
      <patternFill patternType="solid">
        <fgColor indexed="31"/>
        <bgColor indexed="31"/>
      </patternFill>
    </fill>
    <fill>
      <patternFill patternType="solid">
        <fgColor indexed="45"/>
        <bgColor indexed="45"/>
      </patternFill>
    </fill>
    <fill>
      <patternFill patternType="solid">
        <fgColor indexed="40"/>
        <bgColor indexed="40"/>
      </patternFill>
    </fill>
    <fill>
      <patternFill patternType="solid">
        <fgColor indexed="55"/>
        <bgColor indexed="55"/>
      </patternFill>
    </fill>
    <fill>
      <patternFill patternType="solid">
        <fgColor indexed="25"/>
        <bgColor indexed="25"/>
      </patternFill>
    </fill>
    <fill>
      <patternFill patternType="solid">
        <fgColor indexed="41"/>
        <bgColor indexed="41"/>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23"/>
        <bgColor indexed="23"/>
      </patternFill>
    </fill>
    <fill>
      <patternFill patternType="solid">
        <fgColor indexed="18"/>
        <bgColor indexed="18"/>
      </patternFill>
    </fill>
    <fill>
      <patternFill patternType="solid">
        <fgColor indexed="49"/>
        <bgColor indexed="49"/>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2"/>
        <bgColor indexed="52"/>
      </patternFill>
    </fill>
    <fill>
      <patternFill patternType="solid">
        <fgColor indexed="53"/>
        <bgColor indexed="53"/>
      </patternFill>
    </fill>
    <fill>
      <patternFill patternType="solid">
        <fgColor indexed="9"/>
        <bgColor indexed="9"/>
      </patternFill>
    </fill>
    <fill>
      <patternFill patternType="solid">
        <fgColor indexed="35"/>
        <bgColor indexed="35"/>
      </patternFill>
    </fill>
    <fill>
      <patternFill patternType="solid">
        <fgColor indexed="26"/>
        <bgColor indexed="64"/>
      </patternFill>
    </fill>
    <fill>
      <patternFill patternType="solid">
        <fgColor indexed="9"/>
        <bgColor indexed="64"/>
      </patternFill>
    </fill>
    <fill>
      <patternFill patternType="lightUp">
        <fgColor indexed="9"/>
        <bgColor indexed="55"/>
      </patternFill>
    </fill>
    <fill>
      <patternFill patternType="lightUp">
        <fgColor indexed="9"/>
        <bgColor indexed="24"/>
      </patternFill>
    </fill>
    <fill>
      <patternFill patternType="lightUp">
        <fgColor indexed="9"/>
        <bgColor indexed="29"/>
      </patternFill>
    </fill>
    <fill>
      <patternFill patternType="lightUp">
        <fgColor indexed="9"/>
        <bgColor indexed="12"/>
      </patternFill>
    </fill>
    <fill>
      <patternFill patternType="lightUp">
        <fgColor indexed="9"/>
        <bgColor indexed="57"/>
      </patternFill>
    </fill>
    <fill>
      <patternFill patternType="solid">
        <fgColor indexed="42"/>
        <bgColor indexed="42"/>
      </patternFill>
    </fill>
    <fill>
      <patternFill patternType="solid">
        <fgColor indexed="43"/>
        <bgColor indexed="64"/>
      </patternFill>
    </fill>
    <fill>
      <patternFill patternType="solid">
        <fgColor indexed="40"/>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40"/>
        <bgColor indexed="64"/>
      </patternFill>
    </fill>
    <fill>
      <patternFill patternType="solid">
        <fgColor indexed="23"/>
      </patternFill>
    </fill>
    <fill>
      <patternFill patternType="solid">
        <fgColor indexed="9"/>
      </patternFill>
    </fill>
    <fill>
      <patternFill patternType="solid">
        <fgColor indexed="15"/>
      </patternFill>
    </fill>
    <fill>
      <patternFill patternType="solid">
        <fgColor indexed="20"/>
      </patternFill>
    </fill>
    <fill>
      <patternFill patternType="solid">
        <fgColor indexed="41"/>
        <bgColor indexed="64"/>
      </patternFill>
    </fill>
    <fill>
      <patternFill patternType="solid">
        <fgColor theme="4" tint="0.59999389629810485"/>
        <bgColor indexed="64"/>
      </patternFill>
    </fill>
    <fill>
      <patternFill patternType="solid">
        <fgColor theme="0" tint="-4.9989318521683403E-2"/>
        <bgColor indexed="64"/>
      </patternFill>
    </fill>
  </fills>
  <borders count="52">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medium">
        <color indexed="12"/>
      </right>
      <top/>
      <bottom/>
      <diagonal/>
    </border>
    <border>
      <left/>
      <right/>
      <top/>
      <bottom style="hair">
        <color indexed="64"/>
      </bottom>
      <diagonal/>
    </border>
    <border>
      <left/>
      <right/>
      <top style="medium">
        <color indexed="64"/>
      </top>
      <bottom style="double">
        <color indexed="64"/>
      </bottom>
      <diagonal/>
    </border>
    <border>
      <left/>
      <right/>
      <top style="thin">
        <color indexed="62"/>
      </top>
      <bottom style="double">
        <color indexed="62"/>
      </bottom>
      <diagonal/>
    </border>
    <border>
      <left style="thin">
        <color indexed="64"/>
      </left>
      <right style="thin">
        <color indexed="64"/>
      </right>
      <top/>
      <bottom/>
      <diagonal/>
    </border>
    <border>
      <left style="thin">
        <color indexed="18"/>
      </left>
      <right style="thin">
        <color indexed="18"/>
      </right>
      <top style="thin">
        <color indexed="18"/>
      </top>
      <bottom style="thin">
        <color indexed="18"/>
      </bottom>
      <diagonal/>
    </border>
    <border>
      <left/>
      <right/>
      <top/>
      <bottom style="thick">
        <color indexed="48"/>
      </bottom>
      <diagonal/>
    </border>
    <border>
      <left/>
      <right/>
      <top/>
      <bottom style="thick">
        <color indexed="58"/>
      </bottom>
      <diagonal/>
    </border>
    <border>
      <left/>
      <right/>
      <top/>
      <bottom style="medium">
        <color indexed="24"/>
      </bottom>
      <diagonal/>
    </border>
    <border>
      <left/>
      <right/>
      <top/>
      <bottom style="medium">
        <color indexed="58"/>
      </bottom>
      <diagonal/>
    </border>
    <border>
      <left/>
      <right/>
      <top/>
      <bottom style="double">
        <color indexed="17"/>
      </bottom>
      <diagonal/>
    </border>
    <border>
      <left/>
      <right/>
      <top/>
      <bottom style="double">
        <color indexed="5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48"/>
      </top>
      <bottom style="double">
        <color indexed="48"/>
      </bottom>
      <diagonal/>
    </border>
    <border>
      <left/>
      <right/>
      <top style="double">
        <color indexed="8"/>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532">
    <xf numFmtId="0" fontId="0" fillId="0" borderId="0"/>
    <xf numFmtId="0" fontId="6" fillId="0" borderId="0"/>
    <xf numFmtId="0" fontId="6" fillId="0" borderId="0"/>
    <xf numFmtId="0" fontId="10" fillId="0" borderId="0"/>
    <xf numFmtId="0" fontId="10" fillId="0" borderId="0"/>
    <xf numFmtId="0" fontId="18" fillId="0" borderId="0"/>
    <xf numFmtId="0" fontId="39" fillId="0" borderId="0"/>
    <xf numFmtId="0" fontId="6" fillId="17"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6" fillId="21"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6" fillId="25"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6" fillId="29"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6" fillId="33"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6" fillId="37"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1" borderId="0" applyNumberFormat="0" applyBorder="0" applyAlignment="0" applyProtection="0"/>
    <xf numFmtId="0" fontId="40" fillId="42" borderId="0" applyNumberFormat="0" applyBorder="0" applyAlignment="0" applyProtection="0"/>
    <xf numFmtId="0" fontId="40" fillId="43" borderId="0" applyNumberFormat="0" applyBorder="0" applyAlignment="0" applyProtection="0"/>
    <xf numFmtId="0" fontId="40" fillId="44" borderId="0" applyNumberFormat="0" applyBorder="0" applyAlignment="0" applyProtection="0"/>
    <xf numFmtId="0" fontId="40" fillId="45" borderId="0" applyNumberFormat="0" applyBorder="0" applyAlignment="0" applyProtection="0"/>
    <xf numFmtId="0" fontId="40" fillId="46" borderId="0" applyNumberFormat="0" applyBorder="0" applyAlignment="0" applyProtection="0"/>
    <xf numFmtId="0" fontId="6" fillId="18"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6" fillId="22"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6" fillId="26"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6" fillId="30"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6" fillId="34"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6" fillId="38"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47" borderId="0" applyNumberFormat="0" applyBorder="0" applyAlignment="0" applyProtection="0"/>
    <xf numFmtId="0" fontId="40" fillId="48" borderId="0" applyNumberFormat="0" applyBorder="0" applyAlignment="0" applyProtection="0"/>
    <xf numFmtId="0" fontId="40" fillId="49" borderId="0" applyNumberFormat="0" applyBorder="0" applyAlignment="0" applyProtection="0"/>
    <xf numFmtId="0" fontId="40" fillId="44" borderId="0" applyNumberFormat="0" applyBorder="0" applyAlignment="0" applyProtection="0"/>
    <xf numFmtId="0" fontId="40" fillId="47" borderId="0" applyNumberFormat="0" applyBorder="0" applyAlignment="0" applyProtection="0"/>
    <xf numFmtId="0" fontId="40" fillId="50" borderId="0" applyNumberFormat="0" applyBorder="0" applyAlignment="0" applyProtection="0"/>
    <xf numFmtId="0" fontId="38" fillId="19"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38" fillId="23"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38" fillId="27"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38" fillId="31"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38" fillId="35"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38" fillId="39"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1" borderId="0" applyNumberFormat="0" applyBorder="0" applyAlignment="0" applyProtection="0"/>
    <xf numFmtId="0" fontId="41" fillId="48" borderId="0" applyNumberFormat="0" applyBorder="0" applyAlignment="0" applyProtection="0"/>
    <xf numFmtId="0" fontId="41" fillId="49"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4" borderId="0" applyNumberFormat="0" applyBorder="0" applyAlignment="0" applyProtection="0"/>
    <xf numFmtId="0" fontId="38" fillId="16"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38" fillId="20"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38" fillId="24"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38" fillId="28"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38" fillId="32"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38" fillId="36"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29" fillId="10"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3" fillId="43" borderId="0" applyNumberFormat="0" applyBorder="0" applyAlignment="0" applyProtection="0"/>
    <xf numFmtId="37" fontId="44" fillId="59" borderId="22">
      <protection locked="0"/>
    </xf>
    <xf numFmtId="0" fontId="33" fillId="13" borderId="16"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6" fillId="61" borderId="24" applyNumberFormat="0" applyAlignment="0" applyProtection="0"/>
    <xf numFmtId="0" fontId="47" fillId="0" borderId="25" applyNumberFormat="0" applyFill="0" applyAlignment="0" applyProtection="0"/>
    <xf numFmtId="0" fontId="35" fillId="14" borderId="19" applyNumberFormat="0" applyAlignment="0" applyProtection="0"/>
    <xf numFmtId="0" fontId="46" fillId="61" borderId="24" applyNumberFormat="0" applyAlignment="0" applyProtection="0"/>
    <xf numFmtId="0" fontId="46" fillId="61" borderId="24" applyNumberFormat="0" applyAlignment="0" applyProtection="0"/>
    <xf numFmtId="181" fontId="48" fillId="0" borderId="0"/>
    <xf numFmtId="181" fontId="48" fillId="0" borderId="0"/>
    <xf numFmtId="181" fontId="48" fillId="0" borderId="0"/>
    <xf numFmtId="181" fontId="48" fillId="0" borderId="0"/>
    <xf numFmtId="181" fontId="48" fillId="0" borderId="0"/>
    <xf numFmtId="181" fontId="48" fillId="0" borderId="0"/>
    <xf numFmtId="181" fontId="48" fillId="0" borderId="0"/>
    <xf numFmtId="181" fontId="48" fillId="0" borderId="0"/>
    <xf numFmtId="43" fontId="6" fillId="0" borderId="0" applyFont="0" applyFill="0" applyBorder="0" applyAlignment="0" applyProtection="0"/>
    <xf numFmtId="182"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82" fontId="10"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49" fillId="0" borderId="0" applyNumberFormat="0" applyFill="0" applyBorder="0" applyAlignment="0" applyProtection="0"/>
    <xf numFmtId="0" fontId="41" fillId="55" borderId="0" applyNumberFormat="0" applyBorder="0" applyAlignment="0" applyProtection="0"/>
    <xf numFmtId="0" fontId="41" fillId="56" borderId="0" applyNumberFormat="0" applyBorder="0" applyAlignment="0" applyProtection="0"/>
    <xf numFmtId="0" fontId="41" fillId="57"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8" borderId="0" applyNumberFormat="0" applyBorder="0" applyAlignment="0" applyProtection="0"/>
    <xf numFmtId="0" fontId="50" fillId="46" borderId="23" applyNumberFormat="0" applyAlignment="0" applyProtection="0"/>
    <xf numFmtId="183" fontId="39" fillId="0" borderId="0" applyFont="0" applyFill="0" applyBorder="0" applyAlignment="0" applyProtection="0"/>
    <xf numFmtId="184" fontId="51" fillId="0" borderId="0" applyFont="0" applyFill="0" applyBorder="0" applyAlignment="0" applyProtection="0"/>
    <xf numFmtId="0" fontId="37"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xf numFmtId="0" fontId="28" fillId="9"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185" fontId="54" fillId="0" borderId="0" applyFont="0" applyFill="0" applyBorder="0" applyAlignment="0" applyProtection="0">
      <alignment horizontal="right"/>
    </xf>
    <xf numFmtId="0" fontId="25" fillId="0" borderId="13"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26" fillId="0" borderId="14"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27" fillId="0" borderId="15"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27"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2" fillId="42" borderId="0" applyNumberFormat="0" applyBorder="0" applyAlignment="0" applyProtection="0"/>
    <xf numFmtId="0" fontId="31" fillId="12" borderId="16" applyNumberFormat="0" applyAlignment="0" applyProtection="0"/>
    <xf numFmtId="0" fontId="50" fillId="46" borderId="23" applyNumberFormat="0" applyAlignment="0" applyProtection="0"/>
    <xf numFmtId="0" fontId="50" fillId="46" borderId="23" applyNumberFormat="0" applyAlignment="0" applyProtection="0"/>
    <xf numFmtId="0" fontId="34" fillId="0" borderId="18"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43" fontId="39" fillId="0" borderId="0" applyFont="0" applyFill="0" applyBorder="0" applyAlignment="0" applyProtection="0"/>
    <xf numFmtId="0" fontId="30" fillId="11" borderId="0" applyNumberFormat="0" applyBorder="0" applyAlignment="0" applyProtection="0"/>
    <xf numFmtId="0" fontId="57" fillId="62" borderId="0" applyNumberFormat="0" applyBorder="0" applyAlignment="0" applyProtection="0"/>
    <xf numFmtId="0" fontId="57" fillId="62" borderId="0" applyNumberFormat="0" applyBorder="0" applyAlignment="0" applyProtection="0"/>
    <xf numFmtId="0" fontId="58" fillId="0" borderId="0"/>
    <xf numFmtId="0" fontId="59" fillId="0" borderId="29"/>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39" fillId="0" borderId="0">
      <alignment wrapText="1"/>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0" fillId="0" borderId="0"/>
    <xf numFmtId="0" fontId="10" fillId="0" borderId="0"/>
    <xf numFmtId="0" fontId="10" fillId="0" borderId="0"/>
    <xf numFmtId="0" fontId="10" fillId="0" borderId="0"/>
    <xf numFmtId="0" fontId="10" fillId="0" borderId="0"/>
    <xf numFmtId="0" fontId="39" fillId="0" borderId="0"/>
    <xf numFmtId="0" fontId="6" fillId="0" borderId="0"/>
    <xf numFmtId="0" fontId="10" fillId="0" borderId="0"/>
    <xf numFmtId="0" fontId="6" fillId="0" borderId="0"/>
    <xf numFmtId="0" fontId="10" fillId="0" borderId="0"/>
    <xf numFmtId="0" fontId="39" fillId="0" borderId="0"/>
    <xf numFmtId="0" fontId="10" fillId="0" borderId="0"/>
    <xf numFmtId="0" fontId="10" fillId="0" borderId="0"/>
    <xf numFmtId="0" fontId="39" fillId="0" borderId="0"/>
    <xf numFmtId="0" fontId="10" fillId="0" borderId="0"/>
    <xf numFmtId="0" fontId="10" fillId="0" borderId="0"/>
    <xf numFmtId="0" fontId="39" fillId="0" borderId="0"/>
    <xf numFmtId="0" fontId="10" fillId="0" borderId="0"/>
    <xf numFmtId="0" fontId="10" fillId="0" borderId="0"/>
    <xf numFmtId="0" fontId="39" fillId="0" borderId="0"/>
    <xf numFmtId="0" fontId="10" fillId="0" borderId="0"/>
    <xf numFmtId="0" fontId="6" fillId="0" borderId="0"/>
    <xf numFmtId="0" fontId="39" fillId="63" borderId="30" applyNumberFormat="0" applyFont="0" applyAlignment="0" applyProtection="0"/>
    <xf numFmtId="0" fontId="6" fillId="15" borderId="2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2" fillId="13" borderId="17" applyNumberFormat="0" applyAlignment="0" applyProtection="0"/>
    <xf numFmtId="0" fontId="60" fillId="60" borderId="31" applyNumberFormat="0" applyAlignment="0" applyProtection="0"/>
    <xf numFmtId="0" fontId="60" fillId="60" borderId="31" applyNumberFormat="0" applyAlignment="0" applyProtection="0"/>
    <xf numFmtId="49" fontId="61" fillId="0" borderId="0" applyNumberFormat="0" applyFont="0" applyFill="0" applyBorder="0" applyAlignment="0">
      <alignment horizontal="centerContinuous"/>
    </xf>
    <xf numFmtId="38" fontId="61" fillId="0" borderId="32" applyNumberFormat="0" applyFont="0" applyFill="0" applyBorder="0" applyAlignment="0">
      <alignment horizontal="center"/>
    </xf>
    <xf numFmtId="9" fontId="39" fillId="0" borderId="0" applyFont="0" applyFill="0" applyBorder="0" applyAlignment="0" applyProtection="0"/>
    <xf numFmtId="0" fontId="60" fillId="60" borderId="31" applyNumberFormat="0" applyAlignment="0" applyProtection="0"/>
    <xf numFmtId="0" fontId="53" fillId="0" borderId="33"/>
    <xf numFmtId="38" fontId="44" fillId="64" borderId="34"/>
    <xf numFmtId="37" fontId="44" fillId="65" borderId="22"/>
    <xf numFmtId="0" fontId="62" fillId="0" borderId="0" applyNumberFormat="0" applyFill="0" applyBorder="0" applyAlignment="0" applyProtection="0"/>
    <xf numFmtId="0" fontId="52" fillId="0" borderId="0" applyNumberFormat="0" applyFill="0" applyBorder="0" applyAlignment="0" applyProtection="0"/>
    <xf numFmtId="0" fontId="24"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55" fillId="0" borderId="26" applyNumberFormat="0" applyFill="0" applyAlignment="0" applyProtection="0"/>
    <xf numFmtId="0" fontId="56" fillId="0" borderId="27" applyNumberFormat="0" applyFill="0" applyAlignment="0" applyProtection="0"/>
    <xf numFmtId="0" fontId="49" fillId="0" borderId="28" applyNumberFormat="0" applyFill="0" applyAlignment="0" applyProtection="0"/>
    <xf numFmtId="0" fontId="7" fillId="0" borderId="21" applyNumberFormat="0" applyFill="0" applyAlignment="0" applyProtection="0"/>
    <xf numFmtId="0" fontId="64" fillId="0" borderId="35" applyNumberFormat="0" applyFill="0" applyAlignment="0" applyProtection="0"/>
    <xf numFmtId="0" fontId="64" fillId="0" borderId="35" applyNumberFormat="0" applyFill="0" applyAlignment="0" applyProtection="0"/>
    <xf numFmtId="37" fontId="44" fillId="66" borderId="22">
      <protection locked="0"/>
    </xf>
    <xf numFmtId="0" fontId="36"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8" fillId="0" borderId="0"/>
    <xf numFmtId="0" fontId="68" fillId="0" borderId="0"/>
    <xf numFmtId="9" fontId="6" fillId="0" borderId="0" applyFont="0" applyFill="0" applyBorder="0" applyAlignment="0" applyProtection="0"/>
    <xf numFmtId="0" fontId="10" fillId="0" borderId="0"/>
    <xf numFmtId="0" fontId="85" fillId="0" borderId="0"/>
    <xf numFmtId="0" fontId="10" fillId="0" borderId="0"/>
    <xf numFmtId="0" fontId="24" fillId="0" borderId="0" applyNumberFormat="0" applyFill="0" applyBorder="0" applyAlignment="0" applyProtection="0"/>
    <xf numFmtId="0" fontId="25" fillId="0" borderId="13" applyNumberFormat="0" applyFill="0" applyAlignment="0" applyProtection="0"/>
    <xf numFmtId="0" fontId="26" fillId="0" borderId="14" applyNumberFormat="0" applyFill="0" applyAlignment="0" applyProtection="0"/>
    <xf numFmtId="0" fontId="27" fillId="0" borderId="15" applyNumberFormat="0" applyFill="0" applyAlignment="0" applyProtection="0"/>
    <xf numFmtId="0" fontId="27" fillId="0" borderId="0" applyNumberFormat="0" applyFill="0" applyBorder="0" applyAlignment="0" applyProtection="0"/>
    <xf numFmtId="0" fontId="28" fillId="9" borderId="0" applyNumberFormat="0" applyBorder="0" applyAlignment="0" applyProtection="0"/>
    <xf numFmtId="0" fontId="29" fillId="10" borderId="0" applyNumberFormat="0" applyBorder="0" applyAlignment="0" applyProtection="0"/>
    <xf numFmtId="0" fontId="30" fillId="11" borderId="0" applyNumberFormat="0" applyBorder="0" applyAlignment="0" applyProtection="0"/>
    <xf numFmtId="0" fontId="31" fillId="12" borderId="16" applyNumberFormat="0" applyAlignment="0" applyProtection="0"/>
    <xf numFmtId="0" fontId="32" fillId="13" borderId="17" applyNumberFormat="0" applyAlignment="0" applyProtection="0"/>
    <xf numFmtId="0" fontId="33" fillId="13" borderId="16" applyNumberFormat="0" applyAlignment="0" applyProtection="0"/>
    <xf numFmtId="0" fontId="34" fillId="0" borderId="18" applyNumberFormat="0" applyFill="0" applyAlignment="0" applyProtection="0"/>
    <xf numFmtId="0" fontId="35" fillId="14" borderId="19" applyNumberFormat="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7" fillId="0" borderId="21" applyNumberFormat="0" applyFill="0" applyAlignment="0" applyProtection="0"/>
    <xf numFmtId="0" fontId="38"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38" fillId="19" borderId="0" applyNumberFormat="0" applyBorder="0" applyAlignment="0" applyProtection="0"/>
    <xf numFmtId="0" fontId="38" fillId="20"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38" fillId="23" borderId="0" applyNumberFormat="0" applyBorder="0" applyAlignment="0" applyProtection="0"/>
    <xf numFmtId="0" fontId="38" fillId="24"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38" fillId="27" borderId="0" applyNumberFormat="0" applyBorder="0" applyAlignment="0" applyProtection="0"/>
    <xf numFmtId="0" fontId="38" fillId="28"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38" fillId="31" borderId="0" applyNumberFormat="0" applyBorder="0" applyAlignment="0" applyProtection="0"/>
    <xf numFmtId="0" fontId="38"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38" fillId="35" borderId="0" applyNumberFormat="0" applyBorder="0" applyAlignment="0" applyProtection="0"/>
    <xf numFmtId="0" fontId="38"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38" fillId="39" borderId="0" applyNumberFormat="0" applyBorder="0" applyAlignment="0" applyProtection="0"/>
    <xf numFmtId="0" fontId="39" fillId="0" borderId="0"/>
    <xf numFmtId="0" fontId="39" fillId="0" borderId="0"/>
    <xf numFmtId="0" fontId="8"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215" fontId="39" fillId="0" borderId="0"/>
    <xf numFmtId="0" fontId="39" fillId="0" borderId="0"/>
    <xf numFmtId="0" fontId="87"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87" fillId="0" borderId="0"/>
    <xf numFmtId="0" fontId="39" fillId="0" borderId="0"/>
    <xf numFmtId="0" fontId="39" fillId="0" borderId="0"/>
    <xf numFmtId="0" fontId="39" fillId="0" borderId="0"/>
    <xf numFmtId="0" fontId="39" fillId="0" borderId="0"/>
    <xf numFmtId="0" fontId="87" fillId="0" borderId="0"/>
    <xf numFmtId="0" fontId="39" fillId="0" borderId="0"/>
    <xf numFmtId="0" fontId="87"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41" borderId="0" applyNumberFormat="0" applyBorder="0" applyAlignment="0" applyProtection="0"/>
    <xf numFmtId="0" fontId="40" fillId="42" borderId="0" applyNumberFormat="0" applyBorder="0" applyAlignment="0" applyProtection="0"/>
    <xf numFmtId="0" fontId="40" fillId="43" borderId="0" applyNumberFormat="0" applyBorder="0" applyAlignment="0" applyProtection="0"/>
    <xf numFmtId="0" fontId="40" fillId="44" borderId="0" applyNumberFormat="0" applyBorder="0" applyAlignment="0" applyProtection="0"/>
    <xf numFmtId="0" fontId="40" fillId="45" borderId="0" applyNumberFormat="0" applyBorder="0" applyAlignment="0" applyProtection="0"/>
    <xf numFmtId="0" fontId="40" fillId="46"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88"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1"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88"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2"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88"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88"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88"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5"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88"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6" borderId="0" applyNumberFormat="0" applyBorder="0" applyAlignment="0" applyProtection="0"/>
    <xf numFmtId="0" fontId="40" fillId="47" borderId="0" applyNumberFormat="0" applyBorder="0" applyAlignment="0" applyProtection="0"/>
    <xf numFmtId="0" fontId="40" fillId="48" borderId="0" applyNumberFormat="0" applyBorder="0" applyAlignment="0" applyProtection="0"/>
    <xf numFmtId="0" fontId="40" fillId="49" borderId="0" applyNumberFormat="0" applyBorder="0" applyAlignment="0" applyProtection="0"/>
    <xf numFmtId="0" fontId="40" fillId="44" borderId="0" applyNumberFormat="0" applyBorder="0" applyAlignment="0" applyProtection="0"/>
    <xf numFmtId="0" fontId="40" fillId="47" borderId="0" applyNumberFormat="0" applyBorder="0" applyAlignment="0" applyProtection="0"/>
    <xf numFmtId="0" fontId="40" fillId="50"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88"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88"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8"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88"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88"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88"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47"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88"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0" fillId="50" borderId="0" applyNumberFormat="0" applyBorder="0" applyAlignment="0" applyProtection="0"/>
    <xf numFmtId="0" fontId="41" fillId="51" borderId="0" applyNumberFormat="0" applyBorder="0" applyAlignment="0" applyProtection="0"/>
    <xf numFmtId="0" fontId="41" fillId="48" borderId="0" applyNumberFormat="0" applyBorder="0" applyAlignment="0" applyProtection="0"/>
    <xf numFmtId="0" fontId="41" fillId="49"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4"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89"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51"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89"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8"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89"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49"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89"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89"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89"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1" fillId="54" borderId="0" applyNumberFormat="0" applyBorder="0" applyAlignment="0" applyProtection="0"/>
    <xf numFmtId="0" fontId="40" fillId="71"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0" fontId="40" fillId="73" borderId="0" applyNumberFormat="0" applyBorder="0" applyAlignment="0" applyProtection="0"/>
    <xf numFmtId="0" fontId="40" fillId="74" borderId="0" applyNumberFormat="0" applyBorder="0" applyAlignment="0" applyProtection="0"/>
    <xf numFmtId="0" fontId="40" fillId="74"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1" fillId="75" borderId="0" applyNumberFormat="0" applyBorder="0" applyAlignment="0" applyProtection="0"/>
    <xf numFmtId="0" fontId="41" fillId="76" borderId="0" applyNumberFormat="0" applyBorder="0" applyAlignment="0" applyProtection="0"/>
    <xf numFmtId="0" fontId="41" fillId="76" borderId="0" applyNumberFormat="0" applyBorder="0" applyAlignment="0" applyProtection="0"/>
    <xf numFmtId="0" fontId="41" fillId="7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77" borderId="0" applyNumberFormat="0" applyBorder="0" applyAlignment="0" applyProtection="0"/>
    <xf numFmtId="0" fontId="41" fillId="55" borderId="0" applyNumberFormat="0" applyBorder="0" applyAlignment="0" applyProtection="0"/>
    <xf numFmtId="0" fontId="41" fillId="77"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77"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0" fillId="78" borderId="0" applyNumberFormat="0" applyBorder="0" applyAlignment="0" applyProtection="0"/>
    <xf numFmtId="0" fontId="40" fillId="79" borderId="0" applyNumberFormat="0" applyBorder="0" applyAlignment="0" applyProtection="0"/>
    <xf numFmtId="0" fontId="40" fillId="79"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80" borderId="0" applyNumberFormat="0" applyBorder="0" applyAlignment="0" applyProtection="0"/>
    <xf numFmtId="0" fontId="40" fillId="81" borderId="0" applyNumberFormat="0" applyBorder="0" applyAlignment="0" applyProtection="0"/>
    <xf numFmtId="0" fontId="40" fillId="81" borderId="0" applyNumberFormat="0" applyBorder="0" applyAlignment="0" applyProtection="0"/>
    <xf numFmtId="0" fontId="40" fillId="80" borderId="0" applyNumberFormat="0" applyBorder="0" applyAlignment="0" applyProtection="0"/>
    <xf numFmtId="0" fontId="40" fillId="80" borderId="0" applyNumberFormat="0" applyBorder="0" applyAlignment="0" applyProtection="0"/>
    <xf numFmtId="0" fontId="41" fillId="82" borderId="0" applyNumberFormat="0" applyBorder="0" applyAlignment="0" applyProtection="0"/>
    <xf numFmtId="0" fontId="41" fillId="80" borderId="0" applyNumberFormat="0" applyBorder="0" applyAlignment="0" applyProtection="0"/>
    <xf numFmtId="0" fontId="41" fillId="80" borderId="0" applyNumberFormat="0" applyBorder="0" applyAlignment="0" applyProtection="0"/>
    <xf numFmtId="0" fontId="41" fillId="82"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83" borderId="0" applyNumberFormat="0" applyBorder="0" applyAlignment="0" applyProtection="0"/>
    <xf numFmtId="0" fontId="41" fillId="56" borderId="0" applyNumberFormat="0" applyBorder="0" applyAlignment="0" applyProtection="0"/>
    <xf numFmtId="0" fontId="41" fillId="83"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83"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0" fillId="84" borderId="0" applyNumberFormat="0" applyBorder="0" applyAlignment="0" applyProtection="0"/>
    <xf numFmtId="0" fontId="40" fillId="85" borderId="0" applyNumberFormat="0" applyBorder="0" applyAlignment="0" applyProtection="0"/>
    <xf numFmtId="0" fontId="40" fillId="85" borderId="0" applyNumberFormat="0" applyBorder="0" applyAlignment="0" applyProtection="0"/>
    <xf numFmtId="0" fontId="40" fillId="84" borderId="0" applyNumberFormat="0" applyBorder="0" applyAlignment="0" applyProtection="0"/>
    <xf numFmtId="0" fontId="40" fillId="84" borderId="0" applyNumberFormat="0" applyBorder="0" applyAlignment="0" applyProtection="0"/>
    <xf numFmtId="0" fontId="40" fillId="81" borderId="0" applyNumberFormat="0" applyBorder="0" applyAlignment="0" applyProtection="0"/>
    <xf numFmtId="0" fontId="40" fillId="86" borderId="0" applyNumberFormat="0" applyBorder="0" applyAlignment="0" applyProtection="0"/>
    <xf numFmtId="0" fontId="40" fillId="86" borderId="0" applyNumberFormat="0" applyBorder="0" applyAlignment="0" applyProtection="0"/>
    <xf numFmtId="0" fontId="40" fillId="81" borderId="0" applyNumberFormat="0" applyBorder="0" applyAlignment="0" applyProtection="0"/>
    <xf numFmtId="0" fontId="40" fillId="81" borderId="0" applyNumberFormat="0" applyBorder="0" applyAlignment="0" applyProtection="0"/>
    <xf numFmtId="0" fontId="41" fillId="74" borderId="0" applyNumberFormat="0" applyBorder="0" applyAlignment="0" applyProtection="0"/>
    <xf numFmtId="0" fontId="41" fillId="87" borderId="0" applyNumberFormat="0" applyBorder="0" applyAlignment="0" applyProtection="0"/>
    <xf numFmtId="0" fontId="41" fillId="87" borderId="0" applyNumberFormat="0" applyBorder="0" applyAlignment="0" applyProtection="0"/>
    <xf numFmtId="0" fontId="41" fillId="74"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82" borderId="0" applyNumberFormat="0" applyBorder="0" applyAlignment="0" applyProtection="0"/>
    <xf numFmtId="0" fontId="41" fillId="88" borderId="0" applyNumberFormat="0" applyBorder="0" applyAlignment="0" applyProtection="0"/>
    <xf numFmtId="0" fontId="41" fillId="88" borderId="0" applyNumberFormat="0" applyBorder="0" applyAlignment="0" applyProtection="0"/>
    <xf numFmtId="0" fontId="41" fillId="88" borderId="0" applyNumberFormat="0" applyBorder="0" applyAlignment="0" applyProtection="0"/>
    <xf numFmtId="0" fontId="41" fillId="82" borderId="0" applyNumberFormat="0" applyBorder="0" applyAlignment="0" applyProtection="0"/>
    <xf numFmtId="0" fontId="41" fillId="88" borderId="0" applyNumberFormat="0" applyBorder="0" applyAlignment="0" applyProtection="0"/>
    <xf numFmtId="0" fontId="41" fillId="82" borderId="0" applyNumberFormat="0" applyBorder="0" applyAlignment="0" applyProtection="0"/>
    <xf numFmtId="0" fontId="41" fillId="57" borderId="0" applyNumberFormat="0" applyBorder="0" applyAlignment="0" applyProtection="0"/>
    <xf numFmtId="0" fontId="41" fillId="82"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88" borderId="0" applyNumberFormat="0" applyBorder="0" applyAlignment="0" applyProtection="0"/>
    <xf numFmtId="0" fontId="41" fillId="88" borderId="0" applyNumberFormat="0" applyBorder="0" applyAlignment="0" applyProtection="0"/>
    <xf numFmtId="0" fontId="41" fillId="57" borderId="0" applyNumberFormat="0" applyBorder="0" applyAlignment="0" applyProtection="0"/>
    <xf numFmtId="0" fontId="41" fillId="88"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82"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0" fillId="81" borderId="0" applyNumberFormat="0" applyBorder="0" applyAlignment="0" applyProtection="0"/>
    <xf numFmtId="0" fontId="40" fillId="79" borderId="0" applyNumberFormat="0" applyBorder="0" applyAlignment="0" applyProtection="0"/>
    <xf numFmtId="0" fontId="40" fillId="79" borderId="0" applyNumberFormat="0" applyBorder="0" applyAlignment="0" applyProtection="0"/>
    <xf numFmtId="0" fontId="40" fillId="81" borderId="0" applyNumberFormat="0" applyBorder="0" applyAlignment="0" applyProtection="0"/>
    <xf numFmtId="0" fontId="40" fillId="81" borderId="0" applyNumberFormat="0" applyBorder="0" applyAlignment="0" applyProtection="0"/>
    <xf numFmtId="0" fontId="40" fillId="74" borderId="0" applyNumberFormat="0" applyBorder="0" applyAlignment="0" applyProtection="0"/>
    <xf numFmtId="0" fontId="40" fillId="82" borderId="0" applyNumberFormat="0" applyBorder="0" applyAlignment="0" applyProtection="0"/>
    <xf numFmtId="0" fontId="40" fillId="82" borderId="0" applyNumberFormat="0" applyBorder="0" applyAlignment="0" applyProtection="0"/>
    <xf numFmtId="0" fontId="40" fillId="74" borderId="0" applyNumberFormat="0" applyBorder="0" applyAlignment="0" applyProtection="0"/>
    <xf numFmtId="0" fontId="40" fillId="74" borderId="0" applyNumberFormat="0" applyBorder="0" applyAlignment="0" applyProtection="0"/>
    <xf numFmtId="0" fontId="41" fillId="74" borderId="0" applyNumberFormat="0" applyBorder="0" applyAlignment="0" applyProtection="0"/>
    <xf numFmtId="0" fontId="41" fillId="81" borderId="0" applyNumberFormat="0" applyBorder="0" applyAlignment="0" applyProtection="0"/>
    <xf numFmtId="0" fontId="41" fillId="81" borderId="0" applyNumberFormat="0" applyBorder="0" applyAlignment="0" applyProtection="0"/>
    <xf numFmtId="0" fontId="41" fillId="74"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89" borderId="0" applyNumberFormat="0" applyBorder="0" applyAlignment="0" applyProtection="0"/>
    <xf numFmtId="0" fontId="41" fillId="90" borderId="0" applyNumberFormat="0" applyBorder="0" applyAlignment="0" applyProtection="0"/>
    <xf numFmtId="0" fontId="41" fillId="90" borderId="0" applyNumberFormat="0" applyBorder="0" applyAlignment="0" applyProtection="0"/>
    <xf numFmtId="0" fontId="41" fillId="90" borderId="0" applyNumberFormat="0" applyBorder="0" applyAlignment="0" applyProtection="0"/>
    <xf numFmtId="0" fontId="41" fillId="89" borderId="0" applyNumberFormat="0" applyBorder="0" applyAlignment="0" applyProtection="0"/>
    <xf numFmtId="0" fontId="41" fillId="90" borderId="0" applyNumberFormat="0" applyBorder="0" applyAlignment="0" applyProtection="0"/>
    <xf numFmtId="0" fontId="41" fillId="89" borderId="0" applyNumberFormat="0" applyBorder="0" applyAlignment="0" applyProtection="0"/>
    <xf numFmtId="0" fontId="41" fillId="52" borderId="0" applyNumberFormat="0" applyBorder="0" applyAlignment="0" applyProtection="0"/>
    <xf numFmtId="0" fontId="41" fillId="89"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90" borderId="0" applyNumberFormat="0" applyBorder="0" applyAlignment="0" applyProtection="0"/>
    <xf numFmtId="0" fontId="41" fillId="90" borderId="0" applyNumberFormat="0" applyBorder="0" applyAlignment="0" applyProtection="0"/>
    <xf numFmtId="0" fontId="41" fillId="52" borderId="0" applyNumberFormat="0" applyBorder="0" applyAlignment="0" applyProtection="0"/>
    <xf numFmtId="0" fontId="41" fillId="90"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89"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0" fillId="71" borderId="0" applyNumberFormat="0" applyBorder="0" applyAlignment="0" applyProtection="0"/>
    <xf numFmtId="0" fontId="40" fillId="84" borderId="0" applyNumberFormat="0" applyBorder="0" applyAlignment="0" applyProtection="0"/>
    <xf numFmtId="0" fontId="40" fillId="84" borderId="0" applyNumberFormat="0" applyBorder="0" applyAlignment="0" applyProtection="0"/>
    <xf numFmtId="0" fontId="40" fillId="71" borderId="0" applyNumberFormat="0" applyBorder="0" applyAlignment="0" applyProtection="0"/>
    <xf numFmtId="0" fontId="40" fillId="71"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0" fillId="73" borderId="0" applyNumberFormat="0" applyBorder="0" applyAlignment="0" applyProtection="0"/>
    <xf numFmtId="0" fontId="41" fillId="73" borderId="0" applyNumberFormat="0" applyBorder="0" applyAlignment="0" applyProtection="0"/>
    <xf numFmtId="0" fontId="41" fillId="76" borderId="0" applyNumberFormat="0" applyBorder="0" applyAlignment="0" applyProtection="0"/>
    <xf numFmtId="0" fontId="41" fillId="76" borderId="0" applyNumberFormat="0" applyBorder="0" applyAlignment="0" applyProtection="0"/>
    <xf numFmtId="0" fontId="41" fillId="7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91" borderId="0" applyNumberFormat="0" applyBorder="0" applyAlignment="0" applyProtection="0"/>
    <xf numFmtId="0" fontId="41" fillId="76" borderId="0" applyNumberFormat="0" applyBorder="0" applyAlignment="0" applyProtection="0"/>
    <xf numFmtId="0" fontId="41" fillId="76" borderId="0" applyNumberFormat="0" applyBorder="0" applyAlignment="0" applyProtection="0"/>
    <xf numFmtId="0" fontId="41" fillId="76" borderId="0" applyNumberFormat="0" applyBorder="0" applyAlignment="0" applyProtection="0"/>
    <xf numFmtId="0" fontId="41" fillId="91" borderId="0" applyNumberFormat="0" applyBorder="0" applyAlignment="0" applyProtection="0"/>
    <xf numFmtId="0" fontId="41" fillId="76" borderId="0" applyNumberFormat="0" applyBorder="0" applyAlignment="0" applyProtection="0"/>
    <xf numFmtId="0" fontId="41" fillId="91" borderId="0" applyNumberFormat="0" applyBorder="0" applyAlignment="0" applyProtection="0"/>
    <xf numFmtId="0" fontId="41" fillId="53" borderId="0" applyNumberFormat="0" applyBorder="0" applyAlignment="0" applyProtection="0"/>
    <xf numFmtId="0" fontId="41" fillId="91"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76" borderId="0" applyNumberFormat="0" applyBorder="0" applyAlignment="0" applyProtection="0"/>
    <xf numFmtId="0" fontId="41" fillId="76" borderId="0" applyNumberFormat="0" applyBorder="0" applyAlignment="0" applyProtection="0"/>
    <xf numFmtId="0" fontId="41" fillId="53" borderId="0" applyNumberFormat="0" applyBorder="0" applyAlignment="0" applyProtection="0"/>
    <xf numFmtId="0" fontId="41" fillId="76"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91"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0" fillId="92" borderId="0" applyNumberFormat="0" applyBorder="0" applyAlignment="0" applyProtection="0"/>
    <xf numFmtId="0" fontId="40" fillId="92" borderId="0" applyNumberFormat="0" applyBorder="0" applyAlignment="0" applyProtection="0"/>
    <xf numFmtId="0" fontId="40" fillId="92" borderId="0" applyNumberFormat="0" applyBorder="0" applyAlignment="0" applyProtection="0"/>
    <xf numFmtId="0" fontId="40" fillId="80" borderId="0" applyNumberFormat="0" applyBorder="0" applyAlignment="0" applyProtection="0"/>
    <xf numFmtId="0" fontId="40" fillId="93" borderId="0" applyNumberFormat="0" applyBorder="0" applyAlignment="0" applyProtection="0"/>
    <xf numFmtId="0" fontId="40" fillId="93" borderId="0" applyNumberFormat="0" applyBorder="0" applyAlignment="0" applyProtection="0"/>
    <xf numFmtId="0" fontId="40" fillId="80" borderId="0" applyNumberFormat="0" applyBorder="0" applyAlignment="0" applyProtection="0"/>
    <xf numFmtId="0" fontId="40" fillId="80" borderId="0" applyNumberFormat="0" applyBorder="0" applyAlignment="0" applyProtection="0"/>
    <xf numFmtId="0" fontId="41" fillId="93" borderId="0" applyNumberFormat="0" applyBorder="0" applyAlignment="0" applyProtection="0"/>
    <xf numFmtId="0" fontId="41" fillId="94" borderId="0" applyNumberFormat="0" applyBorder="0" applyAlignment="0" applyProtection="0"/>
    <xf numFmtId="0" fontId="41" fillId="94" borderId="0" applyNumberFormat="0" applyBorder="0" applyAlignment="0" applyProtection="0"/>
    <xf numFmtId="0" fontId="41" fillId="93"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95" borderId="0" applyNumberFormat="0" applyBorder="0" applyAlignment="0" applyProtection="0"/>
    <xf numFmtId="0" fontId="41" fillId="96" borderId="0" applyNumberFormat="0" applyBorder="0" applyAlignment="0" applyProtection="0"/>
    <xf numFmtId="0" fontId="41" fillId="96" borderId="0" applyNumberFormat="0" applyBorder="0" applyAlignment="0" applyProtection="0"/>
    <xf numFmtId="0" fontId="41" fillId="96" borderId="0" applyNumberFormat="0" applyBorder="0" applyAlignment="0" applyProtection="0"/>
    <xf numFmtId="0" fontId="41" fillId="95" borderId="0" applyNumberFormat="0" applyBorder="0" applyAlignment="0" applyProtection="0"/>
    <xf numFmtId="0" fontId="41" fillId="96" borderId="0" applyNumberFormat="0" applyBorder="0" applyAlignment="0" applyProtection="0"/>
    <xf numFmtId="0" fontId="41" fillId="95" borderId="0" applyNumberFormat="0" applyBorder="0" applyAlignment="0" applyProtection="0"/>
    <xf numFmtId="0" fontId="41" fillId="58" borderId="0" applyNumberFormat="0" applyBorder="0" applyAlignment="0" applyProtection="0"/>
    <xf numFmtId="0" fontId="41" fillId="95"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96" borderId="0" applyNumberFormat="0" applyBorder="0" applyAlignment="0" applyProtection="0"/>
    <xf numFmtId="0" fontId="41" fillId="96" borderId="0" applyNumberFormat="0" applyBorder="0" applyAlignment="0" applyProtection="0"/>
    <xf numFmtId="0" fontId="41" fillId="58" borderId="0" applyNumberFormat="0" applyBorder="0" applyAlignment="0" applyProtection="0"/>
    <xf numFmtId="0" fontId="41" fillId="96"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95"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2" fontId="72" fillId="0" borderId="0">
      <alignment vertical="center"/>
    </xf>
    <xf numFmtId="0" fontId="90" fillId="80" borderId="0" applyNumberFormat="0" applyBorder="0" applyAlignment="0" applyProtection="0"/>
    <xf numFmtId="0" fontId="91" fillId="92" borderId="0" applyNumberFormat="0" applyBorder="0" applyAlignment="0" applyProtection="0"/>
    <xf numFmtId="0" fontId="91" fillId="92" borderId="0" applyNumberFormat="0" applyBorder="0" applyAlignment="0" applyProtection="0"/>
    <xf numFmtId="0" fontId="91" fillId="92" borderId="0" applyNumberFormat="0" applyBorder="0" applyAlignment="0" applyProtection="0"/>
    <xf numFmtId="0" fontId="90" fillId="80" borderId="0" applyNumberFormat="0" applyBorder="0" applyAlignment="0" applyProtection="0"/>
    <xf numFmtId="0" fontId="91" fillId="92" borderId="0" applyNumberFormat="0" applyBorder="0" applyAlignment="0" applyProtection="0"/>
    <xf numFmtId="0" fontId="90" fillId="80" borderId="0" applyNumberFormat="0" applyBorder="0" applyAlignment="0" applyProtection="0"/>
    <xf numFmtId="0" fontId="42" fillId="42" borderId="0" applyNumberFormat="0" applyBorder="0" applyAlignment="0" applyProtection="0"/>
    <xf numFmtId="0" fontId="90" fillId="80" borderId="0" applyNumberFormat="0" applyBorder="0" applyAlignment="0" applyProtection="0"/>
    <xf numFmtId="0" fontId="91" fillId="92" borderId="0" applyNumberFormat="0" applyBorder="0" applyAlignment="0" applyProtection="0"/>
    <xf numFmtId="0" fontId="91" fillId="92" borderId="0" applyNumberFormat="0" applyBorder="0" applyAlignment="0" applyProtection="0"/>
    <xf numFmtId="0" fontId="42" fillId="42" borderId="0" applyNumberFormat="0" applyBorder="0" applyAlignment="0" applyProtection="0"/>
    <xf numFmtId="0" fontId="91" fillId="92" borderId="0" applyNumberFormat="0" applyBorder="0" applyAlignment="0" applyProtection="0"/>
    <xf numFmtId="0" fontId="90" fillId="80" borderId="0" applyNumberFormat="0" applyBorder="0" applyAlignment="0" applyProtection="0"/>
    <xf numFmtId="0" fontId="42" fillId="42"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92"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0" fontId="43" fillId="43" borderId="0" applyNumberFormat="0" applyBorder="0" applyAlignment="0" applyProtection="0"/>
    <xf numFmtId="37" fontId="44" fillId="59" borderId="22">
      <protection locked="0"/>
    </xf>
    <xf numFmtId="37" fontId="44" fillId="59" borderId="22">
      <protection locked="0"/>
    </xf>
    <xf numFmtId="37" fontId="44" fillId="59" borderId="22">
      <protection locked="0"/>
    </xf>
    <xf numFmtId="37" fontId="44" fillId="59" borderId="22">
      <protection locked="0"/>
    </xf>
    <xf numFmtId="0" fontId="93" fillId="97" borderId="23" applyNumberFormat="0" applyAlignment="0" applyProtection="0"/>
    <xf numFmtId="0" fontId="94" fillId="98" borderId="37" applyNumberFormat="0" applyAlignment="0" applyProtection="0"/>
    <xf numFmtId="0" fontId="94" fillId="98" borderId="37" applyNumberFormat="0" applyAlignment="0" applyProtection="0"/>
    <xf numFmtId="0" fontId="94" fillId="98" borderId="37" applyNumberFormat="0" applyAlignment="0" applyProtection="0"/>
    <xf numFmtId="0" fontId="93" fillId="97" borderId="23" applyNumberFormat="0" applyAlignment="0" applyProtection="0"/>
    <xf numFmtId="0" fontId="94" fillId="98" borderId="37" applyNumberFormat="0" applyAlignment="0" applyProtection="0"/>
    <xf numFmtId="0" fontId="93" fillId="97" borderId="23" applyNumberFormat="0" applyAlignment="0" applyProtection="0"/>
    <xf numFmtId="0" fontId="45" fillId="60" borderId="23" applyNumberFormat="0" applyAlignment="0" applyProtection="0"/>
    <xf numFmtId="0" fontId="93" fillId="97" borderId="23" applyNumberFormat="0" applyAlignment="0" applyProtection="0"/>
    <xf numFmtId="0" fontId="94" fillId="98" borderId="37" applyNumberFormat="0" applyAlignment="0" applyProtection="0"/>
    <xf numFmtId="0" fontId="94" fillId="98" borderId="37" applyNumberFormat="0" applyAlignment="0" applyProtection="0"/>
    <xf numFmtId="0" fontId="45" fillId="60" borderId="23" applyNumberFormat="0" applyAlignment="0" applyProtection="0"/>
    <xf numFmtId="0" fontId="94" fillId="98" borderId="37" applyNumberFormat="0" applyAlignment="0" applyProtection="0"/>
    <xf numFmtId="0" fontId="93" fillId="97"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9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45" fillId="60" borderId="23" applyNumberFormat="0" applyAlignment="0" applyProtection="0"/>
    <xf numFmtId="0" fontId="96" fillId="0" borderId="0"/>
    <xf numFmtId="0" fontId="96" fillId="0" borderId="0"/>
    <xf numFmtId="0" fontId="46"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97"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46" fillId="61" borderId="24" applyNumberFormat="0" applyAlignment="0" applyProtection="0"/>
    <xf numFmtId="0" fontId="47" fillId="0" borderId="25"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0" fontId="98" fillId="0" borderId="25"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0" fontId="47" fillId="0" borderId="25" applyNumberFormat="0" applyFill="0" applyAlignment="0" applyProtection="0"/>
    <xf numFmtId="0" fontId="46" fillId="61" borderId="24" applyNumberFormat="0" applyAlignment="0" applyProtection="0"/>
    <xf numFmtId="0" fontId="47" fillId="0" borderId="25" applyNumberFormat="0" applyFill="0" applyAlignment="0" applyProtection="0"/>
    <xf numFmtId="0" fontId="39" fillId="61" borderId="24" applyNumberFormat="0" applyAlignment="0" applyProtection="0"/>
    <xf numFmtId="0" fontId="46" fillId="90" borderId="24" applyNumberFormat="0" applyAlignment="0" applyProtection="0"/>
    <xf numFmtId="0" fontId="46" fillId="90" borderId="24" applyNumberFormat="0" applyAlignment="0" applyProtection="0"/>
    <xf numFmtId="0" fontId="46" fillId="82" borderId="24" applyNumberFormat="0" applyAlignment="0" applyProtection="0"/>
    <xf numFmtId="0" fontId="39" fillId="61" borderId="24" applyNumberFormat="0" applyAlignment="0" applyProtection="0"/>
    <xf numFmtId="0" fontId="46" fillId="90" borderId="24" applyNumberFormat="0" applyAlignment="0" applyProtection="0"/>
    <xf numFmtId="0" fontId="46" fillId="82" borderId="24" applyNumberFormat="0" applyAlignment="0" applyProtection="0"/>
    <xf numFmtId="0" fontId="46" fillId="90" borderId="24" applyNumberFormat="0" applyAlignment="0" applyProtection="0"/>
    <xf numFmtId="0" fontId="46" fillId="82" borderId="24" applyNumberFormat="0" applyAlignment="0" applyProtection="0"/>
    <xf numFmtId="0" fontId="46" fillId="82" borderId="24" applyNumberFormat="0" applyAlignment="0" applyProtection="0"/>
    <xf numFmtId="0" fontId="46" fillId="61" borderId="24" applyNumberFormat="0" applyAlignment="0" applyProtection="0"/>
    <xf numFmtId="0" fontId="46" fillId="82" borderId="24" applyNumberFormat="0" applyAlignment="0" applyProtection="0"/>
    <xf numFmtId="0" fontId="46" fillId="90" borderId="24" applyNumberFormat="0" applyAlignment="0" applyProtection="0"/>
    <xf numFmtId="0" fontId="46" fillId="90" borderId="24" applyNumberFormat="0" applyAlignment="0" applyProtection="0"/>
    <xf numFmtId="0" fontId="46" fillId="61" borderId="24" applyNumberFormat="0" applyAlignment="0" applyProtection="0"/>
    <xf numFmtId="0" fontId="46" fillId="90" borderId="24" applyNumberFormat="0" applyAlignment="0" applyProtection="0"/>
    <xf numFmtId="0" fontId="46" fillId="82" borderId="24" applyNumberFormat="0" applyAlignment="0" applyProtection="0"/>
    <xf numFmtId="0" fontId="46" fillId="61" borderId="24" applyNumberFormat="0" applyAlignment="0" applyProtection="0"/>
    <xf numFmtId="0" fontId="46" fillId="61" borderId="24" applyNumberFormat="0" applyAlignment="0" applyProtection="0"/>
    <xf numFmtId="181" fontId="48" fillId="0" borderId="0"/>
    <xf numFmtId="0" fontId="39" fillId="0" borderId="0"/>
    <xf numFmtId="181" fontId="48" fillId="0" borderId="0"/>
    <xf numFmtId="0" fontId="39" fillId="0" borderId="0"/>
    <xf numFmtId="181" fontId="48" fillId="0" borderId="0"/>
    <xf numFmtId="0" fontId="39" fillId="0" borderId="0"/>
    <xf numFmtId="181" fontId="48" fillId="0" borderId="0"/>
    <xf numFmtId="0" fontId="39" fillId="0" borderId="0"/>
    <xf numFmtId="181" fontId="48" fillId="0" borderId="0"/>
    <xf numFmtId="0" fontId="39" fillId="0" borderId="0"/>
    <xf numFmtId="181" fontId="48" fillId="0" borderId="0"/>
    <xf numFmtId="0" fontId="39" fillId="0" borderId="0"/>
    <xf numFmtId="181" fontId="48" fillId="0" borderId="0"/>
    <xf numFmtId="0" fontId="39" fillId="0" borderId="0"/>
    <xf numFmtId="181" fontId="48" fillId="0" borderId="0"/>
    <xf numFmtId="0" fontId="39" fillId="0" borderId="0"/>
    <xf numFmtId="216" fontId="39" fillId="0" borderId="0" applyFont="0" applyFill="0" applyBorder="0" applyAlignment="0" applyProtection="0"/>
    <xf numFmtId="216"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82" fontId="10" fillId="0" borderId="0" applyFont="0" applyFill="0" applyBorder="0" applyAlignment="0" applyProtection="0"/>
    <xf numFmtId="217" fontId="39" fillId="0" borderId="0" applyFont="0" applyFill="0" applyBorder="0" applyAlignment="0" applyProtection="0"/>
    <xf numFmtId="43" fontId="6" fillId="0" borderId="0" applyFont="0" applyFill="0" applyBorder="0" applyAlignment="0" applyProtection="0"/>
    <xf numFmtId="217"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43" fontId="39" fillId="0" borderId="0" applyFont="0" applyFill="0" applyBorder="0" applyAlignment="0" applyProtection="0"/>
    <xf numFmtId="181" fontId="39" fillId="0" borderId="0" applyFont="0" applyFill="0" applyBorder="0" applyAlignment="0" applyProtection="0"/>
    <xf numFmtId="43" fontId="99" fillId="0" borderId="0" applyFont="0" applyFill="0" applyBorder="0" applyAlignment="0" applyProtection="0"/>
    <xf numFmtId="218" fontId="39" fillId="0" borderId="0" applyFont="0" applyFill="0" applyBorder="0" applyAlignment="0" applyProtection="0"/>
    <xf numFmtId="181" fontId="39" fillId="0" borderId="0" applyFont="0" applyFill="0" applyBorder="0" applyAlignment="0" applyProtection="0"/>
    <xf numFmtId="43" fontId="99" fillId="0" borderId="0" applyFont="0" applyFill="0" applyBorder="0" applyAlignment="0" applyProtection="0"/>
    <xf numFmtId="182" fontId="10" fillId="0" borderId="0" applyFont="0" applyFill="0" applyBorder="0" applyAlignment="0" applyProtection="0"/>
    <xf numFmtId="43" fontId="9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1" fontId="3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39" fillId="0" borderId="0" applyFont="0" applyFill="0" applyBorder="0" applyAlignment="0" applyProtection="0"/>
    <xf numFmtId="43" fontId="6" fillId="0" borderId="0" applyFont="0" applyFill="0" applyBorder="0" applyAlignment="0" applyProtection="0"/>
    <xf numFmtId="182" fontId="39" fillId="0" borderId="0" applyFont="0" applyFill="0" applyBorder="0" applyAlignment="0" applyProtection="0"/>
    <xf numFmtId="43" fontId="6" fillId="0" borderId="0" applyFont="0" applyFill="0" applyBorder="0" applyAlignment="0" applyProtection="0"/>
    <xf numFmtId="218"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0" fillId="0" borderId="0" applyFont="0" applyFill="0" applyBorder="0" applyAlignment="0" applyProtection="0"/>
    <xf numFmtId="43" fontId="39" fillId="0" borderId="0" applyFont="0" applyFill="0" applyBorder="0" applyAlignment="0" applyProtection="0"/>
    <xf numFmtId="43" fontId="10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0" fillId="0" borderId="0" applyFont="0" applyFill="0" applyBorder="0" applyAlignment="0" applyProtection="0"/>
    <xf numFmtId="43" fontId="6" fillId="0" borderId="0" applyFont="0" applyFill="0" applyBorder="0" applyAlignment="0" applyProtection="0"/>
    <xf numFmtId="43" fontId="40"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3" fontId="6" fillId="0" borderId="0" applyFont="0" applyFill="0" applyBorder="0" applyAlignment="0" applyProtection="0"/>
    <xf numFmtId="43" fontId="39" fillId="0" borderId="0" applyFont="0" applyFill="0" applyBorder="0" applyAlignment="0" applyProtection="0"/>
    <xf numFmtId="43" fontId="6"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3" fontId="6" fillId="0" borderId="0" applyFont="0" applyFill="0" applyBorder="0" applyAlignment="0" applyProtection="0"/>
    <xf numFmtId="182" fontId="39" fillId="0" borderId="0" applyFont="0" applyFill="0" applyBorder="0" applyAlignment="0" applyProtection="0"/>
    <xf numFmtId="43" fontId="6" fillId="0" borderId="0" applyFont="0" applyFill="0" applyBorder="0" applyAlignment="0" applyProtection="0"/>
    <xf numFmtId="182" fontId="39" fillId="0" borderId="0" applyFont="0" applyFill="0" applyBorder="0" applyAlignment="0" applyProtection="0"/>
    <xf numFmtId="43" fontId="39" fillId="0" borderId="0" applyFont="0" applyFill="0" applyBorder="0" applyAlignment="0" applyProtection="0"/>
    <xf numFmtId="43" fontId="6" fillId="0" borderId="0" applyFont="0" applyFill="0" applyBorder="0" applyAlignment="0" applyProtection="0"/>
    <xf numFmtId="182" fontId="39" fillId="0" borderId="0" applyFont="0" applyFill="0" applyBorder="0" applyAlignment="0" applyProtection="0"/>
    <xf numFmtId="43" fontId="39" fillId="0" borderId="0" applyFont="0" applyFill="0" applyBorder="0" applyAlignment="0" applyProtection="0"/>
    <xf numFmtId="43" fontId="6" fillId="0" borderId="0" applyFont="0" applyFill="0" applyBorder="0" applyAlignment="0" applyProtection="0"/>
    <xf numFmtId="182" fontId="39" fillId="0" borderId="0" applyFont="0" applyFill="0" applyBorder="0" applyAlignment="0" applyProtection="0"/>
    <xf numFmtId="43" fontId="39" fillId="0" borderId="0" applyFont="0" applyFill="0" applyBorder="0" applyAlignment="0" applyProtection="0"/>
    <xf numFmtId="219" fontId="39" fillId="0" borderId="0">
      <protection locked="0"/>
    </xf>
    <xf numFmtId="220" fontId="39" fillId="0" borderId="0">
      <protection locked="0"/>
    </xf>
    <xf numFmtId="220" fontId="39" fillId="0" borderId="0">
      <protection locked="0"/>
    </xf>
    <xf numFmtId="220" fontId="39" fillId="0" borderId="0">
      <protection locked="0"/>
    </xf>
    <xf numFmtId="220" fontId="39" fillId="0" borderId="0">
      <protection locked="0"/>
    </xf>
    <xf numFmtId="220"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19" fontId="39" fillId="0" borderId="0">
      <protection locked="0"/>
    </xf>
    <xf numFmtId="221" fontId="39" fillId="0" borderId="0" applyFont="0" applyFill="0" applyBorder="0" applyAlignment="0" applyProtection="0"/>
    <xf numFmtId="221" fontId="39" fillId="0" borderId="0" applyFont="0" applyFill="0" applyBorder="0" applyAlignment="0" applyProtection="0"/>
    <xf numFmtId="182" fontId="39" fillId="0" borderId="0" applyFont="0" applyFill="0" applyBorder="0" applyAlignment="0" applyProtection="0"/>
    <xf numFmtId="222" fontId="39" fillId="0" borderId="0" applyFont="0" applyFill="0" applyBorder="0" applyAlignment="0" applyProtection="0"/>
    <xf numFmtId="222" fontId="39" fillId="0" borderId="0" applyFont="0" applyFill="0" applyBorder="0" applyAlignment="0" applyProtection="0"/>
    <xf numFmtId="223" fontId="101" fillId="0" borderId="0">
      <protection locked="0"/>
    </xf>
    <xf numFmtId="224" fontId="10" fillId="99" borderId="0" applyFont="0" applyFill="0" applyBorder="0" applyAlignment="0" applyProtection="0"/>
    <xf numFmtId="225" fontId="13" fillId="0" borderId="1"/>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3" fontId="101" fillId="0" borderId="0">
      <protection locked="0"/>
    </xf>
    <xf numFmtId="226" fontId="10" fillId="0" borderId="0" applyFill="0" applyBorder="0">
      <alignment horizontal="right"/>
    </xf>
    <xf numFmtId="2" fontId="102" fillId="0" borderId="2"/>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227" fontId="103" fillId="100" borderId="0" applyFont="0" applyFill="0" applyBorder="0" applyAlignment="0" applyProtection="0">
      <alignment horizontal="right" vertical="center"/>
    </xf>
    <xf numFmtId="2" fontId="39" fillId="0" borderId="0"/>
    <xf numFmtId="2" fontId="39" fillId="0" borderId="0"/>
    <xf numFmtId="2" fontId="39" fillId="0" borderId="0"/>
    <xf numFmtId="0" fontId="64" fillId="101" borderId="0" applyNumberFormat="0" applyBorder="0" applyAlignment="0" applyProtection="0"/>
    <xf numFmtId="0" fontId="64" fillId="102" borderId="0" applyNumberFormat="0" applyBorder="0" applyAlignment="0" applyProtection="0"/>
    <xf numFmtId="0" fontId="64" fillId="102" borderId="0" applyNumberFormat="0" applyBorder="0" applyAlignment="0" applyProtection="0"/>
    <xf numFmtId="0" fontId="64" fillId="101" borderId="0" applyNumberFormat="0" applyBorder="0" applyAlignment="0" applyProtection="0"/>
    <xf numFmtId="0" fontId="64" fillId="101" borderId="0" applyNumberFormat="0" applyBorder="0" applyAlignment="0" applyProtection="0"/>
    <xf numFmtId="0" fontId="64" fillId="103" borderId="0" applyNumberFormat="0" applyBorder="0" applyAlignment="0" applyProtection="0"/>
    <xf numFmtId="0" fontId="64" fillId="104" borderId="0" applyNumberFormat="0" applyBorder="0" applyAlignment="0" applyProtection="0"/>
    <xf numFmtId="0" fontId="64" fillId="104" borderId="0" applyNumberFormat="0" applyBorder="0" applyAlignment="0" applyProtection="0"/>
    <xf numFmtId="0" fontId="64" fillId="103" borderId="0" applyNumberFormat="0" applyBorder="0" applyAlignment="0" applyProtection="0"/>
    <xf numFmtId="0" fontId="64" fillId="103" borderId="0" applyNumberFormat="0" applyBorder="0" applyAlignment="0" applyProtection="0"/>
    <xf numFmtId="0" fontId="64" fillId="105" borderId="0" applyNumberFormat="0" applyBorder="0" applyAlignment="0" applyProtection="0"/>
    <xf numFmtId="0" fontId="64" fillId="105" borderId="0" applyNumberFormat="0" applyBorder="0" applyAlignment="0" applyProtection="0"/>
    <xf numFmtId="0" fontId="64" fillId="105" borderId="0" applyNumberFormat="0" applyBorder="0" applyAlignment="0" applyProtection="0"/>
    <xf numFmtId="0" fontId="64" fillId="105" borderId="0" applyNumberFormat="0" applyBorder="0" applyAlignment="0" applyProtection="0"/>
    <xf numFmtId="0" fontId="64" fillId="105" borderId="0" applyNumberFormat="0" applyBorder="0" applyAlignment="0" applyProtection="0"/>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104" fillId="0" borderId="0">
      <protection locked="0"/>
    </xf>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105"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1" fillId="55" borderId="0" applyNumberFormat="0" applyBorder="0" applyAlignment="0" applyProtection="0"/>
    <xf numFmtId="0" fontId="41" fillId="56" borderId="0" applyNumberFormat="0" applyBorder="0" applyAlignment="0" applyProtection="0"/>
    <xf numFmtId="0" fontId="41" fillId="57"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8"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89"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5"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89"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6"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89"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7"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89"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89"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3"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89"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41" fillId="58" borderId="0" applyNumberFormat="0" applyBorder="0" applyAlignment="0" applyProtection="0"/>
    <xf numFmtId="0" fontId="50" fillId="46" borderId="23" applyNumberFormat="0" applyAlignment="0" applyProtection="0"/>
    <xf numFmtId="0" fontId="50" fillId="46" borderId="23" applyNumberFormat="0" applyAlignment="0" applyProtection="0"/>
    <xf numFmtId="0" fontId="50" fillId="46" borderId="23" applyNumberFormat="0" applyAlignment="0" applyProtection="0"/>
    <xf numFmtId="0" fontId="50" fillId="46" borderId="23" applyNumberFormat="0" applyAlignment="0" applyProtection="0"/>
    <xf numFmtId="0" fontId="50" fillId="46" borderId="23" applyNumberFormat="0" applyAlignment="0" applyProtection="0"/>
    <xf numFmtId="0" fontId="50" fillId="46" borderId="23" applyNumberFormat="0" applyAlignment="0" applyProtection="0"/>
    <xf numFmtId="0" fontId="50" fillId="46" borderId="23" applyNumberFormat="0" applyAlignment="0" applyProtection="0"/>
    <xf numFmtId="0" fontId="50" fillId="46" borderId="23" applyNumberFormat="0" applyAlignment="0" applyProtection="0"/>
    <xf numFmtId="0" fontId="106" fillId="46" borderId="23" applyNumberFormat="0" applyAlignment="0" applyProtection="0"/>
    <xf numFmtId="0" fontId="50" fillId="46" borderId="23" applyNumberFormat="0" applyAlignment="0" applyProtection="0"/>
    <xf numFmtId="0" fontId="50" fillId="46" borderId="23" applyNumberFormat="0" applyAlignment="0" applyProtection="0"/>
    <xf numFmtId="0" fontId="50" fillId="46" borderId="23" applyNumberFormat="0" applyAlignment="0" applyProtection="0"/>
    <xf numFmtId="0" fontId="50" fillId="46" borderId="23" applyNumberFormat="0" applyAlignment="0" applyProtection="0"/>
    <xf numFmtId="0" fontId="50" fillId="46" borderId="23" applyNumberFormat="0" applyAlignment="0" applyProtection="0"/>
    <xf numFmtId="0" fontId="50" fillId="46" borderId="23" applyNumberFormat="0" applyAlignment="0" applyProtection="0"/>
    <xf numFmtId="0" fontId="39" fillId="0" borderId="0"/>
    <xf numFmtId="0" fontId="107" fillId="0" borderId="0"/>
    <xf numFmtId="0" fontId="39" fillId="0" borderId="0"/>
    <xf numFmtId="0" fontId="107"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184" fontId="39" fillId="0" borderId="0" applyFont="0" applyFill="0" applyBorder="0" applyAlignment="0" applyProtection="0"/>
    <xf numFmtId="184" fontId="51" fillId="0" borderId="0" applyFont="0" applyFill="0" applyBorder="0" applyAlignment="0" applyProtection="0"/>
    <xf numFmtId="183" fontId="39" fillId="0" borderId="0" applyFont="0" applyFill="0" applyBorder="0" applyAlignment="0" applyProtection="0"/>
    <xf numFmtId="0"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228" fontId="39" fillId="0" borderId="0" applyFont="0" applyFill="0" applyBorder="0" applyAlignment="0" applyProtection="0"/>
    <xf numFmtId="228" fontId="39" fillId="0" borderId="0" applyFont="0" applyFill="0" applyBorder="0" applyAlignment="0" applyProtection="0"/>
    <xf numFmtId="183" fontId="39" fillId="0" borderId="0" applyFont="0" applyFill="0" applyBorder="0" applyAlignment="0" applyProtection="0"/>
    <xf numFmtId="228" fontId="39" fillId="0" borderId="0" applyFont="0" applyFill="0" applyBorder="0" applyAlignment="0" applyProtection="0"/>
    <xf numFmtId="0" fontId="39" fillId="0" borderId="0" applyFont="0" applyFill="0" applyBorder="0" applyAlignment="0" applyProtection="0"/>
    <xf numFmtId="228" fontId="39" fillId="0" borderId="0" applyFont="0" applyFill="0" applyBorder="0" applyAlignment="0" applyProtection="0"/>
    <xf numFmtId="0"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184" fontId="39" fillId="0" borderId="0" applyFont="0" applyFill="0" applyBorder="0" applyAlignment="0" applyProtection="0"/>
    <xf numFmtId="183" fontId="39" fillId="0" borderId="0" applyFont="0" applyFill="0" applyBorder="0" applyAlignment="0" applyProtection="0"/>
    <xf numFmtId="184"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228" fontId="39" fillId="0" borderId="0" applyFont="0" applyFill="0" applyBorder="0" applyAlignment="0" applyProtection="0"/>
    <xf numFmtId="228"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183" fontId="39" fillId="0" borderId="0" applyFont="0" applyFill="0" applyBorder="0" applyAlignment="0" applyProtection="0"/>
    <xf numFmtId="0" fontId="37" fillId="0" borderId="0" applyNumberFormat="0" applyFill="0" applyBorder="0" applyAlignment="0" applyProtection="0"/>
    <xf numFmtId="229" fontId="101" fillId="0" borderId="0">
      <protection locked="0"/>
    </xf>
    <xf numFmtId="229"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229" fontId="101" fillId="0" borderId="0">
      <protection locked="0"/>
    </xf>
    <xf numFmtId="229" fontId="101" fillId="0" borderId="0">
      <protection locked="0"/>
    </xf>
    <xf numFmtId="229" fontId="101" fillId="0" borderId="0">
      <protection locked="0"/>
    </xf>
    <xf numFmtId="229" fontId="101" fillId="0" borderId="0">
      <protection locked="0"/>
    </xf>
    <xf numFmtId="0" fontId="101" fillId="0" borderId="0">
      <protection locked="0"/>
    </xf>
    <xf numFmtId="229" fontId="101" fillId="0" borderId="0">
      <protection locked="0"/>
    </xf>
    <xf numFmtId="229"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229" fontId="101" fillId="0" borderId="0">
      <protection locked="0"/>
    </xf>
    <xf numFmtId="229" fontId="101" fillId="0" borderId="0">
      <protection locked="0"/>
    </xf>
    <xf numFmtId="229" fontId="101" fillId="0" borderId="0">
      <protection locked="0"/>
    </xf>
    <xf numFmtId="229" fontId="101" fillId="0" borderId="0">
      <protection locked="0"/>
    </xf>
    <xf numFmtId="0" fontId="101" fillId="0" borderId="0">
      <protection locked="0"/>
    </xf>
    <xf numFmtId="229" fontId="101" fillId="0" borderId="0">
      <protection locked="0"/>
    </xf>
    <xf numFmtId="229"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229" fontId="101" fillId="0" borderId="0">
      <protection locked="0"/>
    </xf>
    <xf numFmtId="229" fontId="101" fillId="0" borderId="0">
      <protection locked="0"/>
    </xf>
    <xf numFmtId="229" fontId="101" fillId="0" borderId="0">
      <protection locked="0"/>
    </xf>
    <xf numFmtId="229" fontId="101" fillId="0" borderId="0">
      <protection locked="0"/>
    </xf>
    <xf numFmtId="0" fontId="101" fillId="0" borderId="0">
      <protection locked="0"/>
    </xf>
    <xf numFmtId="229" fontId="101" fillId="0" borderId="0">
      <protection locked="0"/>
    </xf>
    <xf numFmtId="229"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229" fontId="101" fillId="0" borderId="0">
      <protection locked="0"/>
    </xf>
    <xf numFmtId="229" fontId="101" fillId="0" borderId="0">
      <protection locked="0"/>
    </xf>
    <xf numFmtId="229" fontId="101" fillId="0" borderId="0">
      <protection locked="0"/>
    </xf>
    <xf numFmtId="229" fontId="101" fillId="0" borderId="0">
      <protection locked="0"/>
    </xf>
    <xf numFmtId="0" fontId="101" fillId="0" borderId="0">
      <protection locked="0"/>
    </xf>
    <xf numFmtId="229" fontId="101" fillId="0" borderId="0">
      <protection locked="0"/>
    </xf>
    <xf numFmtId="229"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229" fontId="101" fillId="0" borderId="0">
      <protection locked="0"/>
    </xf>
    <xf numFmtId="229" fontId="101" fillId="0" borderId="0">
      <protection locked="0"/>
    </xf>
    <xf numFmtId="229" fontId="101" fillId="0" borderId="0">
      <protection locked="0"/>
    </xf>
    <xf numFmtId="229" fontId="101" fillId="0" borderId="0">
      <protection locked="0"/>
    </xf>
    <xf numFmtId="0" fontId="101" fillId="0" borderId="0">
      <protection locked="0"/>
    </xf>
    <xf numFmtId="229" fontId="101" fillId="0" borderId="0">
      <protection locked="0"/>
    </xf>
    <xf numFmtId="229"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229" fontId="101" fillId="0" borderId="0">
      <protection locked="0"/>
    </xf>
    <xf numFmtId="229" fontId="101" fillId="0" borderId="0">
      <protection locked="0"/>
    </xf>
    <xf numFmtId="229" fontId="101" fillId="0" borderId="0">
      <protection locked="0"/>
    </xf>
    <xf numFmtId="229" fontId="101" fillId="0" borderId="0">
      <protection locked="0"/>
    </xf>
    <xf numFmtId="0" fontId="101" fillId="0" borderId="0">
      <protection locked="0"/>
    </xf>
    <xf numFmtId="229" fontId="101" fillId="0" borderId="0">
      <protection locked="0"/>
    </xf>
    <xf numFmtId="229"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0" fontId="101" fillId="0" borderId="0">
      <protection locked="0"/>
    </xf>
    <xf numFmtId="229" fontId="101" fillId="0" borderId="0">
      <protection locked="0"/>
    </xf>
    <xf numFmtId="229" fontId="101" fillId="0" borderId="0">
      <protection locked="0"/>
    </xf>
    <xf numFmtId="229" fontId="101" fillId="0" borderId="0">
      <protection locked="0"/>
    </xf>
    <xf numFmtId="229" fontId="101" fillId="0" borderId="0">
      <protection locked="0"/>
    </xf>
    <xf numFmtId="0" fontId="101" fillId="0" borderId="0">
      <protection locked="0"/>
    </xf>
    <xf numFmtId="230" fontId="101" fillId="0" borderId="0">
      <protection locked="0"/>
    </xf>
    <xf numFmtId="230" fontId="101" fillId="0" borderId="0">
      <protection locked="0"/>
    </xf>
    <xf numFmtId="230" fontId="101" fillId="0" borderId="0">
      <protection locked="0"/>
    </xf>
    <xf numFmtId="230" fontId="101" fillId="0" borderId="0">
      <protection locked="0"/>
    </xf>
    <xf numFmtId="230" fontId="101" fillId="0" borderId="0">
      <protection locked="0"/>
    </xf>
    <xf numFmtId="230" fontId="101" fillId="0" borderId="0">
      <protection locked="0"/>
    </xf>
    <xf numFmtId="231" fontId="101" fillId="0" borderId="0">
      <protection locked="0"/>
    </xf>
    <xf numFmtId="231" fontId="101" fillId="0" borderId="0">
      <protection locked="0"/>
    </xf>
    <xf numFmtId="231" fontId="101" fillId="0" borderId="0">
      <protection locked="0"/>
    </xf>
    <xf numFmtId="231" fontId="101" fillId="0" borderId="0">
      <protection locked="0"/>
    </xf>
    <xf numFmtId="231" fontId="101" fillId="0" borderId="0">
      <protection locked="0"/>
    </xf>
    <xf numFmtId="231" fontId="101" fillId="0" borderId="0">
      <protection locked="0"/>
    </xf>
    <xf numFmtId="232" fontId="101" fillId="0" borderId="0">
      <protection locked="0"/>
    </xf>
    <xf numFmtId="232" fontId="101" fillId="0" borderId="0">
      <protection locked="0"/>
    </xf>
    <xf numFmtId="232" fontId="101" fillId="0" borderId="0">
      <protection locked="0"/>
    </xf>
    <xf numFmtId="232" fontId="101" fillId="0" borderId="0">
      <protection locked="0"/>
    </xf>
    <xf numFmtId="232" fontId="101" fillId="0" borderId="0">
      <protection locked="0"/>
    </xf>
    <xf numFmtId="232" fontId="101" fillId="0" borderId="0">
      <protection locked="0"/>
    </xf>
    <xf numFmtId="232" fontId="101" fillId="0" borderId="0">
      <protection locked="0"/>
    </xf>
    <xf numFmtId="232" fontId="101" fillId="0" borderId="0">
      <protection locked="0"/>
    </xf>
    <xf numFmtId="0" fontId="108" fillId="0" borderId="0" applyNumberFormat="0" applyFill="0" applyBorder="0" applyAlignment="0" applyProtection="0">
      <alignment vertical="top"/>
      <protection locked="0"/>
    </xf>
    <xf numFmtId="0" fontId="108" fillId="0" borderId="0" applyNumberFormat="0" applyFill="0" applyBorder="0" applyAlignment="0" applyProtection="0">
      <alignment vertical="top"/>
      <protection locked="0"/>
    </xf>
    <xf numFmtId="0" fontId="108" fillId="0" borderId="0" applyNumberFormat="0" applyFill="0" applyBorder="0" applyAlignment="0" applyProtection="0">
      <alignment vertical="top"/>
      <protection locked="0"/>
    </xf>
    <xf numFmtId="0" fontId="108" fillId="0" borderId="0" applyNumberFormat="0" applyFill="0" applyBorder="0" applyAlignment="0" applyProtection="0">
      <alignment vertical="top"/>
      <protection locked="0"/>
    </xf>
    <xf numFmtId="0" fontId="108" fillId="0" borderId="0" applyNumberFormat="0" applyFill="0" applyBorder="0" applyAlignment="0" applyProtection="0">
      <alignment vertical="top"/>
      <protection locked="0"/>
    </xf>
    <xf numFmtId="0" fontId="108" fillId="0" borderId="0" applyNumberFormat="0" applyFill="0" applyBorder="0" applyAlignment="0" applyProtection="0">
      <alignment vertical="top"/>
      <protection locked="0"/>
    </xf>
    <xf numFmtId="0" fontId="108" fillId="0" borderId="0" applyNumberFormat="0" applyFill="0" applyBorder="0" applyAlignment="0" applyProtection="0">
      <alignment vertical="top"/>
      <protection locked="0"/>
    </xf>
    <xf numFmtId="0" fontId="53" fillId="0" borderId="0"/>
    <xf numFmtId="0" fontId="39" fillId="43" borderId="0" applyNumberFormat="0" applyBorder="0" applyAlignment="0" applyProtection="0"/>
    <xf numFmtId="0" fontId="40" fillId="86" borderId="0" applyNumberFormat="0" applyBorder="0" applyAlignment="0" applyProtection="0"/>
    <xf numFmtId="0" fontId="40" fillId="86" borderId="0" applyNumberFormat="0" applyBorder="0" applyAlignment="0" applyProtection="0"/>
    <xf numFmtId="0" fontId="43" fillId="106" borderId="0" applyNumberFormat="0" applyBorder="0" applyAlignment="0" applyProtection="0"/>
    <xf numFmtId="0" fontId="39" fillId="43" borderId="0" applyNumberFormat="0" applyBorder="0" applyAlignment="0" applyProtection="0"/>
    <xf numFmtId="0" fontId="40" fillId="86" borderId="0" applyNumberFormat="0" applyBorder="0" applyAlignment="0" applyProtection="0"/>
    <xf numFmtId="0" fontId="43" fillId="106" borderId="0" applyNumberFormat="0" applyBorder="0" applyAlignment="0" applyProtection="0"/>
    <xf numFmtId="0" fontId="40" fillId="86" borderId="0" applyNumberFormat="0" applyBorder="0" applyAlignment="0" applyProtection="0"/>
    <xf numFmtId="0" fontId="43" fillId="106" borderId="0" applyNumberFormat="0" applyBorder="0" applyAlignment="0" applyProtection="0"/>
    <xf numFmtId="0" fontId="43" fillId="43" borderId="0" applyNumberFormat="0" applyBorder="0" applyAlignment="0" applyProtection="0"/>
    <xf numFmtId="0" fontId="43" fillId="106" borderId="0" applyNumberFormat="0" applyBorder="0" applyAlignment="0" applyProtection="0"/>
    <xf numFmtId="0" fontId="40" fillId="86" borderId="0" applyNumberFormat="0" applyBorder="0" applyAlignment="0" applyProtection="0"/>
    <xf numFmtId="0" fontId="40" fillId="86" borderId="0" applyNumberFormat="0" applyBorder="0" applyAlignment="0" applyProtection="0"/>
    <xf numFmtId="0" fontId="43" fillId="43" borderId="0" applyNumberFormat="0" applyBorder="0" applyAlignment="0" applyProtection="0"/>
    <xf numFmtId="0" fontId="40" fillId="86" borderId="0" applyNumberFormat="0" applyBorder="0" applyAlignment="0" applyProtection="0"/>
    <xf numFmtId="0" fontId="43" fillId="106" borderId="0" applyNumberFormat="0" applyBorder="0" applyAlignment="0" applyProtection="0"/>
    <xf numFmtId="0" fontId="43" fillId="43" borderId="0" applyNumberFormat="0" applyBorder="0" applyAlignment="0" applyProtection="0"/>
    <xf numFmtId="185" fontId="54" fillId="0" borderId="0" applyFont="0" applyFill="0" applyBorder="0" applyAlignment="0" applyProtection="0">
      <alignment horizontal="right"/>
    </xf>
    <xf numFmtId="0" fontId="109" fillId="0" borderId="38" applyNumberFormat="0" applyFill="0" applyAlignment="0" applyProtection="0"/>
    <xf numFmtId="0" fontId="55" fillId="0" borderId="26" applyNumberFormat="0" applyFill="0" applyAlignment="0" applyProtection="0"/>
    <xf numFmtId="0" fontId="109" fillId="0" borderId="38" applyNumberFormat="0" applyFill="0" applyAlignment="0" applyProtection="0"/>
    <xf numFmtId="0" fontId="55" fillId="0" borderId="26" applyNumberFormat="0" applyFill="0" applyAlignment="0" applyProtection="0"/>
    <xf numFmtId="0" fontId="109" fillId="0" borderId="38" applyNumberFormat="0" applyFill="0" applyAlignment="0" applyProtection="0"/>
    <xf numFmtId="0" fontId="55" fillId="0" borderId="26" applyNumberFormat="0" applyFill="0" applyAlignment="0" applyProtection="0"/>
    <xf numFmtId="0" fontId="110" fillId="0" borderId="27" applyNumberFormat="0" applyFill="0" applyAlignment="0" applyProtection="0"/>
    <xf numFmtId="0" fontId="110" fillId="0" borderId="39" applyNumberFormat="0" applyFill="0" applyAlignment="0" applyProtection="0"/>
    <xf numFmtId="0" fontId="110" fillId="0" borderId="39" applyNumberFormat="0" applyFill="0" applyAlignment="0" applyProtection="0"/>
    <xf numFmtId="0" fontId="110" fillId="0" borderId="39" applyNumberFormat="0" applyFill="0" applyAlignment="0" applyProtection="0"/>
    <xf numFmtId="0" fontId="110" fillId="0" borderId="27" applyNumberFormat="0" applyFill="0" applyAlignment="0" applyProtection="0"/>
    <xf numFmtId="0" fontId="110" fillId="0" borderId="39" applyNumberFormat="0" applyFill="0" applyAlignment="0" applyProtection="0"/>
    <xf numFmtId="0" fontId="110" fillId="0" borderId="27" applyNumberFormat="0" applyFill="0" applyAlignment="0" applyProtection="0"/>
    <xf numFmtId="0" fontId="56" fillId="0" borderId="27" applyNumberFormat="0" applyFill="0" applyAlignment="0" applyProtection="0"/>
    <xf numFmtId="0" fontId="110" fillId="0" borderId="27" applyNumberFormat="0" applyFill="0" applyAlignment="0" applyProtection="0"/>
    <xf numFmtId="0" fontId="110" fillId="0" borderId="39" applyNumberFormat="0" applyFill="0" applyAlignment="0" applyProtection="0"/>
    <xf numFmtId="0" fontId="110" fillId="0" borderId="39" applyNumberFormat="0" applyFill="0" applyAlignment="0" applyProtection="0"/>
    <xf numFmtId="0" fontId="56" fillId="0" borderId="27" applyNumberFormat="0" applyFill="0" applyAlignment="0" applyProtection="0"/>
    <xf numFmtId="0" fontId="110" fillId="0" borderId="39" applyNumberFormat="0" applyFill="0" applyAlignment="0" applyProtection="0"/>
    <xf numFmtId="0" fontId="110" fillId="0" borderId="27" applyNumberFormat="0" applyFill="0" applyAlignment="0" applyProtection="0"/>
    <xf numFmtId="0" fontId="56" fillId="0" borderId="27" applyNumberFormat="0" applyFill="0" applyAlignment="0" applyProtection="0"/>
    <xf numFmtId="0" fontId="111" fillId="0" borderId="40" applyNumberFormat="0" applyFill="0" applyAlignment="0" applyProtection="0"/>
    <xf numFmtId="0" fontId="111" fillId="0" borderId="41" applyNumberFormat="0" applyFill="0" applyAlignment="0" applyProtection="0"/>
    <xf numFmtId="0" fontId="111" fillId="0" borderId="41" applyNumberFormat="0" applyFill="0" applyAlignment="0" applyProtection="0"/>
    <xf numFmtId="0" fontId="111" fillId="0" borderId="41" applyNumberFormat="0" applyFill="0" applyAlignment="0" applyProtection="0"/>
    <xf numFmtId="0" fontId="111" fillId="0" borderId="40" applyNumberFormat="0" applyFill="0" applyAlignment="0" applyProtection="0"/>
    <xf numFmtId="0" fontId="111" fillId="0" borderId="41" applyNumberFormat="0" applyFill="0" applyAlignment="0" applyProtection="0"/>
    <xf numFmtId="0" fontId="111" fillId="0" borderId="40" applyNumberFormat="0" applyFill="0" applyAlignment="0" applyProtection="0"/>
    <xf numFmtId="0" fontId="49" fillId="0" borderId="28" applyNumberFormat="0" applyFill="0" applyAlignment="0" applyProtection="0"/>
    <xf numFmtId="0" fontId="111" fillId="0" borderId="40" applyNumberFormat="0" applyFill="0" applyAlignment="0" applyProtection="0"/>
    <xf numFmtId="0" fontId="111" fillId="0" borderId="41" applyNumberFormat="0" applyFill="0" applyAlignment="0" applyProtection="0"/>
    <xf numFmtId="0" fontId="111" fillId="0" borderId="41" applyNumberFormat="0" applyFill="0" applyAlignment="0" applyProtection="0"/>
    <xf numFmtId="0" fontId="49" fillId="0" borderId="28" applyNumberFormat="0" applyFill="0" applyAlignment="0" applyProtection="0"/>
    <xf numFmtId="0" fontId="111" fillId="0" borderId="41" applyNumberFormat="0" applyFill="0" applyAlignment="0" applyProtection="0"/>
    <xf numFmtId="0" fontId="111" fillId="0" borderId="40" applyNumberFormat="0" applyFill="0" applyAlignment="0" applyProtection="0"/>
    <xf numFmtId="0" fontId="49" fillId="0" borderId="28" applyNumberFormat="0" applyFill="0" applyAlignment="0" applyProtection="0"/>
    <xf numFmtId="0" fontId="39" fillId="0" borderId="0" applyNumberFormat="0" applyFill="0" applyBorder="0" applyAlignment="0" applyProtection="0"/>
    <xf numFmtId="0" fontId="111" fillId="0" borderId="0" applyNumberFormat="0" applyFill="0" applyBorder="0" applyAlignment="0" applyProtection="0"/>
    <xf numFmtId="0" fontId="39" fillId="0" borderId="0" applyNumberFormat="0" applyFill="0" applyBorder="0" applyAlignment="0" applyProtection="0"/>
    <xf numFmtId="0" fontId="49" fillId="0" borderId="0" applyNumberFormat="0" applyFill="0" applyBorder="0" applyAlignment="0" applyProtection="0"/>
    <xf numFmtId="0" fontId="111" fillId="0" borderId="0" applyNumberFormat="0" applyFill="0" applyBorder="0" applyAlignment="0" applyProtection="0"/>
    <xf numFmtId="0" fontId="49" fillId="0" borderId="0" applyNumberFormat="0" applyFill="0" applyBorder="0" applyAlignment="0" applyProtection="0"/>
    <xf numFmtId="0" fontId="111" fillId="0" borderId="0" applyNumberFormat="0" applyFill="0" applyBorder="0" applyAlignment="0" applyProtection="0"/>
    <xf numFmtId="0" fontId="49" fillId="0" borderId="0" applyNumberFormat="0" applyFill="0" applyBorder="0" applyAlignment="0" applyProtection="0"/>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233" fontId="104" fillId="0" borderId="0">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3"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3" fillId="0" borderId="0" applyNumberFormat="0" applyFill="0" applyBorder="0" applyAlignment="0" applyProtection="0">
      <alignment vertical="top"/>
      <protection locked="0"/>
    </xf>
    <xf numFmtId="0" fontId="114"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2" fillId="0" borderId="0" applyNumberFormat="0" applyFill="0" applyBorder="0" applyAlignment="0" applyProtection="0">
      <alignment vertical="top"/>
      <protection locked="0"/>
    </xf>
    <xf numFmtId="0" fontId="113" fillId="0" borderId="0" applyNumberFormat="0" applyFill="0" applyBorder="0" applyAlignment="0" applyProtection="0">
      <alignment vertical="top"/>
      <protection locked="0"/>
    </xf>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115"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42" fillId="42" borderId="0" applyNumberFormat="0" applyBorder="0" applyAlignment="0" applyProtection="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39" fillId="46" borderId="23" applyNumberFormat="0" applyAlignment="0" applyProtection="0"/>
    <xf numFmtId="0" fontId="117" fillId="93" borderId="37" applyNumberFormat="0" applyAlignment="0" applyProtection="0"/>
    <xf numFmtId="0" fontId="117" fillId="93" borderId="37" applyNumberFormat="0" applyAlignment="0" applyProtection="0"/>
    <xf numFmtId="0" fontId="117" fillId="93" borderId="23" applyNumberFormat="0" applyAlignment="0" applyProtection="0"/>
    <xf numFmtId="0" fontId="39" fillId="46" borderId="23" applyNumberFormat="0" applyAlignment="0" applyProtection="0"/>
    <xf numFmtId="0" fontId="117" fillId="93" borderId="37" applyNumberFormat="0" applyAlignment="0" applyProtection="0"/>
    <xf numFmtId="0" fontId="117" fillId="93" borderId="23" applyNumberFormat="0" applyAlignment="0" applyProtection="0"/>
    <xf numFmtId="0" fontId="117" fillId="93" borderId="37" applyNumberFormat="0" applyAlignment="0" applyProtection="0"/>
    <xf numFmtId="0" fontId="117" fillId="93" borderId="23" applyNumberFormat="0" applyAlignment="0" applyProtection="0"/>
    <xf numFmtId="0" fontId="50" fillId="46" borderId="23" applyNumberFormat="0" applyAlignment="0" applyProtection="0"/>
    <xf numFmtId="0" fontId="117" fillId="93" borderId="23" applyNumberFormat="0" applyAlignment="0" applyProtection="0"/>
    <xf numFmtId="0" fontId="117" fillId="93" borderId="37" applyNumberFormat="0" applyAlignment="0" applyProtection="0"/>
    <xf numFmtId="0" fontId="117" fillId="93" borderId="37" applyNumberFormat="0" applyAlignment="0" applyProtection="0"/>
    <xf numFmtId="0" fontId="50" fillId="46" borderId="23" applyNumberFormat="0" applyAlignment="0" applyProtection="0"/>
    <xf numFmtId="0" fontId="117" fillId="93" borderId="37" applyNumberFormat="0" applyAlignment="0" applyProtection="0"/>
    <xf numFmtId="0" fontId="117" fillId="93" borderId="23" applyNumberFormat="0" applyAlignment="0" applyProtection="0"/>
    <xf numFmtId="0" fontId="50" fillId="46" borderId="23" applyNumberFormat="0" applyAlignment="0" applyProtection="0"/>
    <xf numFmtId="0" fontId="39" fillId="0" borderId="25" applyNumberFormat="0" applyFill="0" applyAlignment="0" applyProtection="0"/>
    <xf numFmtId="0" fontId="43" fillId="0" borderId="42" applyNumberFormat="0" applyFill="0" applyAlignment="0" applyProtection="0"/>
    <xf numFmtId="0" fontId="43" fillId="0" borderId="42" applyNumberFormat="0" applyFill="0" applyAlignment="0" applyProtection="0"/>
    <xf numFmtId="0" fontId="118" fillId="0" borderId="43" applyNumberFormat="0" applyFill="0" applyAlignment="0" applyProtection="0"/>
    <xf numFmtId="0" fontId="39" fillId="0" borderId="25" applyNumberFormat="0" applyFill="0" applyAlignment="0" applyProtection="0"/>
    <xf numFmtId="0" fontId="43" fillId="0" borderId="42" applyNumberFormat="0" applyFill="0" applyAlignment="0" applyProtection="0"/>
    <xf numFmtId="0" fontId="118" fillId="0" borderId="43" applyNumberFormat="0" applyFill="0" applyAlignment="0" applyProtection="0"/>
    <xf numFmtId="0" fontId="43" fillId="0" borderId="42" applyNumberFormat="0" applyFill="0" applyAlignment="0" applyProtection="0"/>
    <xf numFmtId="0" fontId="118" fillId="0" borderId="43" applyNumberFormat="0" applyFill="0" applyAlignment="0" applyProtection="0"/>
    <xf numFmtId="0" fontId="47" fillId="0" borderId="25" applyNumberFormat="0" applyFill="0" applyAlignment="0" applyProtection="0"/>
    <xf numFmtId="0" fontId="118" fillId="0" borderId="43" applyNumberFormat="0" applyFill="0" applyAlignment="0" applyProtection="0"/>
    <xf numFmtId="0" fontId="43" fillId="0" borderId="42" applyNumberFormat="0" applyFill="0" applyAlignment="0" applyProtection="0"/>
    <xf numFmtId="0" fontId="43" fillId="0" borderId="42" applyNumberFormat="0" applyFill="0" applyAlignment="0" applyProtection="0"/>
    <xf numFmtId="0" fontId="47" fillId="0" borderId="25" applyNumberFormat="0" applyFill="0" applyAlignment="0" applyProtection="0"/>
    <xf numFmtId="0" fontId="43" fillId="0" borderId="42" applyNumberFormat="0" applyFill="0" applyAlignment="0" applyProtection="0"/>
    <xf numFmtId="0" fontId="118" fillId="0" borderId="43" applyNumberFormat="0" applyFill="0" applyAlignment="0" applyProtection="0"/>
    <xf numFmtId="0" fontId="47" fillId="0" borderId="25" applyNumberFormat="0" applyFill="0" applyAlignment="0" applyProtection="0"/>
    <xf numFmtId="234" fontId="39" fillId="0" borderId="0" applyFont="0" applyFill="0" applyBorder="0" applyAlignment="0" applyProtection="0"/>
    <xf numFmtId="234" fontId="39" fillId="0" borderId="0" applyFont="0" applyFill="0" applyBorder="0" applyAlignment="0" applyProtection="0"/>
    <xf numFmtId="235" fontId="39" fillId="0" borderId="0" applyFont="0" applyFill="0" applyBorder="0" applyAlignment="0" applyProtection="0"/>
    <xf numFmtId="235" fontId="39" fillId="0" borderId="0" applyFont="0" applyFill="0" applyBorder="0" applyAlignment="0" applyProtection="0"/>
    <xf numFmtId="235" fontId="39" fillId="0" borderId="0" applyFont="0" applyFill="0" applyBorder="0" applyAlignment="0" applyProtection="0"/>
    <xf numFmtId="235" fontId="39" fillId="0" borderId="0" applyFont="0" applyFill="0" applyBorder="0" applyAlignment="0" applyProtection="0"/>
    <xf numFmtId="235" fontId="39" fillId="0" borderId="0" applyFont="0" applyFill="0" applyBorder="0" applyAlignment="0" applyProtection="0"/>
    <xf numFmtId="21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43" fontId="51" fillId="0" borderId="0" applyFont="0" applyFill="0" applyBorder="0" applyAlignment="0" applyProtection="0"/>
    <xf numFmtId="43" fontId="40" fillId="0" borderId="0" applyFont="0" applyFill="0" applyBorder="0" applyAlignment="0" applyProtection="0"/>
    <xf numFmtId="182" fontId="39" fillId="0" borderId="0" applyFont="0" applyFill="0" applyBorder="0" applyAlignment="0" applyProtection="0"/>
    <xf numFmtId="212" fontId="39" fillId="0" borderId="0" applyFont="0" applyFill="0" applyBorder="0" applyAlignment="0" applyProtection="0"/>
    <xf numFmtId="43" fontId="40" fillId="0" borderId="0" applyFont="0" applyFill="0" applyBorder="0" applyAlignment="0" applyProtection="0"/>
    <xf numFmtId="236" fontId="39" fillId="0" borderId="0" applyFont="0" applyFill="0" applyBorder="0" applyAlignment="0" applyProtection="0"/>
    <xf numFmtId="43" fontId="40"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43" fontId="39" fillId="0" borderId="0" applyFont="0" applyFill="0" applyBorder="0" applyAlignment="0" applyProtection="0"/>
    <xf numFmtId="236" fontId="39" fillId="0" borderId="0" applyFont="0" applyFill="0" applyBorder="0" applyAlignment="0" applyProtection="0"/>
    <xf numFmtId="237" fontId="39" fillId="0" borderId="0" applyFont="0" applyFill="0" applyBorder="0" applyAlignment="0" applyProtection="0"/>
    <xf numFmtId="182" fontId="39" fillId="0" borderId="0" applyFont="0" applyFill="0" applyBorder="0" applyAlignment="0" applyProtection="0"/>
    <xf numFmtId="230" fontId="39" fillId="0" borderId="0" applyFont="0" applyFill="0" applyBorder="0" applyAlignment="0" applyProtection="0"/>
    <xf numFmtId="237" fontId="39" fillId="0" borderId="0" applyFont="0" applyFill="0" applyBorder="0" applyAlignment="0" applyProtection="0"/>
    <xf numFmtId="236" fontId="39" fillId="0" borderId="0" applyFont="0" applyFill="0" applyBorder="0" applyAlignment="0" applyProtection="0"/>
    <xf numFmtId="182" fontId="39" fillId="0" borderId="0" applyFont="0" applyFill="0" applyBorder="0" applyAlignment="0" applyProtection="0"/>
    <xf numFmtId="238" fontId="39" fillId="0" borderId="0" applyFont="0" applyFill="0" applyBorder="0" applyAlignment="0" applyProtection="0"/>
    <xf numFmtId="182" fontId="39" fillId="0" borderId="0" applyFont="0" applyFill="0" applyBorder="0" applyAlignment="0" applyProtection="0"/>
    <xf numFmtId="236"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43" fontId="51" fillId="0" borderId="0" applyFont="0" applyFill="0" applyBorder="0" applyAlignment="0" applyProtection="0"/>
    <xf numFmtId="43" fontId="40" fillId="0" borderId="0" applyFont="0" applyFill="0" applyBorder="0" applyAlignment="0" applyProtection="0"/>
    <xf numFmtId="182" fontId="39" fillId="0" borderId="0" applyFont="0" applyFill="0" applyBorder="0" applyAlignment="0" applyProtection="0"/>
    <xf numFmtId="43" fontId="51"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239" fontId="39" fillId="0" borderId="0" applyFont="0" applyFill="0" applyBorder="0" applyAlignment="0" applyProtection="0"/>
    <xf numFmtId="239" fontId="6" fillId="0" borderId="0" applyFont="0" applyFill="0" applyBorder="0" applyAlignment="0" applyProtection="0"/>
    <xf numFmtId="43" fontId="99" fillId="0" borderId="0" applyFont="0" applyFill="0" applyBorder="0" applyAlignment="0" applyProtection="0"/>
    <xf numFmtId="43" fontId="40" fillId="0" borderId="0" applyFont="0" applyFill="0" applyBorder="0" applyAlignment="0" applyProtection="0"/>
    <xf numFmtId="182"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240" fontId="39" fillId="0" borderId="0" applyFont="0" applyFill="0" applyBorder="0" applyAlignment="0" applyProtection="0"/>
    <xf numFmtId="240" fontId="39" fillId="0" borderId="0" applyFont="0" applyFill="0" applyBorder="0" applyAlignment="0" applyProtection="0"/>
    <xf numFmtId="240"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241" fontId="39" fillId="0" borderId="0" applyFont="0" applyFill="0" applyBorder="0" applyAlignment="0" applyProtection="0"/>
    <xf numFmtId="241" fontId="39" fillId="0" borderId="0" applyFont="0" applyFill="0" applyBorder="0" applyAlignment="0" applyProtection="0"/>
    <xf numFmtId="43" fontId="6" fillId="0" borderId="0" applyFont="0" applyFill="0" applyBorder="0" applyAlignment="0" applyProtection="0"/>
    <xf numFmtId="182" fontId="39" fillId="0" borderId="0" applyFont="0" applyFill="0" applyBorder="0" applyAlignment="0" applyProtection="0"/>
    <xf numFmtId="189"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9" fontId="39" fillId="0" borderId="0" applyFont="0" applyFill="0" applyBorder="0" applyAlignment="0" applyProtection="0"/>
    <xf numFmtId="239"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43" fontId="39" fillId="0" borderId="0" applyFont="0" applyFill="0" applyBorder="0" applyAlignment="0" applyProtection="0"/>
    <xf numFmtId="43" fontId="6" fillId="0" borderId="0" applyFont="0" applyFill="0" applyBorder="0" applyAlignment="0" applyProtection="0"/>
    <xf numFmtId="43" fontId="39" fillId="0" borderId="0" applyFont="0" applyFill="0" applyBorder="0" applyAlignment="0" applyProtection="0"/>
    <xf numFmtId="43" fontId="6"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43" fontId="51"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43" fontId="51"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43" fontId="40" fillId="0" borderId="0" applyFont="0" applyFill="0" applyBorder="0" applyAlignment="0" applyProtection="0"/>
    <xf numFmtId="43" fontId="39" fillId="0" borderId="0" applyFont="0" applyFill="0" applyBorder="0" applyAlignment="0" applyProtection="0"/>
    <xf numFmtId="165" fontId="39" fillId="0" borderId="0" applyFont="0" applyFill="0" applyBorder="0" applyAlignment="0" applyProtection="0"/>
    <xf numFmtId="43" fontId="39" fillId="0" borderId="0" applyFont="0" applyFill="0" applyBorder="0" applyAlignment="0" applyProtection="0"/>
    <xf numFmtId="43" fontId="6" fillId="0" borderId="0" applyFont="0" applyFill="0" applyBorder="0" applyAlignment="0" applyProtection="0"/>
    <xf numFmtId="43" fontId="39" fillId="0" borderId="0" applyFont="0" applyFill="0" applyBorder="0" applyAlignment="0" applyProtection="0"/>
    <xf numFmtId="43" fontId="40"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3" fontId="99" fillId="0" borderId="0" applyFont="0" applyFill="0" applyBorder="0" applyAlignment="0" applyProtection="0"/>
    <xf numFmtId="242" fontId="39" fillId="0" borderId="0" applyFont="0" applyFill="0" applyBorder="0" applyAlignment="0" applyProtection="0"/>
    <xf numFmtId="182" fontId="39" fillId="0" borderId="0" applyFont="0" applyFill="0" applyBorder="0" applyAlignment="0" applyProtection="0"/>
    <xf numFmtId="43" fontId="40"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240" fontId="39" fillId="0" borderId="0" applyFont="0" applyFill="0" applyBorder="0" applyAlignment="0" applyProtection="0"/>
    <xf numFmtId="240" fontId="39" fillId="0" borderId="0" applyFont="0" applyFill="0" applyBorder="0" applyAlignment="0" applyProtection="0"/>
    <xf numFmtId="43" fontId="39" fillId="0" borderId="0" applyFont="0" applyFill="0" applyBorder="0" applyAlignment="0" applyProtection="0"/>
    <xf numFmtId="240"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231"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230" fontId="39" fillId="0" borderId="0" applyFont="0" applyFill="0" applyBorder="0" applyAlignment="0" applyProtection="0"/>
    <xf numFmtId="43" fontId="39" fillId="0" borderId="0" applyFont="0" applyFill="0" applyBorder="0" applyAlignment="0" applyProtection="0"/>
    <xf numFmtId="239" fontId="39" fillId="0" borderId="0" applyFont="0" applyFill="0" applyBorder="0" applyAlignment="0" applyProtection="0"/>
    <xf numFmtId="243" fontId="39" fillId="0" borderId="0" applyFont="0" applyFill="0" applyBorder="0" applyAlignment="0" applyProtection="0"/>
    <xf numFmtId="43" fontId="39" fillId="0" borderId="0" applyFont="0" applyFill="0" applyBorder="0" applyAlignment="0" applyProtection="0"/>
    <xf numFmtId="243" fontId="39" fillId="0" borderId="0" applyFont="0" applyFill="0" applyBorder="0" applyAlignment="0" applyProtection="0"/>
    <xf numFmtId="43" fontId="39" fillId="0" borderId="0" applyFont="0" applyFill="0" applyBorder="0" applyAlignment="0" applyProtection="0"/>
    <xf numFmtId="239" fontId="39" fillId="0" borderId="0" applyFont="0" applyFill="0" applyBorder="0" applyAlignment="0" applyProtection="0"/>
    <xf numFmtId="43" fontId="39" fillId="0" borderId="0" applyFont="0" applyFill="0" applyBorder="0" applyAlignment="0" applyProtection="0"/>
    <xf numFmtId="239" fontId="39" fillId="0" borderId="0" applyFont="0" applyFill="0" applyBorder="0" applyAlignment="0" applyProtection="0"/>
    <xf numFmtId="43" fontId="39" fillId="0" borderId="0" applyFont="0" applyFill="0" applyBorder="0" applyAlignment="0" applyProtection="0"/>
    <xf numFmtId="165"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43" fontId="4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82" fontId="39"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6" fillId="0" borderId="0" applyFont="0" applyFill="0" applyBorder="0" applyAlignment="0" applyProtection="0"/>
    <xf numFmtId="182" fontId="39" fillId="0" borderId="0" applyFont="0" applyFill="0" applyBorder="0" applyAlignment="0" applyProtection="0"/>
    <xf numFmtId="240" fontId="39" fillId="0" borderId="0" applyFont="0" applyFill="0" applyBorder="0" applyAlignment="0" applyProtection="0"/>
    <xf numFmtId="244" fontId="39" fillId="0" borderId="0" applyFont="0" applyFill="0" applyBorder="0" applyAlignment="0" applyProtection="0"/>
    <xf numFmtId="182" fontId="39" fillId="0" borderId="0" applyFont="0" applyFill="0" applyBorder="0" applyAlignment="0" applyProtection="0"/>
    <xf numFmtId="241" fontId="39" fillId="0" borderId="0" applyFont="0" applyFill="0" applyBorder="0" applyAlignment="0" applyProtection="0"/>
    <xf numFmtId="182" fontId="39" fillId="0" borderId="0" applyFont="0" applyFill="0" applyBorder="0" applyAlignment="0" applyProtection="0"/>
    <xf numFmtId="43" fontId="40" fillId="0" borderId="0" applyFont="0" applyFill="0" applyBorder="0" applyAlignment="0" applyProtection="0"/>
    <xf numFmtId="240" fontId="39" fillId="0" borderId="0" applyFont="0" applyFill="0" applyBorder="0" applyAlignment="0" applyProtection="0"/>
    <xf numFmtId="43" fontId="6" fillId="0" borderId="0" applyFont="0" applyFill="0" applyBorder="0" applyAlignment="0" applyProtection="0"/>
    <xf numFmtId="240" fontId="39" fillId="0" borderId="0" applyFont="0" applyFill="0" applyBorder="0" applyAlignment="0" applyProtection="0"/>
    <xf numFmtId="43" fontId="40"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240" fontId="39" fillId="0" borderId="0" applyFont="0" applyFill="0" applyBorder="0" applyAlignment="0" applyProtection="0"/>
    <xf numFmtId="240" fontId="39" fillId="0" borderId="0" applyFont="0" applyFill="0" applyBorder="0" applyAlignment="0" applyProtection="0"/>
    <xf numFmtId="245" fontId="39" fillId="0" borderId="0" applyFont="0" applyFill="0" applyBorder="0" applyAlignment="0" applyProtection="0"/>
    <xf numFmtId="240" fontId="39" fillId="0" borderId="0" applyFont="0" applyFill="0" applyBorder="0" applyAlignment="0" applyProtection="0"/>
    <xf numFmtId="182" fontId="39" fillId="0" borderId="0" applyFont="0" applyFill="0" applyBorder="0" applyAlignment="0" applyProtection="0"/>
    <xf numFmtId="182" fontId="39" fillId="0" borderId="0" applyFont="0" applyFill="0" applyBorder="0" applyAlignment="0" applyProtection="0"/>
    <xf numFmtId="43" fontId="6" fillId="0" borderId="0" applyFont="0" applyFill="0" applyBorder="0" applyAlignment="0" applyProtection="0"/>
    <xf numFmtId="182" fontId="39" fillId="0" borderId="0" applyFont="0" applyFill="0" applyBorder="0" applyAlignment="0" applyProtection="0"/>
    <xf numFmtId="240" fontId="39" fillId="0" borderId="0" applyFont="0" applyFill="0" applyBorder="0" applyAlignment="0" applyProtection="0"/>
    <xf numFmtId="246" fontId="39" fillId="0" borderId="0" applyFont="0" applyFill="0" applyBorder="0" applyAlignment="0" applyProtection="0"/>
    <xf numFmtId="240" fontId="39" fillId="0" borderId="0" applyFont="0" applyFill="0" applyBorder="0" applyAlignment="0" applyProtection="0"/>
    <xf numFmtId="240" fontId="39" fillId="0" borderId="0" applyFont="0" applyFill="0" applyBorder="0" applyAlignment="0" applyProtection="0"/>
    <xf numFmtId="43" fontId="40" fillId="0" borderId="0" applyFont="0" applyFill="0" applyBorder="0" applyAlignment="0" applyProtection="0"/>
    <xf numFmtId="240" fontId="39" fillId="0" borderId="0" applyFont="0" applyFill="0" applyBorder="0" applyAlignment="0" applyProtection="0"/>
    <xf numFmtId="240" fontId="39" fillId="0" borderId="0" applyFont="0" applyFill="0" applyBorder="0" applyAlignment="0" applyProtection="0"/>
    <xf numFmtId="240" fontId="39" fillId="0" borderId="0" applyFont="0" applyFill="0" applyBorder="0" applyAlignment="0" applyProtection="0"/>
    <xf numFmtId="212" fontId="39" fillId="0" borderId="0" applyFont="0" applyFill="0" applyBorder="0" applyAlignment="0" applyProtection="0"/>
    <xf numFmtId="43" fontId="39" fillId="0" borderId="0" applyFont="0" applyFill="0" applyBorder="0" applyAlignment="0" applyProtection="0"/>
    <xf numFmtId="182" fontId="39" fillId="0" borderId="0" applyFont="0" applyFill="0" applyBorder="0" applyAlignment="0" applyProtection="0"/>
    <xf numFmtId="0" fontId="39" fillId="0" borderId="0" applyFont="0" applyFill="0" applyBorder="0" applyAlignment="0" applyProtection="0"/>
    <xf numFmtId="182" fontId="39" fillId="0" borderId="0" applyFont="0" applyFill="0" applyBorder="0" applyAlignment="0" applyProtection="0"/>
    <xf numFmtId="212" fontId="39" fillId="0" borderId="0" applyFont="0" applyFill="0" applyBorder="0" applyAlignment="0" applyProtection="0"/>
    <xf numFmtId="41" fontId="87" fillId="0" borderId="0" applyFont="0" applyFill="0" applyBorder="0" applyAlignment="0" applyProtection="0"/>
    <xf numFmtId="43" fontId="87" fillId="0" borderId="0" applyFont="0" applyFill="0" applyBorder="0" applyAlignment="0" applyProtection="0"/>
    <xf numFmtId="247" fontId="39" fillId="0" borderId="0" applyFont="0" applyFill="0" applyBorder="0" applyAlignment="0" applyProtection="0"/>
    <xf numFmtId="248" fontId="39" fillId="0" borderId="0" applyFont="0" applyFill="0" applyBorder="0" applyAlignment="0" applyProtection="0"/>
    <xf numFmtId="249" fontId="39" fillId="0" borderId="0" applyFont="0" applyFill="0" applyBorder="0" applyAlignment="0" applyProtection="0"/>
    <xf numFmtId="164" fontId="87" fillId="0" borderId="0" applyFont="0" applyFill="0" applyBorder="0" applyAlignment="0" applyProtection="0"/>
    <xf numFmtId="165" fontId="87" fillId="0" borderId="0" applyFont="0" applyFill="0" applyBorder="0" applyAlignment="0" applyProtection="0"/>
    <xf numFmtId="243" fontId="101" fillId="0" borderId="0">
      <protection locked="0"/>
    </xf>
    <xf numFmtId="243" fontId="101" fillId="0" borderId="0">
      <protection locked="0"/>
    </xf>
    <xf numFmtId="243" fontId="101" fillId="0" borderId="0">
      <protection locked="0"/>
    </xf>
    <xf numFmtId="243" fontId="101" fillId="0" borderId="0">
      <protection locked="0"/>
    </xf>
    <xf numFmtId="243" fontId="101" fillId="0" borderId="0">
      <protection locked="0"/>
    </xf>
    <xf numFmtId="243" fontId="101" fillId="0" borderId="0">
      <protection locked="0"/>
    </xf>
    <xf numFmtId="0" fontId="57" fillId="62" borderId="0" applyNumberFormat="0" applyBorder="0" applyAlignment="0" applyProtection="0"/>
    <xf numFmtId="0" fontId="57" fillId="62" borderId="0" applyNumberFormat="0" applyBorder="0" applyAlignment="0" applyProtection="0"/>
    <xf numFmtId="0" fontId="57" fillId="62" borderId="0" applyNumberFormat="0" applyBorder="0" applyAlignment="0" applyProtection="0"/>
    <xf numFmtId="0" fontId="57" fillId="62" borderId="0" applyNumberFormat="0" applyBorder="0" applyAlignment="0" applyProtection="0"/>
    <xf numFmtId="0" fontId="57" fillId="62" borderId="0" applyNumberFormat="0" applyBorder="0" applyAlignment="0" applyProtection="0"/>
    <xf numFmtId="0" fontId="57" fillId="62" borderId="0" applyNumberFormat="0" applyBorder="0" applyAlignment="0" applyProtection="0"/>
    <xf numFmtId="0" fontId="57" fillId="93" borderId="0" applyNumberFormat="0" applyBorder="0" applyAlignment="0" applyProtection="0"/>
    <xf numFmtId="0" fontId="43" fillId="93" borderId="0" applyNumberFormat="0" applyBorder="0" applyAlignment="0" applyProtection="0"/>
    <xf numFmtId="0" fontId="43" fillId="93" borderId="0" applyNumberFormat="0" applyBorder="0" applyAlignment="0" applyProtection="0"/>
    <xf numFmtId="0" fontId="57" fillId="93" borderId="0" applyNumberFormat="0" applyBorder="0" applyAlignment="0" applyProtection="0"/>
    <xf numFmtId="0" fontId="57" fillId="93" borderId="0" applyNumberFormat="0" applyBorder="0" applyAlignment="0" applyProtection="0"/>
    <xf numFmtId="0" fontId="43" fillId="93" borderId="0" applyNumberFormat="0" applyBorder="0" applyAlignment="0" applyProtection="0"/>
    <xf numFmtId="0" fontId="57" fillId="93" borderId="0" applyNumberFormat="0" applyBorder="0" applyAlignment="0" applyProtection="0"/>
    <xf numFmtId="0" fontId="43" fillId="93" borderId="0" applyNumberFormat="0" applyBorder="0" applyAlignment="0" applyProtection="0"/>
    <xf numFmtId="0" fontId="57" fillId="62" borderId="0" applyNumberFormat="0" applyBorder="0" applyAlignment="0" applyProtection="0"/>
    <xf numFmtId="0" fontId="43" fillId="93" borderId="0" applyNumberFormat="0" applyBorder="0" applyAlignment="0" applyProtection="0"/>
    <xf numFmtId="0" fontId="43" fillId="93" borderId="0" applyNumberFormat="0" applyBorder="0" applyAlignment="0" applyProtection="0"/>
    <xf numFmtId="0" fontId="43" fillId="93" borderId="0" applyNumberFormat="0" applyBorder="0" applyAlignment="0" applyProtection="0"/>
    <xf numFmtId="0" fontId="57" fillId="93" borderId="0" applyNumberFormat="0" applyBorder="0" applyAlignment="0" applyProtection="0"/>
    <xf numFmtId="0" fontId="57" fillId="62" borderId="0" applyNumberFormat="0" applyBorder="0" applyAlignment="0" applyProtection="0"/>
    <xf numFmtId="0" fontId="57" fillId="93" borderId="0" applyNumberFormat="0" applyBorder="0" applyAlignment="0" applyProtection="0"/>
    <xf numFmtId="0" fontId="57" fillId="62" borderId="0" applyNumberFormat="0" applyBorder="0" applyAlignment="0" applyProtection="0"/>
    <xf numFmtId="0" fontId="57" fillId="93" borderId="0" applyNumberFormat="0" applyBorder="0" applyAlignment="0" applyProtection="0"/>
    <xf numFmtId="0" fontId="57" fillId="62" borderId="0" applyNumberFormat="0" applyBorder="0" applyAlignment="0" applyProtection="0"/>
    <xf numFmtId="0" fontId="119" fillId="62" borderId="0" applyNumberFormat="0" applyBorder="0" applyAlignment="0" applyProtection="0"/>
    <xf numFmtId="0" fontId="57" fillId="62" borderId="0" applyNumberFormat="0" applyBorder="0" applyAlignment="0" applyProtection="0"/>
    <xf numFmtId="0" fontId="57" fillId="62" borderId="0" applyNumberFormat="0" applyBorder="0" applyAlignment="0" applyProtection="0"/>
    <xf numFmtId="0" fontId="57" fillId="62" borderId="0" applyNumberFormat="0" applyBorder="0" applyAlignment="0" applyProtection="0"/>
    <xf numFmtId="0" fontId="57" fillId="62" borderId="0" applyNumberFormat="0" applyBorder="0" applyAlignment="0" applyProtection="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16" fillId="0" borderId="0"/>
    <xf numFmtId="0" fontId="120" fillId="0" borderId="0"/>
    <xf numFmtId="0" fontId="58" fillId="0" borderId="0"/>
    <xf numFmtId="0" fontId="120" fillId="0" borderId="0"/>
    <xf numFmtId="0" fontId="120" fillId="0" borderId="0"/>
    <xf numFmtId="0" fontId="58" fillId="0" borderId="0"/>
    <xf numFmtId="0" fontId="59" fillId="0" borderId="29"/>
    <xf numFmtId="0" fontId="39" fillId="0" borderId="29"/>
    <xf numFmtId="0" fontId="8"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121" fillId="0" borderId="0"/>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8"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8"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8"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39" fillId="0" borderId="0"/>
    <xf numFmtId="0" fontId="40" fillId="0" borderId="0"/>
    <xf numFmtId="0" fontId="6" fillId="0" borderId="0"/>
    <xf numFmtId="0" fontId="40" fillId="0" borderId="0"/>
    <xf numFmtId="0" fontId="40" fillId="0" borderId="0"/>
    <xf numFmtId="0" fontId="40" fillId="0" borderId="0"/>
    <xf numFmtId="0" fontId="40" fillId="0" borderId="0"/>
    <xf numFmtId="0" fontId="40" fillId="0" borderId="0"/>
    <xf numFmtId="0" fontId="40" fillId="0" borderId="0"/>
    <xf numFmtId="0" fontId="39" fillId="0" borderId="0"/>
    <xf numFmtId="0" fontId="6"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6"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6"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6"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6" fillId="0" borderId="0"/>
    <xf numFmtId="0" fontId="6" fillId="0" borderId="0"/>
    <xf numFmtId="0" fontId="6" fillId="0" borderId="0"/>
    <xf numFmtId="0" fontId="8"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8"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8"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6" fillId="0" borderId="0"/>
    <xf numFmtId="0" fontId="6" fillId="0" borderId="0"/>
    <xf numFmtId="0" fontId="6" fillId="0" borderId="0"/>
    <xf numFmtId="0" fontId="6" fillId="0" borderId="0"/>
    <xf numFmtId="0" fontId="6" fillId="0" borderId="0"/>
    <xf numFmtId="0" fontId="6" fillId="0" borderId="0"/>
    <xf numFmtId="0" fontId="39" fillId="0" borderId="0"/>
    <xf numFmtId="0" fontId="39" fillId="0" borderId="0"/>
    <xf numFmtId="0" fontId="39" fillId="0" borderId="0"/>
    <xf numFmtId="0" fontId="8" fillId="0" borderId="0"/>
    <xf numFmtId="0" fontId="8"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8"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8" fillId="0" borderId="0"/>
    <xf numFmtId="0" fontId="8" fillId="0" borderId="0"/>
    <xf numFmtId="0" fontId="8" fillId="0" borderId="0"/>
    <xf numFmtId="0" fontId="6" fillId="0" borderId="0"/>
    <xf numFmtId="0" fontId="6" fillId="0" borderId="0"/>
    <xf numFmtId="0" fontId="6" fillId="0" borderId="0"/>
    <xf numFmtId="0" fontId="99" fillId="0" borderId="0"/>
    <xf numFmtId="0" fontId="99" fillId="0" borderId="0"/>
    <xf numFmtId="0" fontId="99" fillId="0" borderId="0"/>
    <xf numFmtId="0" fontId="99" fillId="0" borderId="0"/>
    <xf numFmtId="0" fontId="8" fillId="0" borderId="0"/>
    <xf numFmtId="0" fontId="39" fillId="0" borderId="0"/>
    <xf numFmtId="0" fontId="39" fillId="0" borderId="0"/>
    <xf numFmtId="0" fontId="39" fillId="0" borderId="0"/>
    <xf numFmtId="0" fontId="39" fillId="0" borderId="0"/>
    <xf numFmtId="0" fontId="8" fillId="0" borderId="0"/>
    <xf numFmtId="0" fontId="39" fillId="0" borderId="0"/>
    <xf numFmtId="0" fontId="39" fillId="0" borderId="0"/>
    <xf numFmtId="0" fontId="99" fillId="0" borderId="0"/>
    <xf numFmtId="0" fontId="99" fillId="0" borderId="0"/>
    <xf numFmtId="0" fontId="99" fillId="0" borderId="0"/>
    <xf numFmtId="0" fontId="39" fillId="0" borderId="0"/>
    <xf numFmtId="0" fontId="39" fillId="0" borderId="0"/>
    <xf numFmtId="0" fontId="39" fillId="0" borderId="0"/>
    <xf numFmtId="0" fontId="39" fillId="0" borderId="0"/>
    <xf numFmtId="0" fontId="8"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8"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99" fillId="0" borderId="0"/>
    <xf numFmtId="0" fontId="39" fillId="0" borderId="0"/>
    <xf numFmtId="0" fontId="39" fillId="0" borderId="0"/>
    <xf numFmtId="0" fontId="99" fillId="0" borderId="0"/>
    <xf numFmtId="0" fontId="39" fillId="0" borderId="0"/>
    <xf numFmtId="0" fontId="39" fillId="0" borderId="0"/>
    <xf numFmtId="0" fontId="39" fillId="0" borderId="0"/>
    <xf numFmtId="0" fontId="6" fillId="0" borderId="0"/>
    <xf numFmtId="0" fontId="39" fillId="0" borderId="0"/>
    <xf numFmtId="0" fontId="40" fillId="0" borderId="0"/>
    <xf numFmtId="0" fontId="39" fillId="0" borderId="0"/>
    <xf numFmtId="0" fontId="6" fillId="0" borderId="0"/>
    <xf numFmtId="0" fontId="39" fillId="0" borderId="0"/>
    <xf numFmtId="0" fontId="39" fillId="0" borderId="0"/>
    <xf numFmtId="0" fontId="39" fillId="0" borderId="0"/>
    <xf numFmtId="0" fontId="39" fillId="0" borderId="0" applyNumberFormat="0" applyFont="0" applyFill="0" applyBorder="0" applyAlignment="0" applyProtection="0">
      <alignment vertical="top"/>
    </xf>
    <xf numFmtId="0" fontId="99" fillId="0" borderId="0"/>
    <xf numFmtId="0" fontId="39" fillId="0" borderId="0"/>
    <xf numFmtId="0" fontId="10" fillId="0" borderId="0"/>
    <xf numFmtId="0" fontId="40" fillId="0" borderId="0"/>
    <xf numFmtId="0" fontId="39" fillId="0" borderId="0"/>
    <xf numFmtId="0" fontId="40" fillId="0" borderId="0"/>
    <xf numFmtId="0" fontId="10" fillId="0" borderId="0"/>
    <xf numFmtId="0" fontId="39" fillId="0" borderId="0"/>
    <xf numFmtId="0" fontId="39" fillId="0" borderId="0"/>
    <xf numFmtId="0" fontId="39" fillId="0" borderId="0"/>
    <xf numFmtId="0" fontId="39" fillId="0" borderId="0"/>
    <xf numFmtId="0" fontId="10"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6" fillId="0" borderId="0"/>
    <xf numFmtId="0" fontId="39" fillId="0" borderId="0"/>
    <xf numFmtId="0" fontId="39" fillId="0" borderId="0"/>
    <xf numFmtId="0" fontId="6" fillId="0" borderId="0"/>
    <xf numFmtId="0" fontId="39" fillId="0" borderId="0"/>
    <xf numFmtId="0" fontId="10" fillId="0" borderId="0"/>
    <xf numFmtId="0" fontId="39" fillId="0" borderId="0"/>
    <xf numFmtId="0" fontId="40" fillId="0" borderId="0"/>
    <xf numFmtId="0" fontId="39" fillId="0" borderId="0"/>
    <xf numFmtId="184" fontId="6" fillId="0" borderId="0"/>
    <xf numFmtId="0" fontId="39" fillId="0" borderId="0"/>
    <xf numFmtId="0" fontId="39" fillId="0" borderId="0"/>
    <xf numFmtId="0" fontId="39" fillId="0" borderId="0"/>
    <xf numFmtId="0" fontId="6" fillId="0" borderId="0"/>
    <xf numFmtId="0" fontId="39" fillId="0" borderId="0"/>
    <xf numFmtId="0" fontId="10"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8" fillId="0" borderId="0"/>
    <xf numFmtId="0" fontId="39" fillId="0" borderId="0"/>
    <xf numFmtId="0" fontId="39" fillId="0" borderId="0"/>
    <xf numFmtId="0" fontId="39" fillId="0" borderId="0"/>
    <xf numFmtId="0" fontId="39" fillId="0" borderId="0"/>
    <xf numFmtId="0" fontId="39" fillId="0" borderId="0"/>
    <xf numFmtId="0" fontId="39" fillId="0" borderId="0"/>
    <xf numFmtId="0" fontId="8" fillId="0" borderId="0"/>
    <xf numFmtId="0" fontId="39" fillId="0" borderId="0"/>
    <xf numFmtId="0" fontId="39" fillId="0" borderId="0"/>
    <xf numFmtId="0" fontId="8" fillId="0" borderId="0"/>
    <xf numFmtId="0" fontId="39" fillId="0" borderId="0"/>
    <xf numFmtId="0" fontId="39" fillId="0" borderId="0"/>
    <xf numFmtId="0" fontId="39" fillId="0" borderId="0"/>
    <xf numFmtId="0" fontId="8" fillId="0" borderId="0"/>
    <xf numFmtId="0" fontId="39" fillId="0" borderId="0"/>
    <xf numFmtId="0" fontId="39" fillId="0" borderId="0"/>
    <xf numFmtId="0" fontId="8" fillId="0" borderId="0"/>
    <xf numFmtId="0" fontId="39" fillId="0" borderId="0"/>
    <xf numFmtId="0" fontId="39" fillId="0" borderId="0"/>
    <xf numFmtId="0" fontId="39" fillId="0" borderId="0"/>
    <xf numFmtId="0" fontId="8" fillId="0" borderId="0"/>
    <xf numFmtId="0" fontId="39" fillId="0" borderId="0"/>
    <xf numFmtId="0" fontId="39" fillId="0" borderId="0"/>
    <xf numFmtId="0" fontId="8" fillId="0" borderId="0"/>
    <xf numFmtId="0" fontId="39" fillId="0" borderId="0"/>
    <xf numFmtId="0" fontId="8" fillId="0" borderId="0"/>
    <xf numFmtId="0" fontId="39" fillId="0" borderId="0"/>
    <xf numFmtId="0" fontId="8" fillId="0" borderId="0"/>
    <xf numFmtId="0" fontId="39" fillId="0" borderId="0"/>
    <xf numFmtId="0" fontId="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10"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6" fillId="0" borderId="0"/>
    <xf numFmtId="0" fontId="39" fillId="0" borderId="0"/>
    <xf numFmtId="0" fontId="39" fillId="0" borderId="0"/>
    <xf numFmtId="0" fontId="39" fillId="0" borderId="0" applyNumberFormat="0" applyFont="0" applyFill="0" applyBorder="0" applyAlignment="0" applyProtection="0">
      <alignment vertical="top"/>
    </xf>
    <xf numFmtId="0" fontId="6" fillId="0" borderId="0"/>
    <xf numFmtId="0" fontId="39" fillId="0" borderId="0" applyNumberFormat="0" applyFont="0" applyFill="0" applyBorder="0" applyAlignment="0" applyProtection="0">
      <alignment vertical="top"/>
    </xf>
    <xf numFmtId="0" fontId="39" fillId="0" borderId="0"/>
    <xf numFmtId="0" fontId="10" fillId="0" borderId="0"/>
    <xf numFmtId="0" fontId="39" fillId="0" borderId="0" applyNumberFormat="0" applyFont="0" applyFill="0" applyBorder="0" applyAlignment="0" applyProtection="0">
      <alignment vertical="top"/>
    </xf>
    <xf numFmtId="0" fontId="10" fillId="0" borderId="0"/>
    <xf numFmtId="0" fontId="39" fillId="0" borderId="0"/>
    <xf numFmtId="0" fontId="39" fillId="0" borderId="0" applyNumberFormat="0" applyFont="0" applyFill="0" applyBorder="0" applyAlignment="0" applyProtection="0">
      <alignment vertical="top"/>
    </xf>
    <xf numFmtId="0" fontId="6"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10" fillId="0" borderId="0"/>
    <xf numFmtId="0" fontId="39" fillId="0" borderId="0" applyNumberFormat="0" applyFont="0" applyFill="0" applyBorder="0" applyAlignment="0" applyProtection="0">
      <alignment vertical="top"/>
    </xf>
    <xf numFmtId="0" fontId="10" fillId="0" borderId="0"/>
    <xf numFmtId="0" fontId="39" fillId="0" borderId="0" applyNumberFormat="0" applyFont="0" applyFill="0" applyBorder="0" applyAlignment="0" applyProtection="0">
      <alignment vertical="top"/>
    </xf>
    <xf numFmtId="0" fontId="10" fillId="0" borderId="0"/>
    <xf numFmtId="0" fontId="39" fillId="0" borderId="0" applyNumberFormat="0" applyFont="0" applyFill="0" applyBorder="0" applyAlignment="0" applyProtection="0">
      <alignment vertical="top"/>
    </xf>
    <xf numFmtId="0" fontId="10"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10"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10" fillId="0" borderId="0"/>
    <xf numFmtId="0" fontId="39" fillId="0" borderId="0"/>
    <xf numFmtId="0" fontId="6" fillId="0" borderId="0"/>
    <xf numFmtId="0" fontId="10" fillId="0" borderId="0"/>
    <xf numFmtId="0" fontId="39" fillId="0" borderId="0"/>
    <xf numFmtId="0" fontId="39" fillId="0" borderId="0"/>
    <xf numFmtId="0" fontId="6" fillId="0" borderId="0"/>
    <xf numFmtId="0" fontId="39" fillId="0" borderId="0"/>
    <xf numFmtId="0" fontId="39" fillId="0" borderId="0" applyNumberFormat="0" applyFont="0" applyFill="0" applyBorder="0" applyAlignment="0" applyProtection="0">
      <alignment vertical="top"/>
    </xf>
    <xf numFmtId="0" fontId="10"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6" fillId="0" borderId="0"/>
    <xf numFmtId="0" fontId="39" fillId="0" borderId="0"/>
    <xf numFmtId="0" fontId="39" fillId="0" borderId="0"/>
    <xf numFmtId="0" fontId="6" fillId="0" borderId="0"/>
    <xf numFmtId="0" fontId="39" fillId="0" borderId="0"/>
    <xf numFmtId="0" fontId="39" fillId="0" borderId="0"/>
    <xf numFmtId="0" fontId="6" fillId="0" borderId="0"/>
    <xf numFmtId="0" fontId="39" fillId="0" borderId="0"/>
    <xf numFmtId="0" fontId="39" fillId="0" borderId="0"/>
    <xf numFmtId="0" fontId="6"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6" fillId="0" borderId="0"/>
    <xf numFmtId="0" fontId="39" fillId="0" borderId="0"/>
    <xf numFmtId="0" fontId="39" fillId="0" borderId="0"/>
    <xf numFmtId="0" fontId="10" fillId="0" borderId="0"/>
    <xf numFmtId="0" fontId="39"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10"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6"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10" fillId="0" borderId="0"/>
    <xf numFmtId="0" fontId="10" fillId="0" borderId="0"/>
    <xf numFmtId="0" fontId="39" fillId="0" borderId="0"/>
    <xf numFmtId="0" fontId="39" fillId="0" borderId="0" applyNumberFormat="0" applyFont="0" applyFill="0" applyBorder="0" applyAlignment="0" applyProtection="0">
      <alignment vertical="top"/>
    </xf>
    <xf numFmtId="0" fontId="10" fillId="0" borderId="0"/>
    <xf numFmtId="0" fontId="39" fillId="0" borderId="0"/>
    <xf numFmtId="0" fontId="39" fillId="0" borderId="0" applyNumberFormat="0" applyFont="0" applyFill="0" applyBorder="0" applyAlignment="0" applyProtection="0">
      <alignment vertical="top"/>
    </xf>
    <xf numFmtId="0" fontId="10" fillId="0" borderId="0"/>
    <xf numFmtId="0" fontId="39" fillId="0" borderId="0"/>
    <xf numFmtId="0" fontId="39" fillId="0" borderId="0" applyNumberFormat="0" applyFont="0" applyFill="0" applyBorder="0" applyAlignment="0" applyProtection="0">
      <alignment vertical="top"/>
    </xf>
    <xf numFmtId="0" fontId="10"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10"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6"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6" fillId="0" borderId="0"/>
    <xf numFmtId="0" fontId="39" fillId="0" borderId="0" applyNumberFormat="0" applyFont="0" applyFill="0" applyBorder="0" applyAlignment="0" applyProtection="0">
      <alignment vertical="top"/>
    </xf>
    <xf numFmtId="0" fontId="39" fillId="0" borderId="0"/>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applyNumberFormat="0" applyFont="0" applyFill="0" applyBorder="0" applyAlignment="0" applyProtection="0">
      <alignment vertical="top"/>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226" fontId="10" fillId="0" borderId="0"/>
    <xf numFmtId="250" fontId="10" fillId="0" borderId="0" applyFont="0" applyFill="0" applyBorder="0" applyAlignment="0" applyProtection="0"/>
    <xf numFmtId="0" fontId="40"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6" fillId="15" borderId="2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63" borderId="30" applyNumberFormat="0" applyFont="0" applyAlignment="0" applyProtection="0"/>
    <xf numFmtId="0" fontId="39" fillId="92" borderId="30" applyNumberFormat="0" applyFont="0" applyAlignment="0" applyProtection="0"/>
    <xf numFmtId="0" fontId="10" fillId="92" borderId="37" applyNumberFormat="0" applyFont="0" applyAlignment="0" applyProtection="0"/>
    <xf numFmtId="0" fontId="10" fillId="92" borderId="37" applyNumberFormat="0" applyFont="0" applyAlignment="0" applyProtection="0"/>
    <xf numFmtId="0" fontId="39" fillId="92" borderId="30" applyNumberFormat="0" applyFont="0" applyAlignment="0" applyProtection="0"/>
    <xf numFmtId="0" fontId="10" fillId="92" borderId="37" applyNumberFormat="0" applyFont="0" applyAlignment="0" applyProtection="0"/>
    <xf numFmtId="0" fontId="39" fillId="92" borderId="30" applyNumberFormat="0" applyFont="0" applyAlignment="0" applyProtection="0"/>
    <xf numFmtId="0" fontId="10" fillId="92" borderId="37" applyNumberFormat="0" applyFont="0" applyAlignment="0" applyProtection="0"/>
    <xf numFmtId="0" fontId="39" fillId="63" borderId="30" applyNumberFormat="0" applyFont="0" applyAlignment="0" applyProtection="0"/>
    <xf numFmtId="0" fontId="39" fillId="92" borderId="30" applyNumberFormat="0" applyFont="0" applyAlignment="0" applyProtection="0"/>
    <xf numFmtId="0" fontId="39" fillId="92" borderId="30" applyNumberFormat="0" applyFont="0" applyAlignment="0" applyProtection="0"/>
    <xf numFmtId="0" fontId="10" fillId="92" borderId="37" applyNumberFormat="0" applyFont="0" applyAlignment="0" applyProtection="0"/>
    <xf numFmtId="0" fontId="10" fillId="92" borderId="37" applyNumberFormat="0" applyFont="0" applyAlignment="0" applyProtection="0"/>
    <xf numFmtId="0" fontId="39" fillId="63" borderId="30" applyNumberFormat="0" applyFont="0" applyAlignment="0" applyProtection="0"/>
    <xf numFmtId="0" fontId="10" fillId="92" borderId="37" applyNumberFormat="0" applyFont="0" applyAlignment="0" applyProtection="0"/>
    <xf numFmtId="0" fontId="39" fillId="92" borderId="30" applyNumberFormat="0" applyFont="0" applyAlignment="0" applyProtection="0"/>
    <xf numFmtId="0" fontId="39" fillId="63" borderId="30" applyNumberFormat="0" applyFont="0" applyAlignment="0" applyProtection="0"/>
    <xf numFmtId="0" fontId="40" fillId="63" borderId="30" applyNumberFormat="0" applyFont="0" applyAlignment="0" applyProtection="0"/>
    <xf numFmtId="2" fontId="39" fillId="64" borderId="22" applyFont="0" applyFill="0" applyBorder="0" applyProtection="0">
      <alignment horizontal="center" vertical="center"/>
    </xf>
    <xf numFmtId="2" fontId="39" fillId="64" borderId="22" applyFont="0" applyFill="0" applyBorder="0" applyProtection="0">
      <alignment horizontal="center" vertical="center"/>
    </xf>
    <xf numFmtId="0" fontId="60" fillId="97" borderId="31" applyNumberFormat="0" applyAlignment="0" applyProtection="0"/>
    <xf numFmtId="0" fontId="60" fillId="98" borderId="31" applyNumberFormat="0" applyAlignment="0" applyProtection="0"/>
    <xf numFmtId="0" fontId="60" fillId="98" borderId="31" applyNumberFormat="0" applyAlignment="0" applyProtection="0"/>
    <xf numFmtId="0" fontId="60" fillId="98" borderId="31" applyNumberFormat="0" applyAlignment="0" applyProtection="0"/>
    <xf numFmtId="0" fontId="60" fillId="97" borderId="31" applyNumberFormat="0" applyAlignment="0" applyProtection="0"/>
    <xf numFmtId="0" fontId="60" fillId="98" borderId="31" applyNumberFormat="0" applyAlignment="0" applyProtection="0"/>
    <xf numFmtId="0" fontId="60" fillId="97" borderId="31" applyNumberFormat="0" applyAlignment="0" applyProtection="0"/>
    <xf numFmtId="0" fontId="60" fillId="60" borderId="31" applyNumberFormat="0" applyAlignment="0" applyProtection="0"/>
    <xf numFmtId="0" fontId="60" fillId="97" borderId="31" applyNumberFormat="0" applyAlignment="0" applyProtection="0"/>
    <xf numFmtId="0" fontId="60" fillId="98" borderId="31" applyNumberFormat="0" applyAlignment="0" applyProtection="0"/>
    <xf numFmtId="0" fontId="60" fillId="98" borderId="31" applyNumberFormat="0" applyAlignment="0" applyProtection="0"/>
    <xf numFmtId="0" fontId="60" fillId="60" borderId="31" applyNumberFormat="0" applyAlignment="0" applyProtection="0"/>
    <xf numFmtId="0" fontId="60" fillId="98" borderId="31" applyNumberFormat="0" applyAlignment="0" applyProtection="0"/>
    <xf numFmtId="0" fontId="60" fillId="97" borderId="31" applyNumberFormat="0" applyAlignment="0" applyProtection="0"/>
    <xf numFmtId="0" fontId="60" fillId="60" borderId="31" applyNumberFormat="0" applyAlignment="0" applyProtection="0"/>
    <xf numFmtId="49" fontId="61" fillId="0" borderId="0" applyNumberFormat="0" applyFont="0" applyFill="0" applyBorder="0" applyAlignment="0">
      <alignment horizontal="centerContinuous"/>
    </xf>
    <xf numFmtId="38" fontId="61" fillId="0" borderId="32" applyNumberFormat="0" applyFont="0" applyFill="0" applyBorder="0" applyAlignment="0">
      <alignment horizontal="center"/>
    </xf>
    <xf numFmtId="9" fontId="39" fillId="0" borderId="0" applyFont="0" applyFill="0" applyBorder="0" applyAlignment="0" applyProtection="0"/>
    <xf numFmtId="9" fontId="40" fillId="0" borderId="0" applyFont="0" applyFill="0" applyBorder="0" applyAlignment="0" applyProtection="0"/>
    <xf numFmtId="9" fontId="39" fillId="0" borderId="0" applyFont="0" applyFill="0" applyBorder="0" applyAlignment="0" applyProtection="0"/>
    <xf numFmtId="9" fontId="6" fillId="0" borderId="0" applyFont="0" applyFill="0" applyBorder="0" applyAlignment="0" applyProtection="0"/>
    <xf numFmtId="9" fontId="40"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40" fillId="0" borderId="0" applyFont="0" applyFill="0" applyBorder="0" applyAlignment="0" applyProtection="0"/>
    <xf numFmtId="9" fontId="40" fillId="0" borderId="0" applyFont="0" applyFill="0" applyBorder="0" applyAlignment="0" applyProtection="0"/>
    <xf numFmtId="0" fontId="39" fillId="0" borderId="0">
      <protection locked="0"/>
    </xf>
    <xf numFmtId="0" fontId="39" fillId="0" borderId="0">
      <protection locked="0"/>
    </xf>
    <xf numFmtId="0" fontId="39" fillId="0" borderId="0">
      <protection locked="0"/>
    </xf>
    <xf numFmtId="0" fontId="39" fillId="0" borderId="0">
      <protection locked="0"/>
    </xf>
    <xf numFmtId="0" fontId="39" fillId="0" borderId="0">
      <protection locked="0"/>
    </xf>
    <xf numFmtId="0" fontId="122" fillId="0" borderId="0">
      <protection locked="0"/>
    </xf>
    <xf numFmtId="0" fontId="122" fillId="0" borderId="0">
      <protection locked="0"/>
    </xf>
    <xf numFmtId="0" fontId="39" fillId="0" borderId="0">
      <protection locked="0"/>
    </xf>
    <xf numFmtId="0" fontId="39" fillId="0" borderId="0">
      <protection locked="0"/>
    </xf>
    <xf numFmtId="0" fontId="39" fillId="0" borderId="0">
      <protection locked="0"/>
    </xf>
    <xf numFmtId="0" fontId="39" fillId="0" borderId="0">
      <protection locked="0"/>
    </xf>
    <xf numFmtId="0" fontId="39" fillId="0" borderId="0">
      <protection locked="0"/>
    </xf>
    <xf numFmtId="0" fontId="44" fillId="0" borderId="0">
      <protection locked="0"/>
    </xf>
    <xf numFmtId="0" fontId="44" fillId="0" borderId="0">
      <protection locked="0"/>
    </xf>
    <xf numFmtId="251" fontId="101" fillId="0" borderId="0">
      <protection locked="0"/>
    </xf>
    <xf numFmtId="9" fontId="39" fillId="0" borderId="0" applyFont="0" applyFill="0" applyBorder="0" applyAlignment="0" applyProtection="0"/>
    <xf numFmtId="9" fontId="39" fillId="0" borderId="0" applyFont="0" applyFill="0" applyBorder="0" applyAlignment="0" applyProtection="0"/>
    <xf numFmtId="251" fontId="101" fillId="0" borderId="0">
      <protection locked="0"/>
    </xf>
    <xf numFmtId="9" fontId="99" fillId="0" borderId="0" applyFont="0" applyFill="0" applyBorder="0" applyAlignment="0" applyProtection="0"/>
    <xf numFmtId="9" fontId="39" fillId="0" borderId="0" applyFont="0" applyFill="0" applyBorder="0" applyAlignment="0" applyProtection="0"/>
    <xf numFmtId="251" fontId="101" fillId="0" borderId="0">
      <protection locked="0"/>
    </xf>
    <xf numFmtId="9" fontId="39" fillId="0" borderId="0" applyFont="0" applyFill="0" applyBorder="0" applyAlignment="0" applyProtection="0"/>
    <xf numFmtId="251" fontId="101" fillId="0" borderId="0">
      <protection locked="0"/>
    </xf>
    <xf numFmtId="9" fontId="39" fillId="0" borderId="0" applyFont="0" applyFill="0" applyBorder="0" applyAlignment="0" applyProtection="0"/>
    <xf numFmtId="251" fontId="101" fillId="0" borderId="0">
      <protection locked="0"/>
    </xf>
    <xf numFmtId="251" fontId="101" fillId="0" borderId="0">
      <protection locked="0"/>
    </xf>
    <xf numFmtId="9" fontId="40"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6"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40"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40" fillId="0" borderId="0" applyFont="0" applyFill="0" applyBorder="0" applyAlignment="0" applyProtection="0"/>
    <xf numFmtId="252" fontId="39" fillId="0" borderId="0" applyFont="0" applyFill="0" applyBorder="0" applyProtection="0">
      <alignment horizontal="right"/>
    </xf>
    <xf numFmtId="252" fontId="39" fillId="0" borderId="0" applyFont="0" applyFill="0" applyBorder="0" applyProtection="0">
      <alignment horizontal="right"/>
    </xf>
    <xf numFmtId="226" fontId="123" fillId="0" borderId="0" applyNumberFormat="0" applyFill="0" applyBorder="0" applyAlignment="0" applyProtection="0"/>
    <xf numFmtId="0" fontId="124" fillId="0" borderId="0" applyProtection="0">
      <alignment horizontal="center" vertical="center" wrapText="1"/>
    </xf>
    <xf numFmtId="0" fontId="124" fillId="0" borderId="0" applyProtection="0">
      <alignment horizontal="center" vertical="center" wrapText="1"/>
    </xf>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125"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60" fillId="60" borderId="31" applyNumberFormat="0" applyAlignment="0" applyProtection="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126" fillId="62" borderId="44" applyNumberFormat="0" applyProtection="0">
      <alignment vertical="center"/>
    </xf>
    <xf numFmtId="4" fontId="10" fillId="62" borderId="37" applyNumberFormat="0" applyProtection="0">
      <alignmen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127" fillId="62" borderId="44" applyNumberFormat="0" applyProtection="0">
      <alignment vertical="center"/>
    </xf>
    <xf numFmtId="4" fontId="128" fillId="107" borderId="37" applyNumberFormat="0" applyProtection="0">
      <alignmen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126" fillId="62" borderId="44" applyNumberFormat="0" applyProtection="0">
      <alignment horizontal="left" vertical="center" indent="1"/>
    </xf>
    <xf numFmtId="4" fontId="10" fillId="107" borderId="37"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126" fillId="62" borderId="44" applyNumberFormat="0" applyProtection="0">
      <alignment horizontal="left" vertical="top" indent="1"/>
    </xf>
    <xf numFmtId="0" fontId="81" fillId="62" borderId="44" applyNumberFormat="0" applyProtection="0">
      <alignment horizontal="left" vertical="top" indent="1"/>
    </xf>
    <xf numFmtId="0" fontId="126" fillId="62" borderId="44" applyNumberFormat="0" applyProtection="0">
      <alignment horizontal="left" vertical="top"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126" fillId="108" borderId="0" applyNumberFormat="0" applyProtection="0">
      <alignment horizontal="left" vertical="center" indent="1"/>
    </xf>
    <xf numFmtId="4" fontId="10" fillId="53" borderId="37"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42" borderId="44" applyNumberFormat="0" applyProtection="0">
      <alignment horizontal="right" vertical="center"/>
    </xf>
    <xf numFmtId="4" fontId="88" fillId="42" borderId="44"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88" fillId="42" borderId="44" applyNumberFormat="0" applyProtection="0">
      <alignment horizontal="right" vertical="center"/>
    </xf>
    <xf numFmtId="4" fontId="10" fillId="42"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48" borderId="44" applyNumberFormat="0" applyProtection="0">
      <alignment horizontal="right" vertical="center"/>
    </xf>
    <xf numFmtId="4" fontId="88" fillId="48" borderId="44"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88" fillId="48" borderId="44" applyNumberFormat="0" applyProtection="0">
      <alignment horizontal="right" vertical="center"/>
    </xf>
    <xf numFmtId="4" fontId="10" fillId="109"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56" borderId="44" applyNumberFormat="0" applyProtection="0">
      <alignment horizontal="right" vertical="center"/>
    </xf>
    <xf numFmtId="4" fontId="88" fillId="56" borderId="44"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88" fillId="56" borderId="44" applyNumberFormat="0" applyProtection="0">
      <alignment horizontal="right" vertical="center"/>
    </xf>
    <xf numFmtId="4" fontId="10" fillId="56" borderId="29"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50" borderId="44" applyNumberFormat="0" applyProtection="0">
      <alignment horizontal="right" vertical="center"/>
    </xf>
    <xf numFmtId="4" fontId="88" fillId="50" borderId="44"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88" fillId="50" borderId="44" applyNumberFormat="0" applyProtection="0">
      <alignment horizontal="right" vertical="center"/>
    </xf>
    <xf numFmtId="4" fontId="10" fillId="50"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54" borderId="44" applyNumberFormat="0" applyProtection="0">
      <alignment horizontal="right" vertical="center"/>
    </xf>
    <xf numFmtId="4" fontId="88" fillId="54" borderId="44"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88" fillId="54" borderId="44" applyNumberFormat="0" applyProtection="0">
      <alignment horizontal="right" vertical="center"/>
    </xf>
    <xf numFmtId="4" fontId="10" fillId="54"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58" borderId="44" applyNumberFormat="0" applyProtection="0">
      <alignment horizontal="right" vertical="center"/>
    </xf>
    <xf numFmtId="4" fontId="88" fillId="58" borderId="44"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88" fillId="58" borderId="44" applyNumberFormat="0" applyProtection="0">
      <alignment horizontal="right" vertical="center"/>
    </xf>
    <xf numFmtId="4" fontId="10" fillId="58"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57" borderId="44" applyNumberFormat="0" applyProtection="0">
      <alignment horizontal="right" vertical="center"/>
    </xf>
    <xf numFmtId="4" fontId="88" fillId="57" borderId="44"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88" fillId="57" borderId="44" applyNumberFormat="0" applyProtection="0">
      <alignment horizontal="right" vertical="center"/>
    </xf>
    <xf numFmtId="4" fontId="10" fillId="57"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110" borderId="44" applyNumberFormat="0" applyProtection="0">
      <alignment horizontal="right" vertical="center"/>
    </xf>
    <xf numFmtId="4" fontId="88" fillId="110" borderId="44"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88" fillId="110" borderId="44" applyNumberFormat="0" applyProtection="0">
      <alignment horizontal="right" vertical="center"/>
    </xf>
    <xf numFmtId="4" fontId="10" fillId="110"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49" borderId="44" applyNumberFormat="0" applyProtection="0">
      <alignment horizontal="right" vertical="center"/>
    </xf>
    <xf numFmtId="4" fontId="88" fillId="49" borderId="44"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88" fillId="49" borderId="44" applyNumberFormat="0" applyProtection="0">
      <alignment horizontal="right" vertical="center"/>
    </xf>
    <xf numFmtId="4" fontId="10" fillId="49"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126" fillId="111" borderId="45" applyNumberFormat="0" applyProtection="0">
      <alignment horizontal="left" vertical="center" indent="1"/>
    </xf>
    <xf numFmtId="4" fontId="10" fillId="111" borderId="29"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112" borderId="0" applyNumberFormat="0" applyProtection="0">
      <alignment horizontal="left" vertical="center" indent="1"/>
    </xf>
    <xf numFmtId="4" fontId="88" fillId="112" borderId="0"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4" fontId="88" fillId="112" borderId="0" applyNumberFormat="0" applyProtection="0">
      <alignment horizontal="left" vertical="center" indent="1"/>
    </xf>
    <xf numFmtId="4" fontId="39" fillId="113" borderId="29"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129" fillId="113" borderId="0" applyNumberFormat="0" applyProtection="0">
      <alignment horizontal="left" vertical="center" indent="1"/>
    </xf>
    <xf numFmtId="4" fontId="39" fillId="113" borderId="29"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108" borderId="44" applyNumberFormat="0" applyProtection="0">
      <alignment horizontal="right" vertical="center"/>
    </xf>
    <xf numFmtId="4" fontId="88" fillId="108" borderId="44"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88" fillId="108" borderId="44" applyNumberFormat="0" applyProtection="0">
      <alignment horizontal="right" vertical="center"/>
    </xf>
    <xf numFmtId="4" fontId="10" fillId="108"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112" borderId="0" applyNumberFormat="0" applyProtection="0">
      <alignment horizontal="left" vertical="center" indent="1"/>
    </xf>
    <xf numFmtId="4" fontId="10" fillId="112" borderId="29" applyNumberFormat="0" applyProtection="0">
      <alignment horizontal="left" vertical="center" indent="1"/>
    </xf>
    <xf numFmtId="4" fontId="88" fillId="112" borderId="0" applyNumberFormat="0" applyProtection="0">
      <alignment horizontal="left" vertical="center" indent="1"/>
    </xf>
    <xf numFmtId="4" fontId="88" fillId="112" borderId="0" applyNumberFormat="0" applyProtection="0">
      <alignment horizontal="left" vertical="center" indent="1"/>
    </xf>
    <xf numFmtId="4" fontId="88" fillId="112" borderId="0" applyNumberFormat="0" applyProtection="0">
      <alignment horizontal="left" vertical="center" indent="1"/>
    </xf>
    <xf numFmtId="4" fontId="88" fillId="112" borderId="0" applyNumberFormat="0" applyProtection="0">
      <alignment horizontal="left" vertical="center" indent="1"/>
    </xf>
    <xf numFmtId="0" fontId="39" fillId="0" borderId="0"/>
    <xf numFmtId="0" fontId="39" fillId="0" borderId="0"/>
    <xf numFmtId="0" fontId="39" fillId="0" borderId="0"/>
    <xf numFmtId="4" fontId="88" fillId="114" borderId="0" applyNumberFormat="0" applyProtection="0">
      <alignment horizontal="left" vertical="center" indent="1"/>
    </xf>
    <xf numFmtId="4" fontId="88" fillId="114" borderId="0" applyNumberFormat="0" applyProtection="0">
      <alignment horizontal="left" vertical="center" indent="1"/>
    </xf>
    <xf numFmtId="4" fontId="88" fillId="114" borderId="0"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4" fontId="88" fillId="108" borderId="0" applyNumberFormat="0" applyProtection="0">
      <alignment horizontal="left" vertical="center" indent="1"/>
    </xf>
    <xf numFmtId="4" fontId="10" fillId="108" borderId="29" applyNumberFormat="0" applyProtection="0">
      <alignment horizontal="left" vertical="center" indent="1"/>
    </xf>
    <xf numFmtId="4" fontId="88" fillId="114" borderId="0" applyNumberFormat="0" applyProtection="0">
      <alignment horizontal="left" vertical="center" indent="1"/>
    </xf>
    <xf numFmtId="4" fontId="88" fillId="114" borderId="0" applyNumberFormat="0" applyProtection="0">
      <alignment horizontal="left" vertical="center" indent="1"/>
    </xf>
    <xf numFmtId="4" fontId="88" fillId="114" borderId="0" applyNumberFormat="0" applyProtection="0">
      <alignment horizontal="left" vertical="center" indent="1"/>
    </xf>
    <xf numFmtId="4" fontId="88" fillId="114" borderId="0" applyNumberFormat="0" applyProtection="0">
      <alignment horizontal="left" vertical="center" indent="1"/>
    </xf>
    <xf numFmtId="4" fontId="88" fillId="114" borderId="0" applyNumberFormat="0" applyProtection="0">
      <alignment horizontal="left" vertical="center" indent="1"/>
    </xf>
    <xf numFmtId="4" fontId="88" fillId="114" borderId="0"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113" borderId="44" applyNumberFormat="0" applyProtection="0">
      <alignment horizontal="left" vertical="center" indent="1"/>
    </xf>
    <xf numFmtId="0" fontId="10" fillId="60" borderId="37" applyNumberFormat="0" applyProtection="0">
      <alignment horizontal="left" vertical="center" indent="1"/>
    </xf>
    <xf numFmtId="0" fontId="39" fillId="113" borderId="44"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113" borderId="44" applyNumberFormat="0" applyProtection="0">
      <alignment horizontal="left" vertical="top" indent="1"/>
    </xf>
    <xf numFmtId="0" fontId="10" fillId="113" borderId="44" applyNumberFormat="0" applyProtection="0">
      <alignment horizontal="left" vertical="top" indent="1"/>
    </xf>
    <xf numFmtId="0" fontId="39" fillId="113" borderId="44" applyNumberFormat="0" applyProtection="0">
      <alignment horizontal="left" vertical="top"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108" borderId="44" applyNumberFormat="0" applyProtection="0">
      <alignment horizontal="left" vertical="center" indent="1"/>
    </xf>
    <xf numFmtId="0" fontId="10" fillId="115" borderId="37" applyNumberFormat="0" applyProtection="0">
      <alignment horizontal="left" vertical="center" indent="1"/>
    </xf>
    <xf numFmtId="0" fontId="39" fillId="108" borderId="44"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108" borderId="44" applyNumberFormat="0" applyProtection="0">
      <alignment horizontal="left" vertical="top" indent="1"/>
    </xf>
    <xf numFmtId="0" fontId="10" fillId="108" borderId="44" applyNumberFormat="0" applyProtection="0">
      <alignment horizontal="left" vertical="top" indent="1"/>
    </xf>
    <xf numFmtId="0" fontId="39" fillId="108" borderId="44" applyNumberFormat="0" applyProtection="0">
      <alignment horizontal="left" vertical="top"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47" borderId="44" applyNumberFormat="0" applyProtection="0">
      <alignment horizontal="left" vertical="center" indent="1"/>
    </xf>
    <xf numFmtId="0" fontId="10" fillId="47" borderId="37" applyNumberFormat="0" applyProtection="0">
      <alignment horizontal="left" vertical="center" indent="1"/>
    </xf>
    <xf numFmtId="0" fontId="39" fillId="47" borderId="44"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47" borderId="44" applyNumberFormat="0" applyProtection="0">
      <alignment horizontal="left" vertical="top" indent="1"/>
    </xf>
    <xf numFmtId="0" fontId="10" fillId="47" borderId="44" applyNumberFormat="0" applyProtection="0">
      <alignment horizontal="left" vertical="top" indent="1"/>
    </xf>
    <xf numFmtId="0" fontId="39" fillId="47" borderId="44" applyNumberFormat="0" applyProtection="0">
      <alignment horizontal="left" vertical="top"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112" borderId="44" applyNumberFormat="0" applyProtection="0">
      <alignment horizontal="left" vertical="center" indent="1"/>
    </xf>
    <xf numFmtId="0" fontId="10" fillId="112" borderId="37" applyNumberFormat="0" applyProtection="0">
      <alignment horizontal="left" vertical="center" indent="1"/>
    </xf>
    <xf numFmtId="0" fontId="39" fillId="112" borderId="44"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112" borderId="44" applyNumberFormat="0" applyProtection="0">
      <alignment horizontal="left" vertical="top" indent="1"/>
    </xf>
    <xf numFmtId="0" fontId="10" fillId="112" borderId="44" applyNumberFormat="0" applyProtection="0">
      <alignment horizontal="left" vertical="top" indent="1"/>
    </xf>
    <xf numFmtId="0" fontId="39" fillId="112" borderId="44" applyNumberFormat="0" applyProtection="0">
      <alignment horizontal="left" vertical="top"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116" borderId="22" applyNumberFormat="0">
      <protection locked="0"/>
    </xf>
    <xf numFmtId="0" fontId="10" fillId="116" borderId="46" applyNumberFormat="0">
      <protection locked="0"/>
    </xf>
    <xf numFmtId="0" fontId="39" fillId="116" borderId="22" applyNumberFormat="0">
      <protection locked="0"/>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13" fillId="113" borderId="47" applyBorder="0"/>
    <xf numFmtId="0" fontId="39" fillId="0" borderId="0"/>
    <xf numFmtId="0" fontId="39" fillId="0" borderId="0"/>
    <xf numFmtId="0" fontId="39" fillId="0" borderId="0"/>
    <xf numFmtId="4" fontId="88" fillId="63" borderId="44" applyNumberFormat="0" applyProtection="0">
      <alignment vertical="center"/>
    </xf>
    <xf numFmtId="4" fontId="88" fillId="63" borderId="44" applyNumberFormat="0" applyProtection="0">
      <alignment vertical="center"/>
    </xf>
    <xf numFmtId="0" fontId="39" fillId="0" borderId="0"/>
    <xf numFmtId="0" fontId="39" fillId="0" borderId="0"/>
    <xf numFmtId="0" fontId="39" fillId="0" borderId="0"/>
    <xf numFmtId="0" fontId="39" fillId="0" borderId="0"/>
    <xf numFmtId="0" fontId="39" fillId="0" borderId="0"/>
    <xf numFmtId="0" fontId="39" fillId="0" borderId="0"/>
    <xf numFmtId="4" fontId="88" fillId="63" borderId="44" applyNumberFormat="0" applyProtection="0">
      <alignment vertical="center"/>
    </xf>
    <xf numFmtId="4" fontId="130" fillId="63" borderId="44" applyNumberFormat="0" applyProtection="0">
      <alignmen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131" fillId="63" borderId="44" applyNumberFormat="0" applyProtection="0">
      <alignment vertical="center"/>
    </xf>
    <xf numFmtId="4" fontId="128" fillId="99" borderId="22" applyNumberFormat="0" applyProtection="0">
      <alignmen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88" fillId="63" borderId="44" applyNumberFormat="0" applyProtection="0">
      <alignment horizontal="left" vertical="center" indent="1"/>
    </xf>
    <xf numFmtId="4" fontId="88" fillId="63" borderId="44"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4" fontId="88" fillId="63" borderId="44" applyNumberFormat="0" applyProtection="0">
      <alignment horizontal="left" vertical="center" indent="1"/>
    </xf>
    <xf numFmtId="4" fontId="130" fillId="60" borderId="44"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88" fillId="63" borderId="44" applyNumberFormat="0" applyProtection="0">
      <alignment horizontal="left" vertical="top" indent="1"/>
    </xf>
    <xf numFmtId="0" fontId="88" fillId="63" borderId="44" applyNumberFormat="0" applyProtection="0">
      <alignment horizontal="left" vertical="top" indent="1"/>
    </xf>
    <xf numFmtId="0" fontId="39" fillId="0" borderId="0"/>
    <xf numFmtId="0" fontId="39" fillId="0" borderId="0"/>
    <xf numFmtId="0" fontId="39" fillId="0" borderId="0"/>
    <xf numFmtId="0" fontId="39" fillId="0" borderId="0"/>
    <xf numFmtId="0" fontId="39" fillId="0" borderId="0"/>
    <xf numFmtId="0" fontId="39" fillId="0" borderId="0"/>
    <xf numFmtId="0" fontId="88" fillId="63" borderId="44" applyNumberFormat="0" applyProtection="0">
      <alignment horizontal="left" vertical="top" indent="1"/>
    </xf>
    <xf numFmtId="0" fontId="130" fillId="63" borderId="44" applyNumberFormat="0" applyProtection="0">
      <alignment horizontal="left" vertical="top" indent="1"/>
    </xf>
    <xf numFmtId="0" fontId="88" fillId="63" borderId="44" applyNumberFormat="0" applyProtection="0">
      <alignment horizontal="left" vertical="top"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132" fillId="0" borderId="0" applyNumberFormat="0" applyProtection="0">
      <alignment horizontal="right" vertical="center"/>
    </xf>
    <xf numFmtId="0" fontId="39" fillId="0" borderId="0"/>
    <xf numFmtId="0" fontId="39" fillId="0" borderId="0"/>
    <xf numFmtId="4" fontId="88" fillId="112" borderId="44" applyNumberFormat="0" applyProtection="0">
      <alignment horizontal="right" vertical="center"/>
    </xf>
    <xf numFmtId="4" fontId="88" fillId="112" borderId="44" applyNumberFormat="0" applyProtection="0">
      <alignment horizontal="right" vertical="center"/>
    </xf>
    <xf numFmtId="4" fontId="88" fillId="112" borderId="44" applyNumberFormat="0" applyProtection="0">
      <alignment horizontal="right" vertical="center"/>
    </xf>
    <xf numFmtId="4" fontId="10" fillId="0" borderId="37" applyNumberFormat="0" applyProtection="0">
      <alignment horizontal="right" vertical="center"/>
    </xf>
    <xf numFmtId="4" fontId="10" fillId="0"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132" fillId="0" borderId="0" applyNumberFormat="0" applyProtection="0">
      <alignment horizontal="right" vertical="center"/>
    </xf>
    <xf numFmtId="4" fontId="133" fillId="0" borderId="0" applyNumberFormat="0" applyProtection="0">
      <alignment horizontal="right" vertical="center"/>
    </xf>
    <xf numFmtId="0" fontId="39" fillId="0" borderId="0"/>
    <xf numFmtId="0" fontId="39" fillId="0" borderId="0"/>
    <xf numFmtId="4" fontId="131" fillId="112" borderId="44" applyNumberFormat="0" applyProtection="0">
      <alignment horizontal="right" vertical="center"/>
    </xf>
    <xf numFmtId="4" fontId="128" fillId="100" borderId="37" applyNumberFormat="0" applyProtection="0">
      <alignment horizontal="right" vertical="center"/>
    </xf>
    <xf numFmtId="4" fontId="128" fillId="100"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4" fontId="133" fillId="0" borderId="0" applyNumberFormat="0" applyProtection="0">
      <alignment horizontal="right" vertical="center"/>
    </xf>
    <xf numFmtId="4" fontId="133" fillId="0" borderId="0" applyNumberFormat="0" applyProtection="0">
      <alignment horizontal="left" vertical="center" indent="1"/>
    </xf>
    <xf numFmtId="0" fontId="39" fillId="0" borderId="0"/>
    <xf numFmtId="0" fontId="39" fillId="0" borderId="0"/>
    <xf numFmtId="4" fontId="88" fillId="108" borderId="44" applyNumberFormat="0" applyProtection="0">
      <alignment horizontal="left" vertical="center" indent="1"/>
    </xf>
    <xf numFmtId="4" fontId="88" fillId="108" borderId="44" applyNumberFormat="0" applyProtection="0">
      <alignment horizontal="left" vertical="center" indent="1"/>
    </xf>
    <xf numFmtId="4" fontId="88" fillId="108" borderId="44" applyNumberFormat="0" applyProtection="0">
      <alignment horizontal="left" vertical="center" indent="1"/>
    </xf>
    <xf numFmtId="4" fontId="10" fillId="53" borderId="37" applyNumberFormat="0" applyProtection="0">
      <alignment horizontal="left" vertical="center" indent="1"/>
    </xf>
    <xf numFmtId="4" fontId="10" fillId="53" borderId="37"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4" fontId="133" fillId="0" borderId="0" applyNumberFormat="0" applyProtection="0">
      <alignment horizontal="left" vertical="center" indent="1"/>
    </xf>
    <xf numFmtId="0" fontId="39" fillId="0" borderId="0"/>
    <xf numFmtId="0" fontId="39" fillId="0" borderId="0"/>
    <xf numFmtId="0" fontId="39" fillId="0" borderId="0"/>
    <xf numFmtId="0" fontId="88" fillId="108" borderId="44" applyNumberFormat="0" applyProtection="0">
      <alignment horizontal="left" vertical="top" indent="1"/>
    </xf>
    <xf numFmtId="0" fontId="88" fillId="108" borderId="44" applyNumberFormat="0" applyProtection="0">
      <alignment horizontal="left" vertical="top" indent="1"/>
    </xf>
    <xf numFmtId="0" fontId="39" fillId="0" borderId="0"/>
    <xf numFmtId="0" fontId="39" fillId="0" borderId="0"/>
    <xf numFmtId="0" fontId="39" fillId="0" borderId="0"/>
    <xf numFmtId="0" fontId="39" fillId="0" borderId="0"/>
    <xf numFmtId="0" fontId="39" fillId="0" borderId="0"/>
    <xf numFmtId="0" fontId="39" fillId="0" borderId="0"/>
    <xf numFmtId="0" fontId="88" fillId="108" borderId="44" applyNumberFormat="0" applyProtection="0">
      <alignment horizontal="left" vertical="top" indent="1"/>
    </xf>
    <xf numFmtId="0" fontId="130" fillId="108" borderId="44" applyNumberFormat="0" applyProtection="0">
      <alignment horizontal="left" vertical="top" indent="1"/>
    </xf>
    <xf numFmtId="0" fontId="88" fillId="108" borderId="44" applyNumberFormat="0" applyProtection="0">
      <alignment horizontal="left" vertical="top"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134" fillId="117" borderId="0" applyNumberFormat="0" applyProtection="0">
      <alignment horizontal="left" vertical="center" indent="1"/>
    </xf>
    <xf numFmtId="4" fontId="135" fillId="117" borderId="29" applyNumberFormat="0" applyProtection="0">
      <alignment horizontal="left" vertical="center" indent="1"/>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10" fillId="118" borderId="22"/>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 fontId="136" fillId="112" borderId="44" applyNumberFormat="0" applyProtection="0">
      <alignment horizontal="right" vertical="center"/>
    </xf>
    <xf numFmtId="4" fontId="137" fillId="116" borderId="37" applyNumberFormat="0" applyProtection="0">
      <alignment horizontal="righ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43" fontId="39" fillId="0" borderId="0" applyFont="0" applyFill="0" applyBorder="0" applyAlignment="0" applyProtection="0"/>
    <xf numFmtId="182" fontId="39" fillId="0" borderId="0" applyFon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53" fillId="0" borderId="33"/>
    <xf numFmtId="0" fontId="39" fillId="0" borderId="0"/>
    <xf numFmtId="0" fontId="39" fillId="0" borderId="0"/>
    <xf numFmtId="0" fontId="39" fillId="0" borderId="0"/>
    <xf numFmtId="0" fontId="39" fillId="0" borderId="0"/>
    <xf numFmtId="0" fontId="39" fillId="0" borderId="0"/>
    <xf numFmtId="0" fontId="88" fillId="0" borderId="0" applyNumberFormat="0" applyBorder="0" applyAlignment="0"/>
    <xf numFmtId="0" fontId="88" fillId="0" borderId="0" applyNumberFormat="0" applyBorder="0" applyAlignment="0"/>
    <xf numFmtId="0" fontId="126" fillId="0" borderId="0" applyNumberFormat="0" applyBorder="0" applyAlignment="0"/>
    <xf numFmtId="0" fontId="126" fillId="0" borderId="0" applyNumberFormat="0" applyBorder="0" applyAlignment="0"/>
    <xf numFmtId="0" fontId="139" fillId="60" borderId="0" applyNumberFormat="0" applyBorder="0" applyAlignment="0"/>
    <xf numFmtId="0" fontId="139" fillId="60" borderId="0" applyNumberFormat="0" applyBorder="0" applyAlignment="0"/>
    <xf numFmtId="0" fontId="140" fillId="60" borderId="0" applyNumberFormat="0" applyBorder="0" applyAlignment="0"/>
    <xf numFmtId="0" fontId="140" fillId="60" borderId="0" applyNumberFormat="0" applyBorder="0" applyAlignment="0"/>
    <xf numFmtId="0" fontId="141" fillId="0" borderId="0" applyNumberFormat="0" applyBorder="0" applyAlignment="0"/>
    <xf numFmtId="0" fontId="141" fillId="0" borderId="0" applyNumberFormat="0" applyBorder="0" applyAlignment="0"/>
    <xf numFmtId="0" fontId="142" fillId="0" borderId="0" applyNumberFormat="0" applyBorder="0" applyAlignment="0"/>
    <xf numFmtId="0" fontId="142" fillId="0" borderId="0" applyNumberFormat="0" applyBorder="0" applyAlignment="0"/>
    <xf numFmtId="0" fontId="129" fillId="60" borderId="0" applyNumberFormat="0" applyBorder="0" applyAlignment="0"/>
    <xf numFmtId="0" fontId="129" fillId="60" borderId="0" applyNumberFormat="0" applyBorder="0" applyAlignment="0"/>
    <xf numFmtId="0" fontId="143" fillId="0" borderId="0" applyNumberFormat="0" applyBorder="0" applyAlignment="0"/>
    <xf numFmtId="0" fontId="143" fillId="0" borderId="0" applyNumberFormat="0" applyBorder="0" applyAlignment="0"/>
    <xf numFmtId="0" fontId="144" fillId="0" borderId="0" applyNumberFormat="0" applyBorder="0" applyAlignment="0"/>
    <xf numFmtId="0" fontId="144" fillId="0" borderId="0" applyNumberFormat="0" applyBorder="0" applyAlignment="0"/>
    <xf numFmtId="0" fontId="139" fillId="0" borderId="0" applyNumberFormat="0" applyBorder="0" applyAlignment="0"/>
    <xf numFmtId="0" fontId="139" fillId="0" borderId="0" applyNumberFormat="0" applyBorder="0" applyAlignment="0"/>
    <xf numFmtId="0" fontId="145" fillId="0" borderId="0" applyNumberFormat="0" applyBorder="0" applyAlignment="0"/>
    <xf numFmtId="0" fontId="145" fillId="0" borderId="0" applyNumberFormat="0" applyBorder="0" applyAlignment="0"/>
    <xf numFmtId="0" fontId="146" fillId="0" borderId="0" applyNumberFormat="0" applyBorder="0" applyAlignment="0"/>
    <xf numFmtId="0" fontId="146" fillId="0" borderId="0" applyNumberFormat="0" applyBorder="0" applyAlignment="0"/>
    <xf numFmtId="37" fontId="44" fillId="65" borderId="22"/>
    <xf numFmtId="37" fontId="44" fillId="65" borderId="22"/>
    <xf numFmtId="37" fontId="44" fillId="65" borderId="22"/>
    <xf numFmtId="37" fontId="44" fillId="65" borderId="22"/>
    <xf numFmtId="1" fontId="147" fillId="0" borderId="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136"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148"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63" fillId="0" borderId="0" applyNumberFormat="0" applyFill="0" applyBorder="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149"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55" fillId="0" borderId="26"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150"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56" fillId="0" borderId="27"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49"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105"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49" fillId="0" borderId="28"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35" applyNumberFormat="0" applyFill="0" applyAlignment="0" applyProtection="0"/>
    <xf numFmtId="0" fontId="64" fillId="0" borderId="35" applyNumberFormat="0" applyFill="0" applyAlignment="0" applyProtection="0"/>
    <xf numFmtId="3" fontId="44" fillId="119" borderId="36">
      <alignment horizontal="center"/>
    </xf>
    <xf numFmtId="0" fontId="64" fillId="0" borderId="35" applyNumberFormat="0" applyFill="0" applyAlignment="0" applyProtection="0"/>
    <xf numFmtId="3" fontId="44" fillId="119" borderId="36">
      <alignment horizontal="center"/>
    </xf>
    <xf numFmtId="0" fontId="64" fillId="0" borderId="35" applyNumberFormat="0" applyFill="0" applyAlignment="0" applyProtection="0"/>
    <xf numFmtId="3" fontId="44" fillId="119" borderId="36">
      <alignment horizontal="center"/>
    </xf>
    <xf numFmtId="0" fontId="64" fillId="0" borderId="35" applyNumberFormat="0" applyFill="0" applyAlignment="0" applyProtection="0"/>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0" fontId="64" fillId="0" borderId="48" applyNumberFormat="0" applyFill="0" applyAlignment="0" applyProtection="0"/>
    <xf numFmtId="0" fontId="64" fillId="0" borderId="48" applyNumberFormat="0" applyFill="0" applyAlignment="0" applyProtection="0"/>
    <xf numFmtId="3" fontId="44" fillId="119" borderId="36">
      <alignment horizontal="center"/>
    </xf>
    <xf numFmtId="0" fontId="64" fillId="0" borderId="48" applyNumberFormat="0" applyFill="0" applyAlignment="0" applyProtection="0"/>
    <xf numFmtId="0" fontId="64" fillId="0" borderId="48" applyNumberFormat="0" applyFill="0" applyAlignment="0" applyProtection="0"/>
    <xf numFmtId="0" fontId="64" fillId="0" borderId="48" applyNumberFormat="0" applyFill="0" applyAlignment="0" applyProtection="0"/>
    <xf numFmtId="0" fontId="64" fillId="0" borderId="48" applyNumberFormat="0" applyFill="0" applyAlignment="0" applyProtection="0"/>
    <xf numFmtId="0" fontId="64" fillId="0" borderId="48" applyNumberFormat="0" applyFill="0" applyAlignment="0" applyProtection="0"/>
    <xf numFmtId="0" fontId="64" fillId="0" borderId="48" applyNumberFormat="0" applyFill="0" applyAlignment="0" applyProtection="0"/>
    <xf numFmtId="0" fontId="64" fillId="0" borderId="48" applyNumberFormat="0" applyFill="0" applyAlignment="0" applyProtection="0"/>
    <xf numFmtId="0" fontId="64" fillId="0" borderId="35" applyNumberFormat="0" applyFill="0" applyAlignment="0" applyProtection="0"/>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0" fontId="64" fillId="0" borderId="35" applyNumberFormat="0" applyFill="0" applyAlignment="0" applyProtection="0"/>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0" fontId="64" fillId="0" borderId="35" applyNumberFormat="0" applyFill="0" applyAlignment="0" applyProtection="0"/>
    <xf numFmtId="0" fontId="64" fillId="0" borderId="35" applyNumberFormat="0" applyFill="0" applyAlignment="0" applyProtection="0"/>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3" fontId="44" fillId="119" borderId="36">
      <alignment horizontal="center"/>
    </xf>
    <xf numFmtId="0" fontId="64" fillId="0" borderId="35" applyNumberFormat="0" applyFill="0" applyAlignment="0" applyProtection="0"/>
    <xf numFmtId="0" fontId="64" fillId="0" borderId="35" applyNumberFormat="0" applyFill="0" applyAlignment="0" applyProtection="0"/>
    <xf numFmtId="0" fontId="64" fillId="0" borderId="35" applyNumberFormat="0" applyFill="0" applyAlignment="0" applyProtection="0"/>
    <xf numFmtId="0" fontId="64" fillId="0" borderId="35" applyNumberFormat="0" applyFill="0" applyAlignment="0" applyProtection="0"/>
    <xf numFmtId="0" fontId="64" fillId="0" borderId="35" applyNumberFormat="0" applyFill="0" applyAlignment="0" applyProtection="0"/>
    <xf numFmtId="0" fontId="64" fillId="0" borderId="35" applyNumberFormat="0" applyFill="0" applyAlignment="0" applyProtection="0"/>
    <xf numFmtId="0" fontId="64" fillId="0" borderId="35" applyNumberFormat="0" applyFill="0" applyAlignment="0" applyProtection="0"/>
    <xf numFmtId="0" fontId="64" fillId="0" borderId="35" applyNumberFormat="0" applyFill="0" applyAlignment="0" applyProtection="0"/>
    <xf numFmtId="0" fontId="64" fillId="0" borderId="35" applyNumberFormat="0" applyFill="0" applyAlignment="0" applyProtection="0"/>
    <xf numFmtId="0" fontId="64" fillId="0" borderId="35" applyNumberFormat="0" applyFill="0" applyAlignment="0" applyProtection="0"/>
    <xf numFmtId="0" fontId="151" fillId="0" borderId="49"/>
    <xf numFmtId="0" fontId="151" fillId="0" borderId="49"/>
    <xf numFmtId="37" fontId="44" fillId="66" borderId="22">
      <protection locked="0"/>
    </xf>
    <xf numFmtId="37" fontId="44" fillId="66" borderId="22">
      <protection locked="0"/>
    </xf>
    <xf numFmtId="37" fontId="44" fillId="66" borderId="22">
      <protection locked="0"/>
    </xf>
    <xf numFmtId="37" fontId="44" fillId="66" borderId="22">
      <protection locked="0"/>
    </xf>
    <xf numFmtId="0" fontId="39" fillId="0" borderId="0" applyNumberFormat="0" applyFill="0" applyBorder="0" applyAlignment="0" applyProtection="0"/>
    <xf numFmtId="0" fontId="152" fillId="0" borderId="0" applyNumberFormat="0" applyFill="0" applyBorder="0" applyAlignment="0" applyProtection="0"/>
    <xf numFmtId="0" fontId="152" fillId="0" borderId="0" applyNumberFormat="0" applyFill="0" applyBorder="0" applyAlignment="0" applyProtection="0"/>
    <xf numFmtId="0" fontId="62" fillId="0" borderId="0" applyNumberFormat="0" applyFill="0" applyBorder="0" applyAlignment="0" applyProtection="0"/>
    <xf numFmtId="0" fontId="39" fillId="0" borderId="0" applyNumberFormat="0" applyFill="0" applyBorder="0" applyAlignment="0" applyProtection="0"/>
    <xf numFmtId="0" fontId="152" fillId="0" borderId="0" applyNumberFormat="0" applyFill="0" applyBorder="0" applyAlignment="0" applyProtection="0"/>
    <xf numFmtId="0" fontId="62" fillId="0" borderId="0" applyNumberFormat="0" applyFill="0" applyBorder="0" applyAlignment="0" applyProtection="0"/>
    <xf numFmtId="0" fontId="152" fillId="0" borderId="0" applyNumberFormat="0" applyFill="0" applyBorder="0" applyAlignment="0" applyProtection="0"/>
    <xf numFmtId="0" fontId="152" fillId="0" borderId="0" applyNumberFormat="0" applyFill="0" applyBorder="0" applyAlignment="0" applyProtection="0"/>
    <xf numFmtId="0" fontId="152" fillId="0" borderId="0" applyNumberFormat="0" applyFill="0" applyBorder="0" applyAlignment="0" applyProtection="0"/>
    <xf numFmtId="0" fontId="62" fillId="0" borderId="0" applyNumberFormat="0" applyFill="0" applyBorder="0" applyAlignment="0" applyProtection="0"/>
    <xf numFmtId="0" fontId="15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27" fillId="0" borderId="0" applyNumberFormat="0" applyFill="0" applyBorder="0" applyAlignment="0" applyProtection="0"/>
    <xf numFmtId="0" fontId="28" fillId="9" borderId="0" applyNumberFormat="0" applyBorder="0" applyAlignment="0" applyProtection="0"/>
    <xf numFmtId="0" fontId="31" fillId="12" borderId="16" applyNumberFormat="0" applyAlignment="0" applyProtection="0"/>
    <xf numFmtId="0" fontId="34" fillId="0" borderId="18" applyNumberFormat="0" applyFill="0" applyAlignment="0" applyProtection="0"/>
    <xf numFmtId="0" fontId="35" fillId="14" borderId="19" applyNumberFormat="0" applyAlignment="0" applyProtection="0"/>
    <xf numFmtId="0" fontId="36" fillId="0" borderId="0" applyNumberFormat="0" applyFill="0" applyBorder="0" applyAlignment="0" applyProtection="0"/>
    <xf numFmtId="0" fontId="8" fillId="0" borderId="0"/>
    <xf numFmtId="0" fontId="99" fillId="0" borderId="0"/>
    <xf numFmtId="0" fontId="6" fillId="0" borderId="0"/>
    <xf numFmtId="0" fontId="153" fillId="0" borderId="0" applyNumberFormat="0" applyFill="0" applyBorder="0" applyAlignment="0" applyProtection="0"/>
    <xf numFmtId="0" fontId="6" fillId="0" borderId="0"/>
    <xf numFmtId="0" fontId="6" fillId="15" borderId="20" applyNumberFormat="0" applyFont="0" applyAlignment="0" applyProtection="0"/>
    <xf numFmtId="0" fontId="6" fillId="0" borderId="0"/>
    <xf numFmtId="0" fontId="39" fillId="0" borderId="0"/>
    <xf numFmtId="0" fontId="39" fillId="0" borderId="0"/>
    <xf numFmtId="0" fontId="39" fillId="0" borderId="0"/>
    <xf numFmtId="0" fontId="41" fillId="55" borderId="0" applyNumberFormat="0" applyBorder="0" applyAlignment="0" applyProtection="0"/>
    <xf numFmtId="0" fontId="41" fillId="56" borderId="0" applyNumberFormat="0" applyBorder="0" applyAlignment="0" applyProtection="0"/>
    <xf numFmtId="0" fontId="41" fillId="57"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8" borderId="0" applyNumberFormat="0" applyBorder="0" applyAlignment="0" applyProtection="0"/>
    <xf numFmtId="0" fontId="10" fillId="0" borderId="0"/>
    <xf numFmtId="0" fontId="8" fillId="0" borderId="0"/>
    <xf numFmtId="0" fontId="39" fillId="0" borderId="0"/>
    <xf numFmtId="43" fontId="39" fillId="0" borderId="0" applyFont="0" applyFill="0" applyBorder="0" applyAlignment="0" applyProtection="0"/>
    <xf numFmtId="0" fontId="39" fillId="0" borderId="0"/>
    <xf numFmtId="43" fontId="39" fillId="0" borderId="0" applyFont="0" applyFill="0" applyBorder="0" applyAlignment="0" applyProtection="0"/>
    <xf numFmtId="0" fontId="39" fillId="0" borderId="0"/>
    <xf numFmtId="43" fontId="39" fillId="0" borderId="0" applyFont="0" applyFill="0" applyBorder="0" applyAlignment="0" applyProtection="0"/>
    <xf numFmtId="43" fontId="39" fillId="0" borderId="0" applyFont="0" applyFill="0" applyBorder="0" applyAlignment="0" applyProtection="0"/>
    <xf numFmtId="0" fontId="39" fillId="0" borderId="0"/>
    <xf numFmtId="43" fontId="39" fillId="0" borderId="0" applyFont="0" applyFill="0" applyBorder="0" applyAlignment="0" applyProtection="0"/>
    <xf numFmtId="0" fontId="39" fillId="0" borderId="0"/>
    <xf numFmtId="0" fontId="6" fillId="0" borderId="0"/>
    <xf numFmtId="0" fontId="10" fillId="0" borderId="0"/>
    <xf numFmtId="182" fontId="10" fillId="0" borderId="0" applyFont="0" applyFill="0" applyBorder="0" applyAlignment="0" applyProtection="0"/>
    <xf numFmtId="0" fontId="10" fillId="0" borderId="0"/>
    <xf numFmtId="0" fontId="39" fillId="0" borderId="0">
      <alignment wrapText="1"/>
    </xf>
    <xf numFmtId="182" fontId="10" fillId="0" borderId="0" applyFont="0" applyFill="0" applyBorder="0" applyAlignment="0" applyProtection="0"/>
    <xf numFmtId="43" fontId="6" fillId="0" borderId="0" applyFont="0" applyFill="0" applyBorder="0" applyAlignment="0" applyProtection="0"/>
    <xf numFmtId="0" fontId="10" fillId="0" borderId="0"/>
    <xf numFmtId="0" fontId="10"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10" fillId="0" borderId="0"/>
    <xf numFmtId="0" fontId="10"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0" fontId="10" fillId="0" borderId="0"/>
    <xf numFmtId="0" fontId="10" fillId="0" borderId="0"/>
    <xf numFmtId="0" fontId="10" fillId="0" borderId="0"/>
    <xf numFmtId="0" fontId="10" fillId="0" borderId="0"/>
    <xf numFmtId="0" fontId="10" fillId="0" borderId="0"/>
    <xf numFmtId="0" fontId="6" fillId="0" borderId="0"/>
    <xf numFmtId="0" fontId="24" fillId="0" borderId="0" applyNumberFormat="0" applyFill="0" applyBorder="0" applyAlignment="0" applyProtection="0"/>
    <xf numFmtId="0" fontId="25" fillId="0" borderId="13" applyNumberFormat="0" applyFill="0" applyAlignment="0" applyProtection="0"/>
    <xf numFmtId="0" fontId="26" fillId="0" borderId="14" applyNumberFormat="0" applyFill="0" applyAlignment="0" applyProtection="0"/>
    <xf numFmtId="0" fontId="27" fillId="0" borderId="15" applyNumberFormat="0" applyFill="0" applyAlignment="0" applyProtection="0"/>
    <xf numFmtId="0" fontId="27" fillId="0" borderId="0" applyNumberFormat="0" applyFill="0" applyBorder="0" applyAlignment="0" applyProtection="0"/>
    <xf numFmtId="0" fontId="28" fillId="9" borderId="0" applyNumberFormat="0" applyBorder="0" applyAlignment="0" applyProtection="0"/>
    <xf numFmtId="0" fontId="29" fillId="10" borderId="0" applyNumberFormat="0" applyBorder="0" applyAlignment="0" applyProtection="0"/>
    <xf numFmtId="0" fontId="30" fillId="11" borderId="0" applyNumberFormat="0" applyBorder="0" applyAlignment="0" applyProtection="0"/>
    <xf numFmtId="0" fontId="31" fillId="12" borderId="16" applyNumberFormat="0" applyAlignment="0" applyProtection="0"/>
    <xf numFmtId="0" fontId="32" fillId="13" borderId="17" applyNumberFormat="0" applyAlignment="0" applyProtection="0"/>
    <xf numFmtId="0" fontId="33" fillId="13" borderId="16" applyNumberFormat="0" applyAlignment="0" applyProtection="0"/>
    <xf numFmtId="0" fontId="34" fillId="0" borderId="18" applyNumberFormat="0" applyFill="0" applyAlignment="0" applyProtection="0"/>
    <xf numFmtId="0" fontId="35" fillId="14" borderId="19" applyNumberFormat="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7" fillId="0" borderId="21" applyNumberFormat="0" applyFill="0" applyAlignment="0" applyProtection="0"/>
    <xf numFmtId="0" fontId="38"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38" fillId="19" borderId="0" applyNumberFormat="0" applyBorder="0" applyAlignment="0" applyProtection="0"/>
    <xf numFmtId="0" fontId="38" fillId="20"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38" fillId="23" borderId="0" applyNumberFormat="0" applyBorder="0" applyAlignment="0" applyProtection="0"/>
    <xf numFmtId="0" fontId="38" fillId="24"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38" fillId="27" borderId="0" applyNumberFormat="0" applyBorder="0" applyAlignment="0" applyProtection="0"/>
    <xf numFmtId="0" fontId="38" fillId="28"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38" fillId="31" borderId="0" applyNumberFormat="0" applyBorder="0" applyAlignment="0" applyProtection="0"/>
    <xf numFmtId="0" fontId="38"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38" fillId="35" borderId="0" applyNumberFormat="0" applyBorder="0" applyAlignment="0" applyProtection="0"/>
    <xf numFmtId="0" fontId="38"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38" fillId="39" borderId="0" applyNumberFormat="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41" fillId="55" borderId="0" applyNumberFormat="0" applyBorder="0" applyAlignment="0" applyProtection="0"/>
    <xf numFmtId="0" fontId="41" fillId="56" borderId="0" applyNumberFormat="0" applyBorder="0" applyAlignment="0" applyProtection="0"/>
    <xf numFmtId="0" fontId="41" fillId="57"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8" borderId="0" applyNumberFormat="0" applyBorder="0" applyAlignment="0" applyProtection="0"/>
    <xf numFmtId="0" fontId="42" fillId="42" borderId="0" applyNumberFormat="0" applyBorder="0" applyAlignment="0" applyProtection="0"/>
    <xf numFmtId="0" fontId="45" fillId="60" borderId="23" applyNumberFormat="0" applyAlignment="0" applyProtection="0"/>
    <xf numFmtId="0" fontId="46" fillId="61" borderId="24" applyNumberFormat="0" applyAlignment="0" applyProtection="0"/>
    <xf numFmtId="0" fontId="43" fillId="43" borderId="0" applyNumberFormat="0" applyBorder="0" applyAlignment="0" applyProtection="0"/>
    <xf numFmtId="0" fontId="55" fillId="0" borderId="26" applyNumberFormat="0" applyFill="0" applyAlignment="0" applyProtection="0"/>
    <xf numFmtId="0" fontId="56" fillId="0" borderId="27" applyNumberFormat="0" applyFill="0" applyAlignment="0" applyProtection="0"/>
    <xf numFmtId="0" fontId="49" fillId="0" borderId="28" applyNumberFormat="0" applyFill="0" applyAlignment="0" applyProtection="0"/>
    <xf numFmtId="0" fontId="49" fillId="0" borderId="0" applyNumberFormat="0" applyFill="0" applyBorder="0" applyAlignment="0" applyProtection="0"/>
    <xf numFmtId="0" fontId="50" fillId="46" borderId="23" applyNumberFormat="0" applyAlignment="0" applyProtection="0"/>
    <xf numFmtId="0" fontId="47" fillId="0" borderId="25" applyNumberFormat="0" applyFill="0" applyAlignment="0" applyProtection="0"/>
    <xf numFmtId="0" fontId="57" fillId="62" borderId="0" applyNumberFormat="0" applyBorder="0" applyAlignment="0" applyProtection="0"/>
    <xf numFmtId="0" fontId="39" fillId="63" borderId="30" applyNumberFormat="0" applyFont="0" applyAlignment="0" applyProtection="0"/>
    <xf numFmtId="0" fontId="60" fillId="60" borderId="31" applyNumberFormat="0" applyAlignment="0" applyProtection="0"/>
    <xf numFmtId="0" fontId="64" fillId="0" borderId="35" applyNumberFormat="0" applyFill="0" applyAlignment="0" applyProtection="0"/>
    <xf numFmtId="0" fontId="10" fillId="0" borderId="0"/>
    <xf numFmtId="0" fontId="7" fillId="0" borderId="21" applyNumberFormat="0" applyFill="0" applyAlignment="0" applyProtection="0"/>
    <xf numFmtId="0" fontId="10" fillId="0" borderId="0"/>
    <xf numFmtId="184" fontId="51" fillId="0" borderId="0" applyFont="0" applyFill="0" applyBorder="0" applyAlignment="0" applyProtection="0"/>
    <xf numFmtId="0" fontId="10" fillId="0" borderId="0"/>
    <xf numFmtId="0" fontId="6" fillId="0" borderId="0"/>
    <xf numFmtId="0" fontId="10" fillId="0" borderId="0"/>
    <xf numFmtId="43" fontId="8" fillId="0" borderId="0" applyFont="0" applyFill="0" applyBorder="0" applyAlignment="0" applyProtection="0"/>
    <xf numFmtId="43" fontId="8" fillId="0" borderId="0" applyFont="0" applyFill="0" applyBorder="0" applyAlignment="0" applyProtection="0"/>
    <xf numFmtId="0" fontId="8" fillId="0" borderId="0"/>
    <xf numFmtId="0" fontId="8" fillId="0" borderId="0"/>
    <xf numFmtId="0" fontId="8"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15" borderId="20" applyNumberFormat="0" applyFont="0" applyAlignment="0" applyProtection="0"/>
    <xf numFmtId="0" fontId="6" fillId="0" borderId="0"/>
    <xf numFmtId="0" fontId="6" fillId="0" borderId="0"/>
    <xf numFmtId="0" fontId="6" fillId="0" borderId="0"/>
    <xf numFmtId="0" fontId="6" fillId="0" borderId="0"/>
    <xf numFmtId="0" fontId="6" fillId="15" borderId="20" applyNumberFormat="0" applyFont="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107" fillId="0" borderId="0"/>
    <xf numFmtId="0" fontId="107" fillId="0" borderId="0"/>
    <xf numFmtId="0" fontId="107" fillId="0" borderId="0"/>
    <xf numFmtId="0" fontId="107" fillId="0" borderId="0"/>
    <xf numFmtId="0" fontId="8" fillId="0" borderId="0"/>
  </cellStyleXfs>
  <cellXfs count="561">
    <xf numFmtId="0" fontId="0" fillId="0" borderId="0" xfId="0"/>
    <xf numFmtId="0" fontId="8" fillId="0" borderId="0" xfId="1" applyFont="1"/>
    <xf numFmtId="0" fontId="11" fillId="0" borderId="0" xfId="2" applyFont="1" applyBorder="1"/>
    <xf numFmtId="0" fontId="12" fillId="0" borderId="3" xfId="0" applyFont="1" applyBorder="1"/>
    <xf numFmtId="0" fontId="8" fillId="0" borderId="4" xfId="0" applyFont="1" applyBorder="1"/>
    <xf numFmtId="0" fontId="8" fillId="0" borderId="5" xfId="0" applyFont="1" applyBorder="1"/>
    <xf numFmtId="0" fontId="8" fillId="0" borderId="0" xfId="0" applyFont="1"/>
    <xf numFmtId="0" fontId="12" fillId="0" borderId="6" xfId="0" applyFont="1" applyBorder="1"/>
    <xf numFmtId="0" fontId="8" fillId="0" borderId="0" xfId="0" applyFont="1" applyBorder="1"/>
    <xf numFmtId="0" fontId="8" fillId="0" borderId="7" xfId="0" applyFont="1" applyBorder="1"/>
    <xf numFmtId="0" fontId="12" fillId="0" borderId="8" xfId="0" applyFont="1" applyBorder="1"/>
    <xf numFmtId="0" fontId="8" fillId="0" borderId="1" xfId="0" applyFont="1" applyBorder="1"/>
    <xf numFmtId="0" fontId="8" fillId="0" borderId="9" xfId="0" applyFont="1" applyBorder="1"/>
    <xf numFmtId="0" fontId="12" fillId="2" borderId="1" xfId="0" applyFont="1" applyFill="1" applyBorder="1"/>
    <xf numFmtId="0" fontId="12" fillId="5" borderId="2" xfId="0" applyFont="1" applyFill="1" applyBorder="1"/>
    <xf numFmtId="0" fontId="14" fillId="3" borderId="0" xfId="2" applyFont="1" applyFill="1" applyBorder="1" applyAlignment="1">
      <alignment horizontal="right"/>
    </xf>
    <xf numFmtId="0" fontId="14" fillId="3" borderId="1" xfId="2" applyFont="1" applyFill="1" applyBorder="1" applyAlignment="1">
      <alignment horizontal="right"/>
    </xf>
    <xf numFmtId="0" fontId="15" fillId="0" borderId="0" xfId="4" applyFont="1" applyAlignment="1">
      <alignment horizontal="left" vertical="center" indent="1"/>
    </xf>
    <xf numFmtId="0" fontId="10" fillId="0" borderId="0" xfId="4"/>
    <xf numFmtId="0" fontId="10" fillId="0" borderId="0" xfId="4" applyAlignment="1">
      <alignment horizontal="right"/>
    </xf>
    <xf numFmtId="0" fontId="16" fillId="0" borderId="0" xfId="4" applyFont="1"/>
    <xf numFmtId="0" fontId="13" fillId="0" borderId="0" xfId="4" applyFont="1" applyAlignment="1">
      <alignment horizontal="right"/>
    </xf>
    <xf numFmtId="0" fontId="13" fillId="0" borderId="10" xfId="4" applyFont="1" applyBorder="1" applyAlignment="1">
      <alignment horizontal="right"/>
    </xf>
    <xf numFmtId="0" fontId="13" fillId="0" borderId="2" xfId="4" applyFont="1" applyBorder="1" applyAlignment="1">
      <alignment horizontal="right"/>
    </xf>
    <xf numFmtId="0" fontId="13" fillId="0" borderId="11" xfId="4" applyFont="1" applyBorder="1" applyAlignment="1">
      <alignment horizontal="right"/>
    </xf>
    <xf numFmtId="0" fontId="13" fillId="0" borderId="12" xfId="4" applyFont="1" applyFill="1" applyBorder="1" applyAlignment="1">
      <alignment horizontal="right"/>
    </xf>
    <xf numFmtId="10" fontId="10" fillId="0" borderId="0" xfId="4" applyNumberFormat="1" applyAlignment="1">
      <alignment horizontal="right"/>
    </xf>
    <xf numFmtId="0" fontId="10" fillId="0" borderId="0" xfId="4" applyFont="1" applyAlignment="1">
      <alignment horizontal="right"/>
    </xf>
    <xf numFmtId="166" fontId="10" fillId="0" borderId="0" xfId="4" applyNumberFormat="1"/>
    <xf numFmtId="167" fontId="13" fillId="0" borderId="0" xfId="4" applyNumberFormat="1" applyFont="1" applyAlignment="1">
      <alignment horizontal="right"/>
    </xf>
    <xf numFmtId="167" fontId="10" fillId="0" borderId="0" xfId="4" applyNumberFormat="1"/>
    <xf numFmtId="168" fontId="10" fillId="0" borderId="0" xfId="4" applyNumberFormat="1" applyAlignment="1">
      <alignment horizontal="right"/>
    </xf>
    <xf numFmtId="169" fontId="10" fillId="0" borderId="0" xfId="4" applyNumberFormat="1" applyAlignment="1">
      <alignment horizontal="right"/>
    </xf>
    <xf numFmtId="0" fontId="13" fillId="3" borderId="8" xfId="4" applyFont="1" applyFill="1" applyBorder="1" applyAlignment="1">
      <alignment horizontal="left"/>
    </xf>
    <xf numFmtId="0" fontId="10" fillId="0" borderId="0" xfId="4" applyFont="1"/>
    <xf numFmtId="0" fontId="10" fillId="0" borderId="3" xfId="4" applyBorder="1" applyAlignment="1">
      <alignment horizontal="right"/>
    </xf>
    <xf numFmtId="170" fontId="10" fillId="0" borderId="0" xfId="4" applyNumberFormat="1" applyAlignment="1">
      <alignment horizontal="right"/>
    </xf>
    <xf numFmtId="171" fontId="10" fillId="0" borderId="0" xfId="4" applyNumberFormat="1" applyFont="1" applyAlignment="1">
      <alignment horizontal="right"/>
    </xf>
    <xf numFmtId="0" fontId="10" fillId="4" borderId="6" xfId="4" applyFill="1" applyBorder="1" applyAlignment="1">
      <alignment horizontal="right"/>
    </xf>
    <xf numFmtId="0" fontId="10" fillId="0" borderId="6" xfId="4" applyBorder="1" applyAlignment="1">
      <alignment horizontal="right"/>
    </xf>
    <xf numFmtId="0" fontId="10" fillId="0" borderId="8" xfId="4" applyBorder="1" applyAlignment="1">
      <alignment horizontal="right"/>
    </xf>
    <xf numFmtId="0" fontId="14" fillId="3" borderId="4" xfId="4" applyFont="1" applyFill="1" applyBorder="1" applyAlignment="1">
      <alignment horizontal="right"/>
    </xf>
    <xf numFmtId="0" fontId="10" fillId="0" borderId="0" xfId="4" applyFont="1" applyFill="1" applyBorder="1"/>
    <xf numFmtId="171" fontId="10" fillId="0" borderId="0" xfId="4" applyNumberFormat="1" applyFont="1"/>
    <xf numFmtId="170" fontId="10" fillId="0" borderId="0" xfId="4" applyNumberFormat="1" applyFont="1"/>
    <xf numFmtId="172" fontId="10" fillId="0" borderId="0" xfId="4" applyNumberFormat="1" applyFont="1"/>
    <xf numFmtId="0" fontId="12" fillId="5" borderId="2" xfId="0" applyFont="1" applyFill="1" applyBorder="1" applyAlignment="1">
      <alignment horizontal="right" indent="1"/>
    </xf>
    <xf numFmtId="0" fontId="8" fillId="0" borderId="0" xfId="0" applyFont="1" applyAlignment="1">
      <alignment horizontal="right" indent="1"/>
    </xf>
    <xf numFmtId="0" fontId="12" fillId="2" borderId="1" xfId="0" applyFont="1" applyFill="1" applyBorder="1" applyAlignment="1">
      <alignment horizontal="right" indent="1"/>
    </xf>
    <xf numFmtId="171" fontId="8" fillId="0" borderId="0" xfId="0" applyNumberFormat="1" applyFont="1" applyAlignment="1">
      <alignment horizontal="right" indent="1"/>
    </xf>
    <xf numFmtId="171" fontId="12" fillId="2" borderId="1" xfId="0" applyNumberFormat="1" applyFont="1" applyFill="1" applyBorder="1" applyAlignment="1">
      <alignment horizontal="right" indent="1"/>
    </xf>
    <xf numFmtId="171" fontId="12" fillId="5" borderId="2" xfId="0" applyNumberFormat="1" applyFont="1" applyFill="1" applyBorder="1" applyAlignment="1">
      <alignment horizontal="right" indent="1"/>
    </xf>
    <xf numFmtId="173" fontId="8" fillId="0" borderId="0" xfId="0" applyNumberFormat="1" applyFont="1" applyAlignment="1">
      <alignment horizontal="right" indent="1"/>
    </xf>
    <xf numFmtId="174" fontId="8" fillId="0" borderId="0" xfId="0" applyNumberFormat="1" applyFont="1" applyAlignment="1">
      <alignment horizontal="right" indent="1"/>
    </xf>
    <xf numFmtId="175" fontId="10" fillId="0" borderId="0" xfId="4" applyNumberFormat="1" applyAlignment="1">
      <alignment horizontal="right"/>
    </xf>
    <xf numFmtId="172" fontId="8" fillId="0" borderId="0" xfId="0" applyNumberFormat="1" applyFont="1" applyAlignment="1">
      <alignment horizontal="right" indent="1"/>
    </xf>
    <xf numFmtId="172" fontId="12" fillId="2" borderId="1" xfId="0" applyNumberFormat="1" applyFont="1" applyFill="1" applyBorder="1" applyAlignment="1">
      <alignment horizontal="right" indent="1"/>
    </xf>
    <xf numFmtId="172" fontId="12" fillId="5" borderId="2" xfId="0" applyNumberFormat="1" applyFont="1" applyFill="1" applyBorder="1" applyAlignment="1">
      <alignment horizontal="right" indent="1"/>
    </xf>
    <xf numFmtId="176" fontId="13" fillId="0" borderId="0" xfId="4" applyNumberFormat="1" applyFont="1" applyAlignment="1">
      <alignment horizontal="right"/>
    </xf>
    <xf numFmtId="177" fontId="13" fillId="0" borderId="0" xfId="4" applyNumberFormat="1" applyFont="1" applyAlignment="1">
      <alignment horizontal="right"/>
    </xf>
    <xf numFmtId="0" fontId="10" fillId="0" borderId="0" xfId="1" applyFont="1"/>
    <xf numFmtId="0" fontId="10" fillId="0" borderId="0" xfId="1" applyFont="1" applyBorder="1"/>
    <xf numFmtId="0" fontId="13" fillId="0" borderId="12" xfId="4" applyFont="1" applyBorder="1"/>
    <xf numFmtId="0" fontId="13" fillId="0" borderId="12" xfId="1" applyFont="1" applyBorder="1"/>
    <xf numFmtId="0" fontId="10" fillId="0" borderId="12" xfId="1" applyFont="1" applyBorder="1"/>
    <xf numFmtId="0" fontId="13" fillId="0" borderId="12" xfId="1" applyFont="1" applyBorder="1" applyAlignment="1">
      <alignment horizontal="right"/>
    </xf>
    <xf numFmtId="0" fontId="11" fillId="0" borderId="0" xfId="4" applyFont="1" applyAlignment="1">
      <alignment horizontal="center"/>
    </xf>
    <xf numFmtId="0" fontId="11" fillId="4" borderId="0" xfId="4" applyFont="1" applyFill="1" applyAlignment="1">
      <alignment horizontal="center"/>
    </xf>
    <xf numFmtId="0" fontId="8" fillId="4" borderId="0" xfId="1" applyFont="1" applyFill="1"/>
    <xf numFmtId="0" fontId="11" fillId="0" borderId="0" xfId="5" quotePrefix="1" applyFont="1" applyBorder="1" applyAlignment="1" applyProtection="1">
      <alignment horizontal="left"/>
    </xf>
    <xf numFmtId="0" fontId="11" fillId="0" borderId="0" xfId="1" applyFont="1" applyBorder="1"/>
    <xf numFmtId="0" fontId="11" fillId="4" borderId="0" xfId="1" applyFont="1" applyFill="1" applyBorder="1"/>
    <xf numFmtId="0" fontId="11" fillId="4" borderId="0" xfId="2" applyFont="1" applyFill="1" applyBorder="1"/>
    <xf numFmtId="0" fontId="11" fillId="0" borderId="0" xfId="1" applyFont="1"/>
    <xf numFmtId="0" fontId="11" fillId="0" borderId="0" xfId="4" applyFont="1"/>
    <xf numFmtId="0" fontId="14" fillId="0" borderId="0" xfId="4" applyFont="1" applyBorder="1"/>
    <xf numFmtId="0" fontId="14" fillId="0" borderId="1" xfId="4" applyFont="1" applyBorder="1" applyAlignment="1">
      <alignment horizontal="left"/>
    </xf>
    <xf numFmtId="0" fontId="14" fillId="0" borderId="1" xfId="4" applyFont="1" applyBorder="1"/>
    <xf numFmtId="0" fontId="11" fillId="6" borderId="0" xfId="2" applyFont="1" applyFill="1"/>
    <xf numFmtId="4" fontId="14" fillId="7" borderId="0" xfId="2" applyNumberFormat="1" applyFont="1" applyFill="1"/>
    <xf numFmtId="0" fontId="11" fillId="0" borderId="0" xfId="1" applyFont="1" applyAlignment="1">
      <alignment horizontal="left"/>
    </xf>
    <xf numFmtId="0" fontId="11" fillId="0" borderId="0" xfId="4" applyFont="1" applyAlignment="1">
      <alignment horizontal="left"/>
    </xf>
    <xf numFmtId="0" fontId="11" fillId="4" borderId="0" xfId="1" applyFont="1" applyFill="1" applyAlignment="1">
      <alignment horizontal="left"/>
    </xf>
    <xf numFmtId="0" fontId="11" fillId="4" borderId="0" xfId="4" applyFont="1" applyFill="1" applyAlignment="1">
      <alignment horizontal="left"/>
    </xf>
    <xf numFmtId="0" fontId="7" fillId="0" borderId="0" xfId="0" applyFont="1"/>
    <xf numFmtId="0" fontId="0" fillId="0" borderId="0" xfId="0" quotePrefix="1"/>
    <xf numFmtId="0" fontId="14" fillId="6" borderId="0" xfId="2" applyFont="1" applyFill="1"/>
    <xf numFmtId="0" fontId="12" fillId="5" borderId="2" xfId="0" applyFont="1" applyFill="1" applyBorder="1" applyAlignment="1">
      <alignment horizontal="right" indent="2"/>
    </xf>
    <xf numFmtId="0" fontId="8" fillId="0" borderId="0" xfId="0" applyFont="1" applyAlignment="1">
      <alignment horizontal="right" indent="2"/>
    </xf>
    <xf numFmtId="0" fontId="12" fillId="2" borderId="1" xfId="0" applyFont="1" applyFill="1" applyBorder="1" applyAlignment="1">
      <alignment horizontal="right" indent="2"/>
    </xf>
    <xf numFmtId="0" fontId="14" fillId="2" borderId="12" xfId="2" applyFont="1" applyFill="1" applyBorder="1"/>
    <xf numFmtId="0" fontId="23" fillId="0" borderId="0" xfId="0" applyFont="1" applyAlignment="1">
      <alignment horizontal="right" indent="2"/>
    </xf>
    <xf numFmtId="174" fontId="23" fillId="8" borderId="0" xfId="0" applyNumberFormat="1" applyFont="1" applyFill="1" applyAlignment="1">
      <alignment horizontal="right" indent="2"/>
    </xf>
    <xf numFmtId="173" fontId="23" fillId="8" borderId="0" xfId="0" applyNumberFormat="1" applyFont="1" applyFill="1" applyAlignment="1">
      <alignment horizontal="right" indent="2"/>
    </xf>
    <xf numFmtId="171" fontId="23" fillId="8" borderId="0" xfId="0" applyNumberFormat="1" applyFont="1" applyFill="1" applyAlignment="1">
      <alignment horizontal="right" indent="2"/>
    </xf>
    <xf numFmtId="173" fontId="8" fillId="0" borderId="0" xfId="0" applyNumberFormat="1" applyFont="1" applyAlignment="1">
      <alignment horizontal="center"/>
    </xf>
    <xf numFmtId="0" fontId="14" fillId="3" borderId="5" xfId="4" applyFont="1" applyFill="1" applyBorder="1" applyAlignment="1">
      <alignment horizontal="right"/>
    </xf>
    <xf numFmtId="0" fontId="14" fillId="3" borderId="7" xfId="2" applyFont="1" applyFill="1" applyBorder="1" applyAlignment="1">
      <alignment horizontal="right"/>
    </xf>
    <xf numFmtId="0" fontId="14" fillId="3" borderId="9" xfId="2" applyFont="1" applyFill="1" applyBorder="1" applyAlignment="1">
      <alignment horizontal="right"/>
    </xf>
    <xf numFmtId="179" fontId="10" fillId="0" borderId="4" xfId="4" applyNumberFormat="1" applyFont="1" applyBorder="1" applyAlignment="1">
      <alignment horizontal="right"/>
    </xf>
    <xf numFmtId="172" fontId="10" fillId="0" borderId="4" xfId="4" applyNumberFormat="1" applyFont="1" applyBorder="1" applyAlignment="1">
      <alignment horizontal="right"/>
    </xf>
    <xf numFmtId="172" fontId="10" fillId="0" borderId="5" xfId="4" applyNumberFormat="1" applyFont="1" applyBorder="1" applyAlignment="1">
      <alignment horizontal="right"/>
    </xf>
    <xf numFmtId="179" fontId="10" fillId="4" borderId="0" xfId="4" applyNumberFormat="1" applyFont="1" applyFill="1" applyBorder="1" applyAlignment="1">
      <alignment horizontal="right"/>
    </xf>
    <xf numFmtId="172" fontId="10" fillId="4" borderId="0" xfId="4" applyNumberFormat="1" applyFont="1" applyFill="1" applyBorder="1" applyAlignment="1">
      <alignment horizontal="right"/>
    </xf>
    <xf numFmtId="172" fontId="10" fillId="4" borderId="7" xfId="4" applyNumberFormat="1" applyFont="1" applyFill="1" applyBorder="1" applyAlignment="1">
      <alignment horizontal="right"/>
    </xf>
    <xf numFmtId="179" fontId="10" fillId="0" borderId="0" xfId="4" applyNumberFormat="1" applyFont="1" applyBorder="1" applyAlignment="1">
      <alignment horizontal="right"/>
    </xf>
    <xf numFmtId="179" fontId="10" fillId="0" borderId="7" xfId="4" applyNumberFormat="1" applyFont="1" applyBorder="1" applyAlignment="1">
      <alignment horizontal="right"/>
    </xf>
    <xf numFmtId="172" fontId="10" fillId="0" borderId="0" xfId="4" applyNumberFormat="1" applyFont="1" applyBorder="1" applyAlignment="1">
      <alignment horizontal="right"/>
    </xf>
    <xf numFmtId="172" fontId="10" fillId="0" borderId="7" xfId="4" applyNumberFormat="1" applyFont="1" applyBorder="1" applyAlignment="1">
      <alignment horizontal="right"/>
    </xf>
    <xf numFmtId="179" fontId="10" fillId="0" borderId="1" xfId="4" applyNumberFormat="1" applyFont="1" applyBorder="1" applyAlignment="1">
      <alignment horizontal="right"/>
    </xf>
    <xf numFmtId="172" fontId="10" fillId="0" borderId="1" xfId="4" applyNumberFormat="1" applyFont="1" applyBorder="1" applyAlignment="1">
      <alignment horizontal="right"/>
    </xf>
    <xf numFmtId="172" fontId="10" fillId="0" borderId="9" xfId="4" applyNumberFormat="1" applyFont="1" applyBorder="1" applyAlignment="1">
      <alignment horizontal="right"/>
    </xf>
    <xf numFmtId="0" fontId="13" fillId="0" borderId="4" xfId="4" applyFont="1" applyBorder="1" applyAlignment="1">
      <alignment horizontal="right"/>
    </xf>
    <xf numFmtId="0" fontId="10" fillId="0" borderId="4" xfId="4" applyBorder="1" applyAlignment="1">
      <alignment horizontal="right"/>
    </xf>
    <xf numFmtId="0" fontId="10" fillId="0" borderId="5" xfId="4" applyBorder="1" applyAlignment="1">
      <alignment horizontal="right"/>
    </xf>
    <xf numFmtId="180" fontId="10" fillId="40" borderId="0" xfId="4" applyNumberFormat="1" applyFont="1" applyFill="1" applyBorder="1" applyAlignment="1">
      <alignment horizontal="right"/>
    </xf>
    <xf numFmtId="180" fontId="10" fillId="40" borderId="7" xfId="4" applyNumberFormat="1" applyFont="1" applyFill="1" applyBorder="1" applyAlignment="1">
      <alignment horizontal="right"/>
    </xf>
    <xf numFmtId="0" fontId="10" fillId="0" borderId="0" xfId="4" applyAlignment="1">
      <alignment horizontal="left" indent="1"/>
    </xf>
    <xf numFmtId="0" fontId="10" fillId="3" borderId="3" xfId="4" applyFill="1" applyBorder="1" applyAlignment="1">
      <alignment horizontal="left" indent="1"/>
    </xf>
    <xf numFmtId="0" fontId="10" fillId="3" borderId="6" xfId="4" applyFill="1" applyBorder="1" applyAlignment="1">
      <alignment horizontal="left" indent="1"/>
    </xf>
    <xf numFmtId="0" fontId="13" fillId="3" borderId="8" xfId="4" applyFont="1" applyFill="1" applyBorder="1" applyAlignment="1">
      <alignment horizontal="left" indent="1"/>
    </xf>
    <xf numFmtId="0" fontId="13" fillId="2" borderId="10" xfId="4" applyFont="1" applyFill="1" applyBorder="1" applyAlignment="1">
      <alignment horizontal="left" indent="1"/>
    </xf>
    <xf numFmtId="0" fontId="13" fillId="3" borderId="3" xfId="4" applyFont="1" applyFill="1" applyBorder="1" applyAlignment="1">
      <alignment horizontal="left" indent="1"/>
    </xf>
    <xf numFmtId="0" fontId="16" fillId="0" borderId="3" xfId="4" applyFont="1" applyBorder="1" applyAlignment="1">
      <alignment horizontal="left" indent="1"/>
    </xf>
    <xf numFmtId="0" fontId="16" fillId="40" borderId="6" xfId="4" applyFont="1" applyFill="1" applyBorder="1" applyAlignment="1">
      <alignment horizontal="left" indent="1"/>
    </xf>
    <xf numFmtId="0" fontId="16" fillId="0" borderId="6" xfId="4" applyFont="1" applyBorder="1" applyAlignment="1">
      <alignment horizontal="left" indent="1"/>
    </xf>
    <xf numFmtId="0" fontId="16" fillId="40" borderId="8" xfId="4" applyFont="1" applyFill="1" applyBorder="1" applyAlignment="1">
      <alignment horizontal="left" indent="1"/>
    </xf>
    <xf numFmtId="0" fontId="16" fillId="4" borderId="6" xfId="4" applyFont="1" applyFill="1" applyBorder="1" applyAlignment="1">
      <alignment horizontal="left" indent="1"/>
    </xf>
    <xf numFmtId="0" fontId="16" fillId="0" borderId="8" xfId="4" applyFont="1" applyBorder="1" applyAlignment="1">
      <alignment horizontal="left" indent="1"/>
    </xf>
    <xf numFmtId="0" fontId="13" fillId="2" borderId="2" xfId="4" applyFont="1" applyFill="1" applyBorder="1" applyAlignment="1"/>
    <xf numFmtId="0" fontId="13" fillId="2" borderId="11" xfId="4" applyFont="1" applyFill="1" applyBorder="1" applyAlignment="1"/>
    <xf numFmtId="0" fontId="10" fillId="5" borderId="8" xfId="4" applyFill="1" applyBorder="1"/>
    <xf numFmtId="0" fontId="10" fillId="5" borderId="1" xfId="4" applyFill="1" applyBorder="1"/>
    <xf numFmtId="0" fontId="10" fillId="5" borderId="9" xfId="4" applyFill="1" applyBorder="1"/>
    <xf numFmtId="0" fontId="10" fillId="67" borderId="6" xfId="4" applyFill="1" applyBorder="1"/>
    <xf numFmtId="0" fontId="10" fillId="67" borderId="0" xfId="4" applyFill="1" applyBorder="1"/>
    <xf numFmtId="0" fontId="10" fillId="67" borderId="7" xfId="4" applyFill="1" applyBorder="1"/>
    <xf numFmtId="0" fontId="10" fillId="68" borderId="3" xfId="4" applyFill="1" applyBorder="1"/>
    <xf numFmtId="0" fontId="10" fillId="68" borderId="4" xfId="4" applyFill="1" applyBorder="1"/>
    <xf numFmtId="0" fontId="10" fillId="68" borderId="5" xfId="4" applyFill="1" applyBorder="1"/>
    <xf numFmtId="0" fontId="65" fillId="0" borderId="10" xfId="4" applyFont="1" applyBorder="1" applyAlignment="1">
      <alignment vertical="center"/>
    </xf>
    <xf numFmtId="0" fontId="65" fillId="0" borderId="2" xfId="4" applyFont="1" applyBorder="1" applyAlignment="1">
      <alignment vertical="center"/>
    </xf>
    <xf numFmtId="0" fontId="65" fillId="0" borderId="11" xfId="4" applyFont="1" applyBorder="1" applyAlignment="1">
      <alignment vertical="center"/>
    </xf>
    <xf numFmtId="0" fontId="66" fillId="68" borderId="4" xfId="4" applyFont="1" applyFill="1" applyBorder="1"/>
    <xf numFmtId="0" fontId="66" fillId="67" borderId="0" xfId="4" applyFont="1" applyFill="1" applyBorder="1"/>
    <xf numFmtId="0" fontId="66" fillId="5" borderId="1" xfId="4" applyFont="1" applyFill="1" applyBorder="1"/>
    <xf numFmtId="186" fontId="65" fillId="0" borderId="2" xfId="4" applyNumberFormat="1" applyFont="1" applyBorder="1" applyAlignment="1">
      <alignment horizontal="left" vertical="center"/>
    </xf>
    <xf numFmtId="0" fontId="12" fillId="0" borderId="0" xfId="0" applyFont="1"/>
    <xf numFmtId="0" fontId="13" fillId="0" borderId="1" xfId="4" applyFont="1" applyBorder="1"/>
    <xf numFmtId="0" fontId="14" fillId="5" borderId="1" xfId="1" applyFont="1" applyFill="1" applyBorder="1"/>
    <xf numFmtId="0" fontId="14" fillId="5" borderId="1" xfId="4" applyFont="1" applyFill="1" applyBorder="1"/>
    <xf numFmtId="0" fontId="67" fillId="0" borderId="0" xfId="4" applyFont="1" applyAlignment="1">
      <alignment horizontal="right" indent="2"/>
    </xf>
    <xf numFmtId="0" fontId="67" fillId="4" borderId="0" xfId="4" applyFont="1" applyFill="1" applyAlignment="1">
      <alignment horizontal="right" indent="2"/>
    </xf>
    <xf numFmtId="0" fontId="10" fillId="0" borderId="7" xfId="4" applyBorder="1" applyAlignment="1">
      <alignment horizontal="right"/>
    </xf>
    <xf numFmtId="187" fontId="10" fillId="4" borderId="0" xfId="4" applyNumberFormat="1" applyFont="1" applyFill="1" applyBorder="1" applyAlignment="1">
      <alignment horizontal="right"/>
    </xf>
    <xf numFmtId="187" fontId="10" fillId="0" borderId="4" xfId="4" applyNumberFormat="1" applyFont="1" applyBorder="1" applyAlignment="1">
      <alignment horizontal="right"/>
    </xf>
    <xf numFmtId="187" fontId="10" fillId="0" borderId="0" xfId="4" applyNumberFormat="1" applyFont="1" applyBorder="1" applyAlignment="1">
      <alignment horizontal="right"/>
    </xf>
    <xf numFmtId="0" fontId="10" fillId="0" borderId="0" xfId="4" applyBorder="1" applyAlignment="1">
      <alignment horizontal="right"/>
    </xf>
    <xf numFmtId="187" fontId="10" fillId="0" borderId="1" xfId="4" applyNumberFormat="1" applyFont="1" applyBorder="1" applyAlignment="1">
      <alignment horizontal="right"/>
    </xf>
    <xf numFmtId="0" fontId="14" fillId="3" borderId="0" xfId="4" applyFont="1" applyFill="1" applyBorder="1" applyAlignment="1">
      <alignment horizontal="right"/>
    </xf>
    <xf numFmtId="0" fontId="14" fillId="3" borderId="7" xfId="4" applyFont="1" applyFill="1" applyBorder="1" applyAlignment="1">
      <alignment horizontal="right"/>
    </xf>
    <xf numFmtId="0" fontId="14" fillId="3" borderId="1" xfId="2" applyFont="1" applyFill="1" applyBorder="1" applyAlignment="1">
      <alignment horizontal="right"/>
    </xf>
    <xf numFmtId="0" fontId="14" fillId="3" borderId="9" xfId="2" applyFont="1" applyFill="1" applyBorder="1" applyAlignment="1">
      <alignment horizontal="right"/>
    </xf>
    <xf numFmtId="0" fontId="14" fillId="3" borderId="0" xfId="2" applyFont="1" applyFill="1" applyBorder="1" applyAlignment="1">
      <alignment horizontal="right"/>
    </xf>
    <xf numFmtId="0" fontId="14" fillId="3" borderId="7" xfId="2" applyFont="1" applyFill="1" applyBorder="1" applyAlignment="1">
      <alignment horizontal="right"/>
    </xf>
    <xf numFmtId="0" fontId="12" fillId="0" borderId="4" xfId="0" applyFont="1" applyBorder="1"/>
    <xf numFmtId="0" fontId="12" fillId="0" borderId="0" xfId="0" applyFont="1" applyBorder="1"/>
    <xf numFmtId="0" fontId="12" fillId="0" borderId="1" xfId="0" applyFont="1" applyBorder="1"/>
    <xf numFmtId="188" fontId="8" fillId="0" borderId="0" xfId="0" applyNumberFormat="1" applyFont="1" applyBorder="1"/>
    <xf numFmtId="189" fontId="23" fillId="0" borderId="0" xfId="0" applyNumberFormat="1" applyFont="1" applyFill="1" applyAlignment="1">
      <alignment horizontal="right" indent="2"/>
    </xf>
    <xf numFmtId="0" fontId="23" fillId="0" borderId="0" xfId="0" applyFont="1"/>
    <xf numFmtId="173" fontId="23" fillId="8" borderId="0" xfId="0" applyNumberFormat="1" applyFont="1" applyFill="1" applyAlignment="1">
      <alignment horizontal="center"/>
    </xf>
    <xf numFmtId="191" fontId="13" fillId="0" borderId="0" xfId="4" applyNumberFormat="1" applyFont="1" applyAlignment="1">
      <alignment horizontal="right"/>
    </xf>
    <xf numFmtId="192" fontId="13" fillId="0" borderId="0" xfId="4" applyNumberFormat="1" applyFont="1" applyAlignment="1">
      <alignment horizontal="right"/>
    </xf>
    <xf numFmtId="174" fontId="8" fillId="0" borderId="0" xfId="0" applyNumberFormat="1" applyFont="1"/>
    <xf numFmtId="0" fontId="12" fillId="5" borderId="2" xfId="0" applyFont="1" applyFill="1" applyBorder="1" applyAlignment="1">
      <alignment horizontal="center"/>
    </xf>
    <xf numFmtId="193" fontId="13" fillId="0" borderId="0" xfId="4" applyNumberFormat="1" applyFont="1" applyAlignment="1">
      <alignment horizontal="right"/>
    </xf>
    <xf numFmtId="194" fontId="13" fillId="0" borderId="0" xfId="4" applyNumberFormat="1" applyFont="1" applyAlignment="1">
      <alignment horizontal="right"/>
    </xf>
    <xf numFmtId="195" fontId="13" fillId="0" borderId="0" xfId="4" applyNumberFormat="1" applyFont="1" applyAlignment="1">
      <alignment horizontal="right"/>
    </xf>
    <xf numFmtId="188" fontId="8" fillId="0" borderId="0" xfId="0" applyNumberFormat="1" applyFont="1"/>
    <xf numFmtId="196" fontId="13" fillId="0" borderId="0" xfId="4" applyNumberFormat="1" applyFont="1" applyAlignment="1">
      <alignment horizontal="right"/>
    </xf>
    <xf numFmtId="197" fontId="10" fillId="0" borderId="0" xfId="4" applyNumberFormat="1" applyAlignment="1">
      <alignment horizontal="right"/>
    </xf>
    <xf numFmtId="198" fontId="10" fillId="0" borderId="0" xfId="4" applyNumberFormat="1" applyAlignment="1">
      <alignment horizontal="right"/>
    </xf>
    <xf numFmtId="199" fontId="10" fillId="0" borderId="0" xfId="4" applyNumberFormat="1" applyAlignment="1">
      <alignment horizontal="right"/>
    </xf>
    <xf numFmtId="171" fontId="8" fillId="0" borderId="0" xfId="0" applyNumberFormat="1" applyFont="1"/>
    <xf numFmtId="0" fontId="70" fillId="0" borderId="0" xfId="4" applyFont="1"/>
    <xf numFmtId="0" fontId="71" fillId="0" borderId="0" xfId="4" applyFont="1"/>
    <xf numFmtId="0" fontId="8" fillId="0" borderId="0" xfId="0" applyFont="1" applyAlignment="1">
      <alignment horizontal="right"/>
    </xf>
    <xf numFmtId="174" fontId="10" fillId="0" borderId="0" xfId="4" applyNumberFormat="1" applyAlignment="1">
      <alignment horizontal="right"/>
    </xf>
    <xf numFmtId="0" fontId="13" fillId="0" borderId="0" xfId="4" applyFont="1" applyBorder="1"/>
    <xf numFmtId="0" fontId="65" fillId="0" borderId="1" xfId="4" applyFont="1" applyBorder="1" applyAlignment="1">
      <alignment horizontal="right"/>
    </xf>
    <xf numFmtId="0" fontId="13" fillId="0" borderId="1" xfId="4" applyFont="1" applyBorder="1" applyAlignment="1">
      <alignment horizontal="right"/>
    </xf>
    <xf numFmtId="174" fontId="10" fillId="0" borderId="0" xfId="4" applyNumberFormat="1"/>
    <xf numFmtId="201" fontId="10" fillId="0" borderId="0" xfId="4" applyNumberFormat="1" applyAlignment="1">
      <alignment horizontal="right"/>
    </xf>
    <xf numFmtId="202" fontId="10" fillId="0" borderId="0" xfId="4" applyNumberFormat="1" applyAlignment="1">
      <alignment horizontal="right"/>
    </xf>
    <xf numFmtId="203" fontId="10" fillId="0" borderId="0" xfId="4" applyNumberFormat="1" applyAlignment="1">
      <alignment horizontal="right"/>
    </xf>
    <xf numFmtId="179" fontId="10" fillId="0" borderId="0" xfId="4" applyNumberFormat="1"/>
    <xf numFmtId="200" fontId="10" fillId="0" borderId="0" xfId="4" applyNumberFormat="1"/>
    <xf numFmtId="204" fontId="10" fillId="0" borderId="0" xfId="4" applyNumberFormat="1"/>
    <xf numFmtId="2" fontId="10" fillId="0" borderId="0" xfId="4" applyNumberFormat="1"/>
    <xf numFmtId="0" fontId="67" fillId="0" borderId="0" xfId="4" applyFont="1"/>
    <xf numFmtId="174" fontId="67" fillId="0" borderId="0" xfId="4" applyNumberFormat="1" applyFont="1" applyAlignment="1">
      <alignment horizontal="right"/>
    </xf>
    <xf numFmtId="0" fontId="67" fillId="0" borderId="0" xfId="4" applyFont="1" applyAlignment="1">
      <alignment horizontal="right"/>
    </xf>
    <xf numFmtId="203" fontId="67" fillId="0" borderId="0" xfId="4" applyNumberFormat="1" applyFont="1" applyAlignment="1">
      <alignment horizontal="right"/>
    </xf>
    <xf numFmtId="172" fontId="10" fillId="0" borderId="0" xfId="4" applyNumberFormat="1" applyAlignment="1">
      <alignment horizontal="right"/>
    </xf>
    <xf numFmtId="172" fontId="67" fillId="0" borderId="0" xfId="4" applyNumberFormat="1" applyFont="1" applyAlignment="1">
      <alignment horizontal="right"/>
    </xf>
    <xf numFmtId="205" fontId="13" fillId="0" borderId="0" xfId="4" applyNumberFormat="1" applyFont="1" applyAlignment="1">
      <alignment horizontal="right"/>
    </xf>
    <xf numFmtId="173" fontId="10" fillId="0" borderId="0" xfId="4" applyNumberFormat="1" applyAlignment="1">
      <alignment horizontal="right"/>
    </xf>
    <xf numFmtId="174" fontId="13" fillId="0" borderId="1" xfId="4" applyNumberFormat="1" applyFont="1" applyBorder="1" applyAlignment="1">
      <alignment horizontal="right"/>
    </xf>
    <xf numFmtId="0" fontId="65" fillId="4" borderId="1" xfId="4" applyFont="1" applyFill="1" applyBorder="1" applyAlignment="1">
      <alignment horizontal="right"/>
    </xf>
    <xf numFmtId="0" fontId="13" fillId="4" borderId="1" xfId="4" applyFont="1" applyFill="1" applyBorder="1" applyAlignment="1">
      <alignment horizontal="right"/>
    </xf>
    <xf numFmtId="174" fontId="13" fillId="4" borderId="1" xfId="4" applyNumberFormat="1" applyFont="1" applyFill="1" applyBorder="1" applyAlignment="1">
      <alignment horizontal="right"/>
    </xf>
    <xf numFmtId="179" fontId="72" fillId="4" borderId="0" xfId="4" applyNumberFormat="1" applyFont="1" applyFill="1" applyAlignment="1">
      <alignment horizontal="right"/>
    </xf>
    <xf numFmtId="203" fontId="10" fillId="4" borderId="0" xfId="4" applyNumberFormat="1" applyFill="1" applyAlignment="1">
      <alignment horizontal="right"/>
    </xf>
    <xf numFmtId="0" fontId="65" fillId="69" borderId="1" xfId="4" applyFont="1" applyFill="1" applyBorder="1" applyAlignment="1">
      <alignment horizontal="right"/>
    </xf>
    <xf numFmtId="0" fontId="13" fillId="69" borderId="1" xfId="4" applyFont="1" applyFill="1" applyBorder="1" applyAlignment="1">
      <alignment horizontal="right"/>
    </xf>
    <xf numFmtId="174" fontId="13" fillId="69" borderId="1" xfId="4" applyNumberFormat="1" applyFont="1" applyFill="1" applyBorder="1" applyAlignment="1">
      <alignment horizontal="right"/>
    </xf>
    <xf numFmtId="203" fontId="10" fillId="69" borderId="0" xfId="4" applyNumberFormat="1" applyFill="1" applyAlignment="1">
      <alignment horizontal="right"/>
    </xf>
    <xf numFmtId="0" fontId="65" fillId="40" borderId="1" xfId="4" applyFont="1" applyFill="1" applyBorder="1" applyAlignment="1">
      <alignment horizontal="right"/>
    </xf>
    <xf numFmtId="0" fontId="13" fillId="40" borderId="1" xfId="4" applyFont="1" applyFill="1" applyBorder="1" applyAlignment="1">
      <alignment horizontal="right"/>
    </xf>
    <xf numFmtId="174" fontId="13" fillId="40" borderId="1" xfId="4" applyNumberFormat="1" applyFont="1" applyFill="1" applyBorder="1" applyAlignment="1">
      <alignment horizontal="right"/>
    </xf>
    <xf numFmtId="203" fontId="10" fillId="40" borderId="0" xfId="4" applyNumberFormat="1" applyFill="1" applyAlignment="1">
      <alignment horizontal="right"/>
    </xf>
    <xf numFmtId="174" fontId="10" fillId="69" borderId="0" xfId="4" applyNumberFormat="1" applyFill="1" applyAlignment="1">
      <alignment horizontal="right"/>
    </xf>
    <xf numFmtId="9" fontId="10" fillId="0" borderId="0" xfId="326" applyFont="1" applyAlignment="1">
      <alignment horizontal="right"/>
    </xf>
    <xf numFmtId="9" fontId="67" fillId="0" borderId="0" xfId="326" applyFont="1" applyAlignment="1">
      <alignment horizontal="right"/>
    </xf>
    <xf numFmtId="0" fontId="13" fillId="0" borderId="0" xfId="4" applyFont="1"/>
    <xf numFmtId="0" fontId="14" fillId="5" borderId="4" xfId="4" applyFont="1" applyFill="1" applyBorder="1" applyAlignment="1">
      <alignment horizontal="right"/>
    </xf>
    <xf numFmtId="179" fontId="10" fillId="40" borderId="0" xfId="4" applyNumberFormat="1" applyFont="1" applyFill="1" applyBorder="1" applyAlignment="1">
      <alignment horizontal="right"/>
    </xf>
    <xf numFmtId="179" fontId="10" fillId="40" borderId="7" xfId="4" applyNumberFormat="1" applyFont="1" applyFill="1" applyBorder="1" applyAlignment="1">
      <alignment horizontal="right"/>
    </xf>
    <xf numFmtId="179" fontId="10" fillId="40" borderId="1" xfId="4" applyNumberFormat="1" applyFont="1" applyFill="1" applyBorder="1" applyAlignment="1">
      <alignment horizontal="right"/>
    </xf>
    <xf numFmtId="179" fontId="10" fillId="40" borderId="9" xfId="4" applyNumberFormat="1" applyFont="1" applyFill="1" applyBorder="1" applyAlignment="1">
      <alignment horizontal="right"/>
    </xf>
    <xf numFmtId="172" fontId="10" fillId="40" borderId="0" xfId="4" applyNumberFormat="1" applyFont="1" applyFill="1" applyBorder="1" applyAlignment="1">
      <alignment horizontal="right"/>
    </xf>
    <xf numFmtId="172" fontId="10" fillId="40" borderId="7" xfId="4" applyNumberFormat="1" applyFont="1" applyFill="1" applyBorder="1" applyAlignment="1">
      <alignment horizontal="right"/>
    </xf>
    <xf numFmtId="172" fontId="10" fillId="40" borderId="1" xfId="4" applyNumberFormat="1" applyFont="1" applyFill="1" applyBorder="1" applyAlignment="1">
      <alignment horizontal="right"/>
    </xf>
    <xf numFmtId="172" fontId="10" fillId="40" borderId="9" xfId="4" applyNumberFormat="1" applyFont="1" applyFill="1" applyBorder="1" applyAlignment="1">
      <alignment horizontal="right"/>
    </xf>
    <xf numFmtId="171" fontId="10" fillId="0" borderId="0" xfId="4" applyNumberFormat="1"/>
    <xf numFmtId="0" fontId="23" fillId="0" borderId="3" xfId="0" applyFont="1" applyBorder="1"/>
    <xf numFmtId="173" fontId="23" fillId="8" borderId="4" xfId="0" applyNumberFormat="1" applyFont="1" applyFill="1" applyBorder="1" applyAlignment="1">
      <alignment horizontal="right" indent="2"/>
    </xf>
    <xf numFmtId="173" fontId="8" fillId="0" borderId="4" xfId="0" applyNumberFormat="1" applyFont="1" applyBorder="1" applyAlignment="1">
      <alignment horizontal="right" indent="1"/>
    </xf>
    <xf numFmtId="0" fontId="8" fillId="0" borderId="4" xfId="1" applyFont="1" applyBorder="1"/>
    <xf numFmtId="0" fontId="8" fillId="0" borderId="8" xfId="0" applyFont="1" applyBorder="1"/>
    <xf numFmtId="206" fontId="8" fillId="0" borderId="1" xfId="0" applyNumberFormat="1" applyFont="1" applyBorder="1" applyAlignment="1">
      <alignment horizontal="right" indent="1"/>
    </xf>
    <xf numFmtId="207" fontId="13" fillId="0" borderId="0" xfId="4" applyNumberFormat="1" applyFont="1" applyAlignment="1">
      <alignment horizontal="right"/>
    </xf>
    <xf numFmtId="0" fontId="8" fillId="0" borderId="1" xfId="0" applyFont="1" applyBorder="1" applyAlignment="1">
      <alignment horizontal="right" indent="2"/>
    </xf>
    <xf numFmtId="2" fontId="8" fillId="0" borderId="0" xfId="0" applyNumberFormat="1" applyFont="1"/>
    <xf numFmtId="204" fontId="8" fillId="0" borderId="0" xfId="0" applyNumberFormat="1" applyFont="1"/>
    <xf numFmtId="174" fontId="10" fillId="0" borderId="0" xfId="326" applyNumberFormat="1" applyFont="1" applyAlignment="1">
      <alignment horizontal="right"/>
    </xf>
    <xf numFmtId="174" fontId="67" fillId="0" borderId="0" xfId="326" applyNumberFormat="1" applyFont="1" applyAlignment="1">
      <alignment horizontal="right"/>
    </xf>
    <xf numFmtId="198" fontId="10" fillId="0" borderId="0" xfId="4" applyNumberFormat="1"/>
    <xf numFmtId="0" fontId="10" fillId="4" borderId="0" xfId="4" applyFill="1"/>
    <xf numFmtId="171" fontId="10" fillId="4" borderId="0" xfId="4" applyNumberFormat="1" applyFill="1" applyAlignment="1">
      <alignment horizontal="right"/>
    </xf>
    <xf numFmtId="0" fontId="73" fillId="0" borderId="0" xfId="0" applyFont="1"/>
    <xf numFmtId="0" fontId="73" fillId="0" borderId="0" xfId="0" applyFont="1" applyAlignment="1">
      <alignment horizontal="right"/>
    </xf>
    <xf numFmtId="0" fontId="75" fillId="0" borderId="0" xfId="0" applyFont="1" applyAlignment="1">
      <alignment horizontal="right"/>
    </xf>
    <xf numFmtId="0" fontId="75" fillId="0" borderId="1" xfId="0" applyFont="1" applyBorder="1"/>
    <xf numFmtId="0" fontId="75" fillId="0" borderId="1" xfId="0" applyFont="1" applyBorder="1" applyAlignment="1">
      <alignment horizontal="right"/>
    </xf>
    <xf numFmtId="0" fontId="76" fillId="0" borderId="1" xfId="0" applyFont="1" applyBorder="1" applyAlignment="1">
      <alignment horizontal="right"/>
    </xf>
    <xf numFmtId="211" fontId="75" fillId="4" borderId="22" xfId="0" applyNumberFormat="1" applyFont="1" applyFill="1" applyBorder="1" applyAlignment="1">
      <alignment horizontal="right"/>
    </xf>
    <xf numFmtId="179" fontId="81" fillId="0" borderId="0" xfId="208" applyNumberFormat="1" applyFont="1" applyFill="1" applyBorder="1" applyAlignment="1">
      <alignment horizontal="left" wrapText="1" indent="2"/>
    </xf>
    <xf numFmtId="179" fontId="13" fillId="0" borderId="12" xfId="208" applyNumberFormat="1" applyFont="1" applyBorder="1"/>
    <xf numFmtId="201" fontId="75" fillId="40" borderId="0" xfId="0" applyNumberFormat="1" applyFont="1" applyFill="1" applyBorder="1" applyAlignment="1">
      <alignment horizontal="right"/>
    </xf>
    <xf numFmtId="189" fontId="73" fillId="0" borderId="9" xfId="0" applyNumberFormat="1" applyFont="1" applyBorder="1" applyAlignment="1">
      <alignment horizontal="right"/>
    </xf>
    <xf numFmtId="2" fontId="73" fillId="0" borderId="4" xfId="0" applyNumberFormat="1" applyFont="1" applyBorder="1" applyAlignment="1">
      <alignment horizontal="right"/>
    </xf>
    <xf numFmtId="0" fontId="75" fillId="0" borderId="3" xfId="0" applyFont="1" applyBorder="1"/>
    <xf numFmtId="0" fontId="75" fillId="0" borderId="10" xfId="0" applyFont="1" applyBorder="1"/>
    <xf numFmtId="0" fontId="75" fillId="0" borderId="5" xfId="0" applyFont="1" applyBorder="1" applyAlignment="1">
      <alignment horizontal="right"/>
    </xf>
    <xf numFmtId="179" fontId="10" fillId="0" borderId="0" xfId="329" applyNumberFormat="1"/>
    <xf numFmtId="0" fontId="73" fillId="0" borderId="8" xfId="0" applyFont="1" applyBorder="1"/>
    <xf numFmtId="0" fontId="73" fillId="0" borderId="1" xfId="0" applyFont="1" applyBorder="1"/>
    <xf numFmtId="173" fontId="73" fillId="0" borderId="1" xfId="0" applyNumberFormat="1" applyFont="1" applyBorder="1" applyAlignment="1">
      <alignment horizontal="right"/>
    </xf>
    <xf numFmtId="201" fontId="75" fillId="40" borderId="1" xfId="0" applyNumberFormat="1" applyFont="1" applyFill="1" applyBorder="1" applyAlignment="1">
      <alignment horizontal="right"/>
    </xf>
    <xf numFmtId="2" fontId="75" fillId="4" borderId="22" xfId="0" applyNumberFormat="1" applyFont="1" applyFill="1" applyBorder="1" applyAlignment="1">
      <alignment horizontal="right"/>
    </xf>
    <xf numFmtId="0" fontId="13" fillId="0" borderId="0" xfId="208" applyFont="1" applyAlignment="1">
      <alignment horizontal="right"/>
    </xf>
    <xf numFmtId="179" fontId="10" fillId="0" borderId="0" xfId="208" applyNumberFormat="1" applyBorder="1"/>
    <xf numFmtId="204" fontId="73" fillId="0" borderId="1" xfId="0" applyNumberFormat="1" applyFont="1" applyBorder="1" applyAlignment="1">
      <alignment horizontal="right"/>
    </xf>
    <xf numFmtId="189" fontId="73" fillId="0" borderId="7" xfId="0" applyNumberFormat="1" applyFont="1" applyBorder="1" applyAlignment="1">
      <alignment horizontal="right"/>
    </xf>
    <xf numFmtId="0" fontId="73" fillId="0" borderId="4" xfId="0" applyFont="1" applyBorder="1"/>
    <xf numFmtId="0" fontId="84" fillId="0" borderId="1" xfId="0" applyFont="1" applyBorder="1" applyAlignment="1">
      <alignment horizontal="right"/>
    </xf>
    <xf numFmtId="201" fontId="75" fillId="4" borderId="22" xfId="0" applyNumberFormat="1" applyFont="1" applyFill="1" applyBorder="1" applyAlignment="1">
      <alignment horizontal="right"/>
    </xf>
    <xf numFmtId="189" fontId="75" fillId="4" borderId="22" xfId="0" applyNumberFormat="1" applyFont="1" applyFill="1" applyBorder="1" applyAlignment="1">
      <alignment horizontal="right"/>
    </xf>
    <xf numFmtId="2" fontId="73" fillId="0" borderId="1" xfId="0" applyNumberFormat="1" applyFont="1" applyBorder="1" applyAlignment="1">
      <alignment horizontal="right"/>
    </xf>
    <xf numFmtId="173" fontId="73" fillId="0" borderId="0" xfId="0" applyNumberFormat="1" applyFont="1" applyBorder="1" applyAlignment="1">
      <alignment horizontal="right"/>
    </xf>
    <xf numFmtId="0" fontId="73" fillId="0" borderId="3" xfId="0" applyFont="1" applyBorder="1"/>
    <xf numFmtId="0" fontId="75" fillId="0" borderId="8" xfId="0" applyFont="1" applyBorder="1"/>
    <xf numFmtId="0" fontId="75" fillId="0" borderId="4" xfId="0" applyFont="1" applyBorder="1" applyAlignment="1">
      <alignment horizontal="right"/>
    </xf>
    <xf numFmtId="0" fontId="75" fillId="0" borderId="9" xfId="0" applyFont="1" applyBorder="1" applyAlignment="1">
      <alignment horizontal="right"/>
    </xf>
    <xf numFmtId="0" fontId="73" fillId="4" borderId="0" xfId="0" applyFont="1" applyFill="1" applyAlignment="1">
      <alignment horizontal="right"/>
    </xf>
    <xf numFmtId="0" fontId="13" fillId="2" borderId="10" xfId="208" applyFont="1" applyFill="1" applyBorder="1" applyAlignment="1">
      <alignment horizontal="left"/>
    </xf>
    <xf numFmtId="201" fontId="75" fillId="40" borderId="4" xfId="0" applyNumberFormat="1" applyFont="1" applyFill="1" applyBorder="1" applyAlignment="1">
      <alignment horizontal="right"/>
    </xf>
    <xf numFmtId="0" fontId="75" fillId="0" borderId="4" xfId="0" applyFont="1" applyBorder="1"/>
    <xf numFmtId="204" fontId="73" fillId="0" borderId="0" xfId="0" applyNumberFormat="1" applyFont="1" applyBorder="1" applyAlignment="1">
      <alignment horizontal="right"/>
    </xf>
    <xf numFmtId="2" fontId="73" fillId="0" borderId="0" xfId="0" applyNumberFormat="1" applyFont="1" applyBorder="1" applyAlignment="1">
      <alignment horizontal="right"/>
    </xf>
    <xf numFmtId="0" fontId="73" fillId="0" borderId="0" xfId="0" applyFont="1" applyBorder="1"/>
    <xf numFmtId="0" fontId="73" fillId="0" borderId="6" xfId="0" applyFont="1" applyBorder="1"/>
    <xf numFmtId="189" fontId="73" fillId="0" borderId="5" xfId="0" applyNumberFormat="1" applyFont="1" applyBorder="1" applyAlignment="1">
      <alignment horizontal="right"/>
    </xf>
    <xf numFmtId="173" fontId="73" fillId="0" borderId="4" xfId="0" applyNumberFormat="1" applyFont="1" applyBorder="1" applyAlignment="1">
      <alignment horizontal="right"/>
    </xf>
    <xf numFmtId="0" fontId="73" fillId="0" borderId="4" xfId="0" applyFont="1" applyBorder="1" applyAlignment="1">
      <alignment horizontal="right"/>
    </xf>
    <xf numFmtId="204" fontId="73" fillId="0" borderId="4" xfId="0" applyNumberFormat="1" applyFont="1" applyBorder="1" applyAlignment="1">
      <alignment horizontal="right"/>
    </xf>
    <xf numFmtId="0" fontId="73" fillId="0" borderId="0" xfId="0" applyFont="1" applyBorder="1" applyAlignment="1">
      <alignment horizontal="right"/>
    </xf>
    <xf numFmtId="0" fontId="73" fillId="0" borderId="1" xfId="0" applyFont="1" applyBorder="1" applyAlignment="1">
      <alignment horizontal="right"/>
    </xf>
    <xf numFmtId="0" fontId="75" fillId="0" borderId="11" xfId="0" applyFont="1" applyBorder="1" applyAlignment="1">
      <alignment horizontal="right"/>
    </xf>
    <xf numFmtId="0" fontId="75" fillId="0" borderId="2" xfId="0" applyFont="1" applyBorder="1" applyAlignment="1">
      <alignment horizontal="right"/>
    </xf>
    <xf numFmtId="0" fontId="75" fillId="0" borderId="2" xfId="0" applyFont="1" applyBorder="1"/>
    <xf numFmtId="0" fontId="10" fillId="0" borderId="0" xfId="329"/>
    <xf numFmtId="0" fontId="10" fillId="0" borderId="0" xfId="208"/>
    <xf numFmtId="0" fontId="78" fillId="70" borderId="0" xfId="208" applyFont="1" applyFill="1"/>
    <xf numFmtId="0" fontId="10" fillId="0" borderId="0" xfId="208" applyBorder="1"/>
    <xf numFmtId="0" fontId="10" fillId="0" borderId="12" xfId="208" applyBorder="1"/>
    <xf numFmtId="0" fontId="13" fillId="0" borderId="0" xfId="208" applyFont="1"/>
    <xf numFmtId="0" fontId="10" fillId="0" borderId="0" xfId="208" applyAlignment="1">
      <alignment horizontal="left" indent="2"/>
    </xf>
    <xf numFmtId="172" fontId="10" fillId="0" borderId="0" xfId="208" applyNumberFormat="1"/>
    <xf numFmtId="0" fontId="10" fillId="0" borderId="0" xfId="208" applyBorder="1" applyAlignment="1">
      <alignment horizontal="left" indent="2"/>
    </xf>
    <xf numFmtId="172" fontId="10" fillId="0" borderId="0" xfId="208" applyNumberFormat="1" applyBorder="1"/>
    <xf numFmtId="0" fontId="79" fillId="0" borderId="0" xfId="208" applyFont="1" applyBorder="1" applyAlignment="1">
      <alignment horizontal="left" wrapText="1" indent="2"/>
    </xf>
    <xf numFmtId="172" fontId="10" fillId="0" borderId="0" xfId="208" applyNumberFormat="1" applyFont="1" applyBorder="1"/>
    <xf numFmtId="0" fontId="13" fillId="0" borderId="12" xfId="208" applyFont="1" applyBorder="1"/>
    <xf numFmtId="0" fontId="81" fillId="0" borderId="0" xfId="208" applyFont="1" applyFill="1" applyBorder="1" applyAlignment="1">
      <alignment horizontal="left" indent="2"/>
    </xf>
    <xf numFmtId="171" fontId="81" fillId="0" borderId="0" xfId="208" applyNumberFormat="1" applyFont="1" applyFill="1" applyBorder="1"/>
    <xf numFmtId="0" fontId="13" fillId="0" borderId="0" xfId="208" applyFont="1" applyBorder="1" applyAlignment="1">
      <alignment horizontal="left" indent="2"/>
    </xf>
    <xf numFmtId="171" fontId="13" fillId="0" borderId="0" xfId="208" applyNumberFormat="1" applyFont="1"/>
    <xf numFmtId="0" fontId="13" fillId="0" borderId="0" xfId="208" applyFont="1" applyAlignment="1">
      <alignment horizontal="left" indent="2"/>
    </xf>
    <xf numFmtId="0" fontId="81" fillId="0" borderId="3" xfId="208" applyFont="1" applyFill="1" applyBorder="1"/>
    <xf numFmtId="208" fontId="81" fillId="0" borderId="5" xfId="208" applyNumberFormat="1" applyFont="1" applyFill="1" applyBorder="1" applyAlignment="1">
      <alignment horizontal="left" wrapText="1" indent="2"/>
    </xf>
    <xf numFmtId="0" fontId="81" fillId="0" borderId="8" xfId="208" applyFont="1" applyFill="1" applyBorder="1"/>
    <xf numFmtId="208" fontId="81" fillId="0" borderId="9" xfId="208" applyNumberFormat="1" applyFont="1" applyFill="1" applyBorder="1" applyAlignment="1">
      <alignment horizontal="left" wrapText="1" indent="2"/>
    </xf>
    <xf numFmtId="172" fontId="81" fillId="0" borderId="4" xfId="208" applyNumberFormat="1" applyFont="1" applyFill="1" applyBorder="1"/>
    <xf numFmtId="172" fontId="81" fillId="0" borderId="1" xfId="208" applyNumberFormat="1" applyFont="1" applyFill="1" applyBorder="1"/>
    <xf numFmtId="0" fontId="79" fillId="0" borderId="10" xfId="208" applyFont="1" applyBorder="1" applyAlignment="1">
      <alignment horizontal="left" wrapText="1" indent="2"/>
    </xf>
    <xf numFmtId="180" fontId="81" fillId="0" borderId="2" xfId="208" applyNumberFormat="1" applyFont="1" applyFill="1" applyBorder="1"/>
    <xf numFmtId="0" fontId="10" fillId="0" borderId="11" xfId="208" applyBorder="1"/>
    <xf numFmtId="0" fontId="10" fillId="0" borderId="10" xfId="208" applyFont="1" applyBorder="1" applyAlignment="1">
      <alignment horizontal="left" wrapText="1" indent="2"/>
    </xf>
    <xf numFmtId="0" fontId="13" fillId="0" borderId="2" xfId="208" applyFont="1" applyBorder="1"/>
    <xf numFmtId="0" fontId="80" fillId="0" borderId="10" xfId="208" applyFont="1" applyBorder="1" applyAlignment="1">
      <alignment horizontal="left" wrapText="1" indent="2"/>
    </xf>
    <xf numFmtId="171" fontId="81" fillId="0" borderId="2" xfId="208" applyNumberFormat="1" applyFont="1" applyFill="1" applyBorder="1"/>
    <xf numFmtId="172" fontId="81" fillId="0" borderId="2" xfId="208" applyNumberFormat="1" applyFont="1" applyFill="1" applyBorder="1"/>
    <xf numFmtId="0" fontId="77" fillId="0" borderId="0" xfId="208" applyFont="1" applyAlignment="1">
      <alignment horizontal="center"/>
    </xf>
    <xf numFmtId="209" fontId="77" fillId="0" borderId="0" xfId="208" applyNumberFormat="1" applyFont="1"/>
    <xf numFmtId="0" fontId="81" fillId="0" borderId="12" xfId="208" applyFont="1" applyBorder="1" applyAlignment="1">
      <alignment horizontal="left"/>
    </xf>
    <xf numFmtId="0" fontId="13" fillId="0" borderId="0" xfId="208" applyFont="1" applyAlignment="1">
      <alignment horizontal="center"/>
    </xf>
    <xf numFmtId="0" fontId="77" fillId="0" borderId="0" xfId="208" applyFont="1"/>
    <xf numFmtId="0" fontId="82" fillId="0" borderId="0" xfId="208" applyFont="1"/>
    <xf numFmtId="0" fontId="83" fillId="0" borderId="0" xfId="208" applyFont="1"/>
    <xf numFmtId="0" fontId="13" fillId="0" borderId="12" xfId="208" applyFont="1" applyBorder="1" applyAlignment="1">
      <alignment horizontal="right"/>
    </xf>
    <xf numFmtId="0" fontId="13" fillId="0" borderId="0" xfId="208" applyFont="1" applyBorder="1" applyAlignment="1">
      <alignment horizontal="right"/>
    </xf>
    <xf numFmtId="171" fontId="13" fillId="2" borderId="2" xfId="208" applyNumberFormat="1" applyFont="1" applyFill="1" applyBorder="1"/>
    <xf numFmtId="0" fontId="13" fillId="2" borderId="11" xfId="208" applyFont="1" applyFill="1" applyBorder="1"/>
    <xf numFmtId="0" fontId="10" fillId="0" borderId="3" xfId="208" applyBorder="1"/>
    <xf numFmtId="171" fontId="10" fillId="0" borderId="4" xfId="208" applyNumberFormat="1" applyBorder="1"/>
    <xf numFmtId="0" fontId="10" fillId="0" borderId="5" xfId="208" applyBorder="1"/>
    <xf numFmtId="0" fontId="10" fillId="0" borderId="6" xfId="208" applyBorder="1"/>
    <xf numFmtId="171" fontId="10" fillId="0" borderId="0" xfId="208" applyNumberFormat="1" applyBorder="1"/>
    <xf numFmtId="0" fontId="10" fillId="0" borderId="7" xfId="208" applyBorder="1"/>
    <xf numFmtId="171" fontId="10" fillId="0" borderId="0" xfId="208" applyNumberFormat="1" applyFont="1" applyBorder="1"/>
    <xf numFmtId="179" fontId="10" fillId="0" borderId="0" xfId="208" applyNumberFormat="1" applyFont="1" applyBorder="1"/>
    <xf numFmtId="0" fontId="73" fillId="0" borderId="7" xfId="0" applyFont="1" applyBorder="1"/>
    <xf numFmtId="209" fontId="10" fillId="0" borderId="0" xfId="208" applyNumberFormat="1" applyFont="1" applyBorder="1"/>
    <xf numFmtId="210" fontId="10" fillId="0" borderId="0" xfId="208" applyNumberFormat="1" applyFont="1" applyBorder="1"/>
    <xf numFmtId="0" fontId="10" fillId="0" borderId="8" xfId="208" applyBorder="1"/>
    <xf numFmtId="180" fontId="10" fillId="0" borderId="1" xfId="208" applyNumberFormat="1" applyFont="1" applyBorder="1"/>
    <xf numFmtId="0" fontId="10" fillId="0" borderId="9" xfId="208" applyBorder="1"/>
    <xf numFmtId="212" fontId="73" fillId="0" borderId="0" xfId="0" applyNumberFormat="1" applyFont="1" applyAlignment="1">
      <alignment horizontal="right"/>
    </xf>
    <xf numFmtId="212" fontId="73" fillId="4" borderId="0" xfId="0" applyNumberFormat="1" applyFont="1" applyFill="1" applyAlignment="1">
      <alignment horizontal="right"/>
    </xf>
    <xf numFmtId="213" fontId="75" fillId="4" borderId="22" xfId="0" applyNumberFormat="1" applyFont="1" applyFill="1" applyBorder="1" applyAlignment="1">
      <alignment horizontal="right"/>
    </xf>
    <xf numFmtId="214" fontId="75" fillId="4" borderId="22" xfId="0" applyNumberFormat="1" applyFont="1" applyFill="1" applyBorder="1" applyAlignment="1">
      <alignment horizontal="right"/>
    </xf>
    <xf numFmtId="174" fontId="73" fillId="0" borderId="0" xfId="0" applyNumberFormat="1" applyFont="1"/>
    <xf numFmtId="0" fontId="75" fillId="0" borderId="6" xfId="0" applyFont="1" applyBorder="1" applyAlignment="1">
      <alignment horizontal="right"/>
    </xf>
    <xf numFmtId="0" fontId="75" fillId="0" borderId="3" xfId="0" applyFont="1" applyBorder="1" applyAlignment="1">
      <alignment horizontal="right"/>
    </xf>
    <xf numFmtId="187" fontId="73" fillId="0" borderId="0" xfId="0" applyNumberFormat="1" applyFont="1"/>
    <xf numFmtId="0" fontId="75" fillId="0" borderId="8" xfId="0" applyFont="1" applyBorder="1" applyAlignment="1">
      <alignment horizontal="right"/>
    </xf>
    <xf numFmtId="0" fontId="75" fillId="0" borderId="7" xfId="0" applyFont="1" applyBorder="1" applyAlignment="1">
      <alignment horizontal="right"/>
    </xf>
    <xf numFmtId="171" fontId="75" fillId="0" borderId="1" xfId="0" applyNumberFormat="1" applyFont="1" applyBorder="1" applyAlignment="1">
      <alignment horizontal="right"/>
    </xf>
    <xf numFmtId="171" fontId="75" fillId="0" borderId="0" xfId="0" applyNumberFormat="1" applyFont="1" applyBorder="1" applyAlignment="1">
      <alignment horizontal="right"/>
    </xf>
    <xf numFmtId="0" fontId="75" fillId="0" borderId="0" xfId="0" applyFont="1" applyBorder="1"/>
    <xf numFmtId="0" fontId="75" fillId="0" borderId="1" xfId="0" applyFont="1" applyBorder="1" applyAlignment="1">
      <alignment horizontal="center"/>
    </xf>
    <xf numFmtId="0" fontId="73" fillId="0" borderId="0" xfId="0" applyFont="1" applyAlignment="1">
      <alignment horizontal="center"/>
    </xf>
    <xf numFmtId="187" fontId="73" fillId="0" borderId="0" xfId="0" applyNumberFormat="1" applyFont="1" applyAlignment="1">
      <alignment horizontal="right"/>
    </xf>
    <xf numFmtId="0" fontId="73" fillId="0" borderId="0" xfId="0" applyFont="1"/>
    <xf numFmtId="0" fontId="75" fillId="0" borderId="1" xfId="0" applyFont="1" applyBorder="1" applyAlignment="1">
      <alignment horizontal="right"/>
    </xf>
    <xf numFmtId="0" fontId="73" fillId="0" borderId="0" xfId="0" applyFont="1" applyAlignment="1">
      <alignment horizontal="right"/>
    </xf>
    <xf numFmtId="173" fontId="73" fillId="0" borderId="0" xfId="0" applyNumberFormat="1" applyFont="1"/>
    <xf numFmtId="173" fontId="23" fillId="0" borderId="4" xfId="0" applyNumberFormat="1" applyFont="1" applyFill="1" applyBorder="1" applyAlignment="1">
      <alignment horizontal="right" indent="2"/>
    </xf>
    <xf numFmtId="169" fontId="67" fillId="0" borderId="0" xfId="326" applyNumberFormat="1" applyFont="1" applyAlignment="1">
      <alignment horizontal="right"/>
    </xf>
    <xf numFmtId="212" fontId="73" fillId="0" borderId="0" xfId="0" applyNumberFormat="1" applyFont="1"/>
    <xf numFmtId="253" fontId="73" fillId="0" borderId="0" xfId="0" applyNumberFormat="1" applyFont="1"/>
    <xf numFmtId="0" fontId="75" fillId="2" borderId="0" xfId="0" applyFont="1" applyFill="1"/>
    <xf numFmtId="0" fontId="75" fillId="2" borderId="0" xfId="0" applyFont="1" applyFill="1" applyAlignment="1">
      <alignment horizontal="center"/>
    </xf>
    <xf numFmtId="174" fontId="75" fillId="2" borderId="0" xfId="0" applyNumberFormat="1" applyFont="1" applyFill="1"/>
    <xf numFmtId="0" fontId="75" fillId="40" borderId="0" xfId="0" applyFont="1" applyFill="1"/>
    <xf numFmtId="0" fontId="75" fillId="40" borderId="0" xfId="0" applyFont="1" applyFill="1" applyAlignment="1">
      <alignment horizontal="center"/>
    </xf>
    <xf numFmtId="187" fontId="75" fillId="40" borderId="0" xfId="0" applyNumberFormat="1" applyFont="1" applyFill="1" applyAlignment="1">
      <alignment horizontal="right"/>
    </xf>
    <xf numFmtId="200" fontId="10" fillId="40" borderId="0" xfId="4" applyNumberFormat="1" applyFill="1" applyAlignment="1">
      <alignment horizontal="right"/>
    </xf>
    <xf numFmtId="187" fontId="75" fillId="40" borderId="0" xfId="0" applyNumberFormat="1" applyFont="1" applyFill="1"/>
    <xf numFmtId="204" fontId="75" fillId="2" borderId="0" xfId="0" applyNumberFormat="1" applyFont="1" applyFill="1"/>
    <xf numFmtId="255" fontId="8" fillId="0" borderId="0" xfId="0" applyNumberFormat="1" applyFont="1" applyAlignment="1">
      <alignment horizontal="right" indent="1"/>
    </xf>
    <xf numFmtId="254" fontId="75" fillId="2" borderId="0" xfId="0" applyNumberFormat="1" applyFont="1" applyFill="1"/>
    <xf numFmtId="209" fontId="10" fillId="0" borderId="4" xfId="4" applyNumberFormat="1" applyFont="1" applyBorder="1" applyAlignment="1">
      <alignment horizontal="right"/>
    </xf>
    <xf numFmtId="209" fontId="10" fillId="4" borderId="0" xfId="4" applyNumberFormat="1" applyFont="1" applyFill="1" applyBorder="1" applyAlignment="1">
      <alignment horizontal="right"/>
    </xf>
    <xf numFmtId="209" fontId="10" fillId="0" borderId="1" xfId="4" applyNumberFormat="1" applyFont="1" applyBorder="1" applyAlignment="1">
      <alignment horizontal="right"/>
    </xf>
    <xf numFmtId="174" fontId="154" fillId="0" borderId="3" xfId="0" applyNumberFormat="1" applyFont="1" applyBorder="1" applyAlignment="1">
      <alignment horizontal="right"/>
    </xf>
    <xf numFmtId="174" fontId="154" fillId="0" borderId="4" xfId="0" applyNumberFormat="1" applyFont="1" applyBorder="1" applyAlignment="1">
      <alignment horizontal="right"/>
    </xf>
    <xf numFmtId="174" fontId="154" fillId="0" borderId="5" xfId="0" applyNumberFormat="1" applyFont="1" applyBorder="1" applyAlignment="1">
      <alignment horizontal="right"/>
    </xf>
    <xf numFmtId="174" fontId="154" fillId="0" borderId="6" xfId="0" applyNumberFormat="1" applyFont="1" applyBorder="1" applyAlignment="1">
      <alignment horizontal="right"/>
    </xf>
    <xf numFmtId="174" fontId="154" fillId="0" borderId="0" xfId="0" applyNumberFormat="1" applyFont="1" applyBorder="1" applyAlignment="1">
      <alignment horizontal="right"/>
    </xf>
    <xf numFmtId="174" fontId="154" fillId="0" borderId="7" xfId="0" applyNumberFormat="1" applyFont="1" applyBorder="1" applyAlignment="1">
      <alignment horizontal="right"/>
    </xf>
    <xf numFmtId="174" fontId="154" fillId="0" borderId="8" xfId="0" applyNumberFormat="1" applyFont="1" applyBorder="1" applyAlignment="1">
      <alignment horizontal="right"/>
    </xf>
    <xf numFmtId="174" fontId="154" fillId="0" borderId="1" xfId="0" applyNumberFormat="1" applyFont="1" applyBorder="1" applyAlignment="1">
      <alignment horizontal="right"/>
    </xf>
    <xf numFmtId="174" fontId="154" fillId="0" borderId="9" xfId="0" applyNumberFormat="1" applyFont="1" applyBorder="1" applyAlignment="1">
      <alignment horizontal="right"/>
    </xf>
    <xf numFmtId="0" fontId="154" fillId="0" borderId="50" xfId="0" applyFont="1" applyBorder="1"/>
    <xf numFmtId="0" fontId="154" fillId="0" borderId="36" xfId="0" applyFont="1" applyBorder="1"/>
    <xf numFmtId="0" fontId="154" fillId="0" borderId="51" xfId="0" applyFont="1" applyBorder="1"/>
    <xf numFmtId="0" fontId="13" fillId="0" borderId="50" xfId="4" applyFont="1" applyBorder="1"/>
    <xf numFmtId="0" fontId="155" fillId="0" borderId="3" xfId="0" applyFont="1" applyBorder="1" applyAlignment="1">
      <alignment horizontal="right"/>
    </xf>
    <xf numFmtId="0" fontId="13" fillId="0" borderId="5" xfId="4" applyFont="1" applyBorder="1" applyAlignment="1">
      <alignment horizontal="right"/>
    </xf>
    <xf numFmtId="0" fontId="13" fillId="0" borderId="51" xfId="4" applyFont="1" applyBorder="1"/>
    <xf numFmtId="0" fontId="13" fillId="0" borderId="8" xfId="4" applyFont="1" applyBorder="1" applyAlignment="1">
      <alignment horizontal="right"/>
    </xf>
    <xf numFmtId="0" fontId="13" fillId="0" borderId="9" xfId="4" applyFont="1" applyBorder="1" applyAlignment="1">
      <alignment horizontal="right"/>
    </xf>
    <xf numFmtId="0" fontId="13" fillId="0" borderId="50" xfId="4" applyFont="1" applyFill="1" applyBorder="1" applyAlignment="1">
      <alignment horizontal="left"/>
    </xf>
    <xf numFmtId="0" fontId="14" fillId="0" borderId="51" xfId="2" applyFont="1" applyFill="1" applyBorder="1" applyAlignment="1">
      <alignment horizontal="left"/>
    </xf>
    <xf numFmtId="0" fontId="7" fillId="2" borderId="0" xfId="0" applyFont="1" applyFill="1"/>
    <xf numFmtId="203" fontId="154" fillId="0" borderId="5" xfId="0" applyNumberFormat="1" applyFont="1" applyBorder="1" applyAlignment="1">
      <alignment horizontal="right"/>
    </xf>
    <xf numFmtId="203" fontId="154" fillId="0" borderId="9" xfId="0" applyNumberFormat="1" applyFont="1" applyBorder="1" applyAlignment="1">
      <alignment horizontal="right"/>
    </xf>
    <xf numFmtId="0" fontId="14" fillId="5" borderId="3" xfId="4" applyFont="1" applyFill="1" applyBorder="1" applyAlignment="1">
      <alignment horizontal="left" indent="1"/>
    </xf>
    <xf numFmtId="0" fontId="14" fillId="5" borderId="5" xfId="4" applyFont="1" applyFill="1" applyBorder="1" applyAlignment="1">
      <alignment horizontal="right"/>
    </xf>
    <xf numFmtId="0" fontId="14" fillId="3" borderId="6" xfId="4" applyFont="1" applyFill="1" applyBorder="1" applyAlignment="1">
      <alignment horizontal="left" indent="1"/>
    </xf>
    <xf numFmtId="0" fontId="14" fillId="3" borderId="8" xfId="4" applyFont="1" applyFill="1" applyBorder="1" applyAlignment="1">
      <alignment horizontal="left" indent="1"/>
    </xf>
    <xf numFmtId="0" fontId="13" fillId="0" borderId="50" xfId="4" applyFont="1" applyFill="1" applyBorder="1" applyAlignment="1">
      <alignment horizontal="right"/>
    </xf>
    <xf numFmtId="0" fontId="13" fillId="0" borderId="51" xfId="4" applyFont="1" applyBorder="1" applyAlignment="1">
      <alignment horizontal="right"/>
    </xf>
    <xf numFmtId="174" fontId="10" fillId="0" borderId="50" xfId="4" applyNumberFormat="1" applyBorder="1"/>
    <xf numFmtId="174" fontId="10" fillId="0" borderId="36" xfId="4" applyNumberFormat="1" applyBorder="1"/>
    <xf numFmtId="174" fontId="10" fillId="0" borderId="51" xfId="4" applyNumberFormat="1" applyBorder="1"/>
    <xf numFmtId="0" fontId="0" fillId="2" borderId="0" xfId="0" applyFill="1"/>
    <xf numFmtId="0" fontId="10" fillId="2" borderId="0" xfId="4" applyFill="1"/>
    <xf numFmtId="256" fontId="154" fillId="0" borderId="3" xfId="0" applyNumberFormat="1" applyFont="1" applyBorder="1" applyAlignment="1">
      <alignment horizontal="right"/>
    </xf>
    <xf numFmtId="256" fontId="154" fillId="0" borderId="4" xfId="0" applyNumberFormat="1" applyFont="1" applyBorder="1" applyAlignment="1">
      <alignment horizontal="right"/>
    </xf>
    <xf numFmtId="256" fontId="154" fillId="0" borderId="8" xfId="0" applyNumberFormat="1" applyFont="1" applyBorder="1" applyAlignment="1">
      <alignment horizontal="right"/>
    </xf>
    <xf numFmtId="256" fontId="154" fillId="0" borderId="1" xfId="0" applyNumberFormat="1" applyFont="1" applyBorder="1" applyAlignment="1">
      <alignment horizontal="right"/>
    </xf>
    <xf numFmtId="172" fontId="13" fillId="0" borderId="0" xfId="4" applyNumberFormat="1" applyFont="1" applyBorder="1" applyAlignment="1">
      <alignment horizontal="right"/>
    </xf>
    <xf numFmtId="187" fontId="13" fillId="0" borderId="0" xfId="4" applyNumberFormat="1" applyFont="1" applyBorder="1" applyAlignment="1">
      <alignment horizontal="right"/>
    </xf>
    <xf numFmtId="172" fontId="13" fillId="0" borderId="7" xfId="4" applyNumberFormat="1" applyFont="1" applyBorder="1" applyAlignment="1">
      <alignment horizontal="right"/>
    </xf>
    <xf numFmtId="171" fontId="73" fillId="0" borderId="4" xfId="0" applyNumberFormat="1" applyFont="1" applyBorder="1" applyAlignment="1">
      <alignment horizontal="right"/>
    </xf>
    <xf numFmtId="171" fontId="73" fillId="0" borderId="5" xfId="0" applyNumberFormat="1" applyFont="1" applyBorder="1" applyAlignment="1">
      <alignment horizontal="right"/>
    </xf>
    <xf numFmtId="171" fontId="73" fillId="0" borderId="0" xfId="0" applyNumberFormat="1" applyFont="1" applyBorder="1" applyAlignment="1">
      <alignment horizontal="right"/>
    </xf>
    <xf numFmtId="171" fontId="73" fillId="0" borderId="7" xfId="0" applyNumberFormat="1" applyFont="1" applyBorder="1" applyAlignment="1">
      <alignment horizontal="right"/>
    </xf>
    <xf numFmtId="171" fontId="73" fillId="0" borderId="1" xfId="0" applyNumberFormat="1" applyFont="1" applyBorder="1" applyAlignment="1">
      <alignment horizontal="right"/>
    </xf>
    <xf numFmtId="171" fontId="73" fillId="0" borderId="9" xfId="0" applyNumberFormat="1" applyFont="1" applyBorder="1" applyAlignment="1">
      <alignment horizontal="right"/>
    </xf>
    <xf numFmtId="0" fontId="75" fillId="4" borderId="50" xfId="0" applyFont="1" applyFill="1" applyBorder="1" applyAlignment="1">
      <alignment horizontal="right"/>
    </xf>
    <xf numFmtId="257" fontId="75" fillId="4" borderId="3" xfId="0" applyNumberFormat="1" applyFont="1" applyFill="1" applyBorder="1" applyAlignment="1">
      <alignment horizontal="right"/>
    </xf>
    <xf numFmtId="257" fontId="75" fillId="4" borderId="4" xfId="0" applyNumberFormat="1" applyFont="1" applyFill="1" applyBorder="1" applyAlignment="1">
      <alignment horizontal="right"/>
    </xf>
    <xf numFmtId="257" fontId="75" fillId="4" borderId="5" xfId="0" applyNumberFormat="1" applyFont="1" applyFill="1" applyBorder="1" applyAlignment="1">
      <alignment horizontal="right"/>
    </xf>
    <xf numFmtId="258" fontId="75" fillId="4" borderId="51" xfId="0" applyNumberFormat="1" applyFont="1" applyFill="1" applyBorder="1" applyAlignment="1">
      <alignment horizontal="right"/>
    </xf>
    <xf numFmtId="258" fontId="75" fillId="4" borderId="8" xfId="0" applyNumberFormat="1" applyFont="1" applyFill="1" applyBorder="1" applyAlignment="1">
      <alignment horizontal="right"/>
    </xf>
    <xf numFmtId="258" fontId="75" fillId="4" borderId="1" xfId="0" applyNumberFormat="1" applyFont="1" applyFill="1" applyBorder="1" applyAlignment="1">
      <alignment horizontal="right"/>
    </xf>
    <xf numFmtId="258" fontId="75" fillId="4" borderId="9" xfId="0" applyNumberFormat="1" applyFont="1" applyFill="1" applyBorder="1" applyAlignment="1">
      <alignment horizontal="right"/>
    </xf>
    <xf numFmtId="187" fontId="73" fillId="0" borderId="3" xfId="0" applyNumberFormat="1" applyFont="1" applyBorder="1" applyAlignment="1">
      <alignment horizontal="right"/>
    </xf>
    <xf numFmtId="187" fontId="73" fillId="0" borderId="6" xfId="0" applyNumberFormat="1" applyFont="1" applyBorder="1" applyAlignment="1">
      <alignment horizontal="right"/>
    </xf>
    <xf numFmtId="187" fontId="73" fillId="0" borderId="8" xfId="0" applyNumberFormat="1" applyFont="1" applyBorder="1" applyAlignment="1">
      <alignment horizontal="right"/>
    </xf>
    <xf numFmtId="171" fontId="75" fillId="0" borderId="50" xfId="0" applyNumberFormat="1" applyFont="1" applyBorder="1" applyAlignment="1">
      <alignment horizontal="right"/>
    </xf>
    <xf numFmtId="171" fontId="75" fillId="0" borderId="36" xfId="0" applyNumberFormat="1" applyFont="1" applyBorder="1" applyAlignment="1">
      <alignment horizontal="right"/>
    </xf>
    <xf numFmtId="171" fontId="75" fillId="0" borderId="51" xfId="0" applyNumberFormat="1" applyFont="1" applyBorder="1" applyAlignment="1">
      <alignment horizontal="right"/>
    </xf>
    <xf numFmtId="0" fontId="75" fillId="120" borderId="50" xfId="0" applyFont="1" applyFill="1" applyBorder="1" applyAlignment="1">
      <alignment horizontal="right"/>
    </xf>
    <xf numFmtId="0" fontId="75" fillId="120" borderId="36" xfId="0" applyFont="1" applyFill="1" applyBorder="1" applyAlignment="1">
      <alignment horizontal="right"/>
    </xf>
    <xf numFmtId="0" fontId="75" fillId="120" borderId="51" xfId="0" applyFont="1" applyFill="1" applyBorder="1" applyAlignment="1">
      <alignment horizontal="right"/>
    </xf>
    <xf numFmtId="180" fontId="8" fillId="0" borderId="0" xfId="0" applyNumberFormat="1" applyFont="1" applyAlignment="1">
      <alignment horizontal="right" indent="1"/>
    </xf>
    <xf numFmtId="174" fontId="10" fillId="0" borderId="50" xfId="4" applyNumberFormat="1" applyBorder="1" applyAlignment="1">
      <alignment horizontal="right"/>
    </xf>
    <xf numFmtId="201" fontId="10" fillId="0" borderId="51" xfId="4" applyNumberFormat="1" applyBorder="1" applyAlignment="1">
      <alignment horizontal="right"/>
    </xf>
    <xf numFmtId="200" fontId="67" fillId="0" borderId="0" xfId="4" applyNumberFormat="1" applyFont="1" applyAlignment="1">
      <alignment horizontal="right"/>
    </xf>
    <xf numFmtId="200" fontId="10" fillId="0" borderId="0" xfId="326" applyNumberFormat="1" applyFont="1" applyAlignment="1">
      <alignment horizontal="right"/>
    </xf>
    <xf numFmtId="0" fontId="0" fillId="0" borderId="10" xfId="0" applyBorder="1"/>
    <xf numFmtId="174" fontId="10" fillId="0" borderId="2" xfId="4" applyNumberFormat="1" applyBorder="1" applyAlignment="1">
      <alignment horizontal="right"/>
    </xf>
    <xf numFmtId="203" fontId="10" fillId="0" borderId="11" xfId="4" applyNumberFormat="1" applyBorder="1" applyAlignment="1">
      <alignment horizontal="right"/>
    </xf>
    <xf numFmtId="179" fontId="156" fillId="0" borderId="0" xfId="4" applyNumberFormat="1" applyFont="1" applyBorder="1" applyAlignment="1">
      <alignment horizontal="right"/>
    </xf>
    <xf numFmtId="246" fontId="14" fillId="7" borderId="0" xfId="2" applyNumberFormat="1" applyFont="1" applyFill="1"/>
    <xf numFmtId="0" fontId="13" fillId="2" borderId="2" xfId="4" applyFont="1" applyFill="1" applyBorder="1" applyAlignment="1">
      <alignment horizontal="left" indent="1"/>
    </xf>
    <xf numFmtId="174" fontId="157" fillId="0" borderId="4" xfId="4" applyNumberFormat="1" applyFont="1" applyBorder="1" applyAlignment="1">
      <alignment horizontal="right" indent="1"/>
    </xf>
    <xf numFmtId="0" fontId="10" fillId="0" borderId="4" xfId="4" applyFont="1" applyBorder="1" applyAlignment="1">
      <alignment horizontal="right"/>
    </xf>
    <xf numFmtId="174" fontId="157" fillId="40" borderId="0" xfId="4" applyNumberFormat="1" applyFont="1" applyFill="1" applyBorder="1" applyAlignment="1">
      <alignment horizontal="right" indent="1"/>
    </xf>
    <xf numFmtId="174" fontId="157" fillId="0" borderId="0" xfId="4" applyNumberFormat="1" applyFont="1" applyBorder="1" applyAlignment="1">
      <alignment horizontal="right" indent="1"/>
    </xf>
    <xf numFmtId="174" fontId="157" fillId="40" borderId="1" xfId="4" applyNumberFormat="1" applyFont="1" applyFill="1" applyBorder="1" applyAlignment="1">
      <alignment horizontal="right" indent="1"/>
    </xf>
    <xf numFmtId="172" fontId="44" fillId="0" borderId="0" xfId="4" applyNumberFormat="1" applyFont="1" applyBorder="1" applyAlignment="1">
      <alignment horizontal="right"/>
    </xf>
    <xf numFmtId="172" fontId="44" fillId="0" borderId="7" xfId="4" applyNumberFormat="1" applyFont="1" applyBorder="1" applyAlignment="1">
      <alignment horizontal="right"/>
    </xf>
    <xf numFmtId="0" fontId="10" fillId="0" borderId="3" xfId="4" applyBorder="1" applyAlignment="1">
      <alignment horizontal="left" indent="1"/>
    </xf>
    <xf numFmtId="0" fontId="10" fillId="0" borderId="4" xfId="4" applyBorder="1" applyAlignment="1">
      <alignment horizontal="left" indent="1"/>
    </xf>
    <xf numFmtId="0" fontId="10" fillId="0" borderId="6" xfId="4" applyBorder="1" applyAlignment="1">
      <alignment horizontal="left" indent="1"/>
    </xf>
    <xf numFmtId="0" fontId="10" fillId="0" borderId="0" xfId="4" applyBorder="1" applyAlignment="1">
      <alignment horizontal="left" indent="1"/>
    </xf>
    <xf numFmtId="174" fontId="10" fillId="0" borderId="0" xfId="4" applyNumberFormat="1" applyBorder="1" applyAlignment="1">
      <alignment horizontal="right" indent="1"/>
    </xf>
    <xf numFmtId="174" fontId="10" fillId="0" borderId="7" xfId="4" applyNumberFormat="1" applyBorder="1" applyAlignment="1">
      <alignment horizontal="right" indent="1"/>
    </xf>
    <xf numFmtId="0" fontId="10" fillId="0" borderId="8" xfId="4" applyBorder="1" applyAlignment="1">
      <alignment horizontal="left" indent="1"/>
    </xf>
    <xf numFmtId="0" fontId="10" fillId="0" borderId="1" xfId="4" applyBorder="1" applyAlignment="1">
      <alignment horizontal="left" indent="1"/>
    </xf>
    <xf numFmtId="174" fontId="10" fillId="0" borderId="1" xfId="4" applyNumberFormat="1" applyBorder="1" applyAlignment="1">
      <alignment horizontal="right" indent="1"/>
    </xf>
    <xf numFmtId="174" fontId="10" fillId="0" borderId="9" xfId="4" applyNumberFormat="1" applyBorder="1" applyAlignment="1">
      <alignment horizontal="right" indent="1"/>
    </xf>
    <xf numFmtId="0" fontId="10" fillId="0" borderId="5" xfId="4" applyBorder="1" applyAlignment="1">
      <alignment horizontal="left" indent="1"/>
    </xf>
    <xf numFmtId="0" fontId="10" fillId="0" borderId="7" xfId="4" applyBorder="1" applyAlignment="1">
      <alignment horizontal="left" indent="1"/>
    </xf>
    <xf numFmtId="0" fontId="10" fillId="0" borderId="9" xfId="4" applyBorder="1" applyAlignment="1">
      <alignment horizontal="left" indent="1"/>
    </xf>
    <xf numFmtId="174" fontId="13" fillId="40" borderId="11" xfId="4" applyNumberFormat="1" applyFont="1" applyFill="1" applyBorder="1" applyAlignment="1">
      <alignment horizontal="right" indent="1"/>
    </xf>
    <xf numFmtId="172" fontId="10" fillId="0" borderId="4" xfId="4" applyNumberFormat="1" applyBorder="1" applyAlignment="1">
      <alignment horizontal="right" indent="1"/>
    </xf>
    <xf numFmtId="172" fontId="10" fillId="0" borderId="5" xfId="4" applyNumberFormat="1" applyBorder="1" applyAlignment="1">
      <alignment horizontal="right" indent="1"/>
    </xf>
    <xf numFmtId="172" fontId="10" fillId="0" borderId="1" xfId="4" applyNumberFormat="1" applyBorder="1" applyAlignment="1">
      <alignment horizontal="right" indent="1"/>
    </xf>
    <xf numFmtId="172" fontId="10" fillId="0" borderId="9" xfId="4" applyNumberFormat="1" applyBorder="1" applyAlignment="1">
      <alignment horizontal="right" indent="1"/>
    </xf>
    <xf numFmtId="201" fontId="10" fillId="0" borderId="1" xfId="4" applyNumberFormat="1" applyBorder="1" applyAlignment="1">
      <alignment horizontal="right" indent="1"/>
    </xf>
    <xf numFmtId="201" fontId="10" fillId="0" borderId="9" xfId="4" applyNumberFormat="1" applyBorder="1" applyAlignment="1">
      <alignment horizontal="right" indent="1"/>
    </xf>
    <xf numFmtId="0" fontId="13" fillId="0" borderId="0" xfId="4" applyFont="1" applyAlignment="1">
      <alignment horizontal="left" indent="1"/>
    </xf>
    <xf numFmtId="174" fontId="13" fillId="40" borderId="10" xfId="4" applyNumberFormat="1" applyFont="1" applyFill="1" applyBorder="1" applyAlignment="1">
      <alignment horizontal="right" indent="1"/>
    </xf>
    <xf numFmtId="174" fontId="13" fillId="40" borderId="2" xfId="4" applyNumberFormat="1" applyFont="1" applyFill="1" applyBorder="1" applyAlignment="1">
      <alignment horizontal="right" indent="1"/>
    </xf>
    <xf numFmtId="178" fontId="14" fillId="7" borderId="0" xfId="2" applyNumberFormat="1" applyFont="1" applyFill="1" applyBorder="1"/>
    <xf numFmtId="173" fontId="14" fillId="7" borderId="0" xfId="1" applyNumberFormat="1" applyFont="1" applyFill="1" applyBorder="1"/>
    <xf numFmtId="190" fontId="14" fillId="7" borderId="0" xfId="1" applyNumberFormat="1" applyFont="1" applyFill="1" applyBorder="1"/>
    <xf numFmtId="178" fontId="14" fillId="7" borderId="0" xfId="1" applyNumberFormat="1" applyFont="1" applyFill="1" applyBorder="1"/>
    <xf numFmtId="173" fontId="12" fillId="7" borderId="0" xfId="1" applyNumberFormat="1" applyFont="1" applyFill="1"/>
    <xf numFmtId="0" fontId="14" fillId="3" borderId="4" xfId="4" applyFont="1" applyFill="1" applyBorder="1" applyAlignment="1">
      <alignment horizontal="left" indent="1"/>
    </xf>
    <xf numFmtId="0" fontId="14" fillId="3" borderId="1" xfId="4" applyFont="1" applyFill="1" applyBorder="1" applyAlignment="1">
      <alignment horizontal="left" indent="1"/>
    </xf>
    <xf numFmtId="0" fontId="13" fillId="40" borderId="10" xfId="4" applyFont="1" applyFill="1" applyBorder="1" applyAlignment="1"/>
    <xf numFmtId="0" fontId="13" fillId="40" borderId="2" xfId="4" applyFont="1" applyFill="1" applyBorder="1" applyAlignment="1"/>
    <xf numFmtId="0" fontId="13" fillId="40" borderId="11" xfId="4" applyFont="1" applyFill="1" applyBorder="1" applyAlignment="1"/>
    <xf numFmtId="0" fontId="5" fillId="0" borderId="0" xfId="0" applyFont="1"/>
    <xf numFmtId="0" fontId="5" fillId="0" borderId="0" xfId="0" applyFont="1" applyAlignment="1">
      <alignment horizontal="center"/>
    </xf>
    <xf numFmtId="187" fontId="5" fillId="0" borderId="0" xfId="0" applyNumberFormat="1" applyFont="1"/>
    <xf numFmtId="173" fontId="5" fillId="0" borderId="0" xfId="0" applyNumberFormat="1" applyFont="1"/>
    <xf numFmtId="210" fontId="10" fillId="4" borderId="0" xfId="4" applyNumberFormat="1" applyFont="1" applyFill="1" applyBorder="1" applyAlignment="1">
      <alignment horizontal="right"/>
    </xf>
    <xf numFmtId="210" fontId="13" fillId="0" borderId="0" xfId="4" applyNumberFormat="1" applyFont="1" applyBorder="1" applyAlignment="1">
      <alignment horizontal="right"/>
    </xf>
    <xf numFmtId="210" fontId="10" fillId="0" borderId="0" xfId="4" applyNumberFormat="1" applyFont="1" applyBorder="1" applyAlignment="1">
      <alignment horizontal="right"/>
    </xf>
    <xf numFmtId="174" fontId="12" fillId="2" borderId="1" xfId="0" applyNumberFormat="1" applyFont="1" applyFill="1" applyBorder="1" applyAlignment="1">
      <alignment horizontal="right" indent="1"/>
    </xf>
    <xf numFmtId="10" fontId="8" fillId="0" borderId="0" xfId="0" applyNumberFormat="1" applyFont="1"/>
    <xf numFmtId="201" fontId="10" fillId="0" borderId="0" xfId="4" applyNumberFormat="1"/>
    <xf numFmtId="4" fontId="10" fillId="0" borderId="0" xfId="4" applyNumberFormat="1"/>
    <xf numFmtId="212" fontId="10" fillId="0" borderId="0" xfId="4" applyNumberFormat="1"/>
    <xf numFmtId="0" fontId="3" fillId="0" borderId="0" xfId="0" applyFont="1" applyAlignment="1">
      <alignment horizontal="right"/>
    </xf>
    <xf numFmtId="0" fontId="75" fillId="0" borderId="0" xfId="0" applyFont="1" applyBorder="1" applyAlignment="1">
      <alignment horizontal="right"/>
    </xf>
    <xf numFmtId="0" fontId="0" fillId="0" borderId="0" xfId="0" applyAlignment="1">
      <alignment horizontal="right"/>
    </xf>
    <xf numFmtId="174" fontId="0" fillId="0" borderId="0" xfId="0" applyNumberFormat="1"/>
    <xf numFmtId="2" fontId="0" fillId="0" borderId="0" xfId="0" applyNumberFormat="1"/>
    <xf numFmtId="0" fontId="2" fillId="0" borderId="0" xfId="0" applyFont="1"/>
    <xf numFmtId="174" fontId="2" fillId="0" borderId="0" xfId="0" applyNumberFormat="1" applyFont="1"/>
    <xf numFmtId="174" fontId="2" fillId="0" borderId="0" xfId="0" applyNumberFormat="1" applyFont="1" applyAlignment="1">
      <alignment horizontal="right"/>
    </xf>
    <xf numFmtId="0" fontId="159" fillId="0" borderId="0" xfId="0" applyFont="1"/>
    <xf numFmtId="0" fontId="160" fillId="0" borderId="10" xfId="0" applyFont="1" applyBorder="1" applyAlignment="1">
      <alignment horizontal="left"/>
    </xf>
    <xf numFmtId="0" fontId="160" fillId="0" borderId="2" xfId="0" applyFont="1" applyBorder="1" applyAlignment="1">
      <alignment horizontal="right"/>
    </xf>
    <xf numFmtId="259" fontId="73" fillId="0" borderId="0" xfId="0" applyNumberFormat="1" applyFont="1"/>
    <xf numFmtId="201" fontId="73" fillId="40" borderId="0" xfId="0" applyNumberFormat="1" applyFont="1" applyFill="1"/>
    <xf numFmtId="0" fontId="4" fillId="0" borderId="3" xfId="0" applyFont="1" applyBorder="1"/>
    <xf numFmtId="0" fontId="2" fillId="0" borderId="6" xfId="0" applyFont="1" applyBorder="1"/>
    <xf numFmtId="212" fontId="8" fillId="0" borderId="0" xfId="0" applyNumberFormat="1" applyFont="1"/>
    <xf numFmtId="174" fontId="160" fillId="0" borderId="11" xfId="0" applyNumberFormat="1" applyFont="1" applyBorder="1" applyAlignment="1">
      <alignment horizontal="center"/>
    </xf>
    <xf numFmtId="0" fontId="161" fillId="0" borderId="0" xfId="4" applyFont="1"/>
    <xf numFmtId="0" fontId="158" fillId="0" borderId="0" xfId="4" applyFont="1"/>
    <xf numFmtId="0" fontId="158" fillId="121" borderId="3" xfId="4" applyFont="1" applyFill="1" applyBorder="1"/>
    <xf numFmtId="0" fontId="158" fillId="121" borderId="4" xfId="4" applyFont="1" applyFill="1" applyBorder="1"/>
    <xf numFmtId="0" fontId="10" fillId="121" borderId="4" xfId="4" applyFill="1" applyBorder="1"/>
    <xf numFmtId="0" fontId="10" fillId="121" borderId="5" xfId="4" applyFill="1" applyBorder="1"/>
    <xf numFmtId="0" fontId="158" fillId="121" borderId="8" xfId="4" applyFont="1" applyFill="1" applyBorder="1"/>
    <xf numFmtId="0" fontId="158" fillId="121" borderId="1" xfId="4" applyFont="1" applyFill="1" applyBorder="1"/>
    <xf numFmtId="0" fontId="10" fillId="121" borderId="1" xfId="4" applyFill="1" applyBorder="1"/>
    <xf numFmtId="0" fontId="10" fillId="121" borderId="9" xfId="4" applyFill="1" applyBorder="1"/>
    <xf numFmtId="11" fontId="10" fillId="0" borderId="0" xfId="4" applyNumberFormat="1"/>
    <xf numFmtId="0" fontId="13" fillId="40" borderId="3" xfId="4" applyFont="1" applyFill="1" applyBorder="1" applyAlignment="1">
      <alignment horizontal="left" vertical="center" indent="1"/>
    </xf>
    <xf numFmtId="0" fontId="13" fillId="40" borderId="4" xfId="4" applyFont="1" applyFill="1" applyBorder="1" applyAlignment="1">
      <alignment horizontal="left" vertical="center" indent="1"/>
    </xf>
    <xf numFmtId="0" fontId="13" fillId="40" borderId="8" xfId="4" applyFont="1" applyFill="1" applyBorder="1" applyAlignment="1">
      <alignment horizontal="left" vertical="center" indent="1"/>
    </xf>
    <xf numFmtId="0" fontId="13" fillId="40" borderId="1" xfId="4" applyFont="1" applyFill="1" applyBorder="1" applyAlignment="1">
      <alignment horizontal="left" vertical="center" indent="1"/>
    </xf>
    <xf numFmtId="0" fontId="13" fillId="40" borderId="5" xfId="4" applyFont="1" applyFill="1" applyBorder="1" applyAlignment="1">
      <alignment horizontal="left" vertical="center" indent="1"/>
    </xf>
    <xf numFmtId="0" fontId="75" fillId="0" borderId="10" xfId="0" applyFont="1" applyBorder="1" applyAlignment="1">
      <alignment horizontal="center"/>
    </xf>
    <xf numFmtId="0" fontId="75" fillId="0" borderId="2" xfId="0" applyFont="1" applyBorder="1" applyAlignment="1">
      <alignment horizontal="center"/>
    </xf>
    <xf numFmtId="0" fontId="75" fillId="0" borderId="11" xfId="0" applyFont="1" applyBorder="1" applyAlignment="1">
      <alignment horizontal="center"/>
    </xf>
  </cellXfs>
  <cellStyles count="4532">
    <cellStyle name="_02 Evol Inver Amort y Obras en Curso SAL 2007" xfId="373"/>
    <cellStyle name="_02 Evol Inver Amort y Obras en Curso SAL 2007 2" xfId="374"/>
    <cellStyle name="_02 Evol Inver Amort y Obras en Curso SAN 2007" xfId="375"/>
    <cellStyle name="_02 Evol Inver Amort y Obras en Curso SAN 2007 2" xfId="376"/>
    <cellStyle name="_02 Resumen, detalle inversiones y dep 2007" xfId="377"/>
    <cellStyle name="_02 Resumen, detalle inversiones y dep 2007 2" xfId="378"/>
    <cellStyle name="_02 Resumen,detalle inver y dep SAL 2007" xfId="379"/>
    <cellStyle name="_03 ACTIVACION CAPEX Y OBRAS EN CURSO 2007" xfId="380"/>
    <cellStyle name="_03 ACTIVACION CAPEX Y OBRAS EN CURSO 2007 2" xfId="381"/>
    <cellStyle name="_03 ACTIVACION CAPEX Y OBRAS EN CURSO 2007 2 2" xfId="382"/>
    <cellStyle name="_03 ACTIVACION CAPEX Y OBRAS EN CURSO 2007 2 2 2" xfId="383"/>
    <cellStyle name="_03 ACTIVACION CAPEX Y OBRAS EN CURSO 2007 2 3" xfId="384"/>
    <cellStyle name="_03 ACTIVACION CAPEX Y OBRAS EN CURSO 2007 2_20110401_SAL_Rev#1_ PTP 2011" xfId="385"/>
    <cellStyle name="_03 ACTIVACION CAPEX Y OBRAS EN CURSO 2007 2_20110401_SAN_Rev#1_ PTP 2012" xfId="386"/>
    <cellStyle name="_03 ACTIVACION CAPEX Y OBRAS EN CURSO 2007 2_20110401_SAN_Rev#2_ PTP 2012" xfId="387"/>
    <cellStyle name="_03 ACTIVACION CAPEX Y OBRAS EN CURSO 2007 2_PERF SAL101i" xfId="388"/>
    <cellStyle name="_03 ACTIVACION CAPEX Y OBRAS EN CURSO 2007 2_PERF SAL16" xfId="389"/>
    <cellStyle name="_03 ACTIVACION CAPEX Y OBRAS EN CURSO 2007 2_PERF SBL101i" xfId="390"/>
    <cellStyle name="_03 ACTIVACION CAPEX Y OBRAS EN CURSO 2007 2_REENTRY SAL X11" xfId="391"/>
    <cellStyle name="_03 ACTIVACION CAPEX Y OBRAS EN CURSO 2007 2_TERM REENTRY SAL X11" xfId="392"/>
    <cellStyle name="_03 ACTIVACION CAPEX Y OBRAS EN CURSO 2007 2_TERM SBL101i" xfId="393"/>
    <cellStyle name="_03 ACTIVACION CAPEX Y OBRAS EN CURSO 2007 3" xfId="394"/>
    <cellStyle name="_03 ACTIVACION CAPEX Y OBRAS EN CURSO 2007_20110401_SAL_Rev#1_ PTP 2011" xfId="395"/>
    <cellStyle name="_03 ACTIVACION CAPEX Y OBRAS EN CURSO 2007_20110401_SAN_Rev#1_ PTP 2012" xfId="396"/>
    <cellStyle name="_03 ACTIVACION CAPEX Y OBRAS EN CURSO 2007_DESCARTE AGUA" xfId="397"/>
    <cellStyle name="_03 ACTIVACION CAPEX Y OBRAS EN CURSO 2007_DESCARTE AGUA 2" xfId="398"/>
    <cellStyle name="_03 ACTIVACION CAPEX Y OBRAS EN CURSO 2007_DNCR T-03 TOTAL" xfId="399"/>
    <cellStyle name="_03 ACTIVACION CAPEX Y OBRAS EN CURSO 2007_DNCR-AUX-01-SEG." xfId="400"/>
    <cellStyle name="_03 ACTIVACION CAPEX Y OBRAS EN CURSO 2007_DNCR-AUX-01-SEG._DNCR T-03 TOTAL" xfId="401"/>
    <cellStyle name="_03 ACTIVACION CAPEX Y OBRAS EN CURSO 2007_DNCR-AUX-01-SEG._FORM. DNCR T-03 2008" xfId="402"/>
    <cellStyle name="_03 ACTIVACION CAPEX Y OBRAS EN CURSO 2007_FORM. DNCR T-03 2008" xfId="403"/>
    <cellStyle name="_03 ACTIVACION CAPEX Y OBRAS EN CURSO 2007_PERF SAL101i" xfId="404"/>
    <cellStyle name="_03 ACTIVACION CAPEX Y OBRAS EN CURSO 2007_PERF SAL16" xfId="405"/>
    <cellStyle name="_03 ACTIVACION CAPEX Y OBRAS EN CURSO 2007_REENTRY SAL X11" xfId="406"/>
    <cellStyle name="_03 ACTIVACION CAPEX Y OBRAS EN CURSO 2007_Revisión Seguros 2008_ DNCR-AUX-01-SEG" xfId="407"/>
    <cellStyle name="_03 ACTIVACION CAPEX Y OBRAS EN CURSO 2007_Revisión Seguros 2008_ DNCR-AUX-01-SEG_DNCR T-03 TOTAL" xfId="408"/>
    <cellStyle name="_03 ACTIVACION CAPEX Y OBRAS EN CURSO 2007_Revisión Seguros 2008_ DNCR-AUX-01-SEG_FORM. DNCR T-03 2008" xfId="409"/>
    <cellStyle name="_03 ACTIVACION CAPEX Y OBRAS EN CURSO 2007_Seguro médico" xfId="410"/>
    <cellStyle name="_03 ACTIVACION CAPEX Y OBRAS EN CURSO 2007_Seguro médico_DNCR T-03 TOTAL" xfId="411"/>
    <cellStyle name="_03 ACTIVACION CAPEX Y OBRAS EN CURSO 2007_Seguro médico_FORM. DNCR T-03 2008" xfId="412"/>
    <cellStyle name="_03 ACTIVACION CAPEX Y OBRAS EN CURSO 2007_Seguros" xfId="413"/>
    <cellStyle name="_03 ACTIVACION CAPEX Y OBRAS EN CURSO 2007_TERM REENTRY SAL X11" xfId="414"/>
    <cellStyle name="_2 Evol Inver Amort y Obras en Curso BG 2007" xfId="415"/>
    <cellStyle name="_2 Evol Inver Amort y Obras en Curso SAL 2007" xfId="416"/>
    <cellStyle name="_2 Evol Inver Amort y Obras en Curso SAL 2007 2" xfId="417"/>
    <cellStyle name="_20 centralizador Capex BGL mayo dic-2007" xfId="418"/>
    <cellStyle name="_20 centralizador Capex BGL mayo dic-2007_20 Revis Costos Recup BG may dic-2007 VER 2" xfId="419"/>
    <cellStyle name="_20 centralizador Capex BGL mayo dic-2007_20 Revis Costos Recup BG may dic-2007 VER 2_DNCR T-03 TOTAL" xfId="420"/>
    <cellStyle name="_20 centralizador Capex BGL mayo dic-2007_20 Revis Costos Recup BG may dic-2007 VER 2_DNCR-AUX-01-SEG." xfId="421"/>
    <cellStyle name="_20 centralizador Capex BGL mayo dic-2007_20 Revis Costos Recup BG may dic-2007 VER 2_DNCR-AUX-01-SEG._DNCR T-03 TOTAL" xfId="422"/>
    <cellStyle name="_20 centralizador Capex BGL mayo dic-2007_20 Revis Costos Recup BG may dic-2007 VER 2_DNCR-AUX-01-SEG._FORM. DNCR T-03 2008" xfId="423"/>
    <cellStyle name="_20 centralizador Capex BGL mayo dic-2007_20 Revis Costos Recup BG may dic-2007 VER 2_FORM. DNCR T-03 2008" xfId="424"/>
    <cellStyle name="_20 centralizador Capex BGL mayo dic-2007_20 Revis Costos Recup BG may dic-2007 VER 2_Revisión Seguros 2008_ DNCR-AUX-01-SEG" xfId="425"/>
    <cellStyle name="_20 centralizador Capex BGL mayo dic-2007_20 Revis Costos Recup BG may dic-2007 VER 2_Revisión Seguros 2008_ DNCR-AUX-01-SEG_DNCR T-03 TOTAL" xfId="426"/>
    <cellStyle name="_20 centralizador Capex BGL mayo dic-2007_20 Revis Costos Recup BG may dic-2007 VER 2_Revisión Seguros 2008_ DNCR-AUX-01-SEG_FORM. DNCR T-03 2008" xfId="427"/>
    <cellStyle name="_20 centralizador Capex BGL mayo dic-2007_20 Revis Costos Recup BG may dic-2007 VER 2_Seguro médico" xfId="428"/>
    <cellStyle name="_20 centralizador Capex BGL mayo dic-2007_20 Revis Costos Recup BG may dic-2007 VER 2_Seguro médico_DNCR T-03 TOTAL" xfId="429"/>
    <cellStyle name="_20 centralizador Capex BGL mayo dic-2007_20 Revis Costos Recup BG may dic-2007 VER 2_Seguro médico_FORM. DNCR T-03 2008" xfId="430"/>
    <cellStyle name="_20 centralizador Capex BGL mayo dic-2007_20 REVIS COSTOS RECUP PESA may dic-2007 VER 2" xfId="431"/>
    <cellStyle name="_20 centralizador Capex BGL mayo dic-2007_20 REVIS COSTOS RECUP PESA may dic-2007 VER 2_DNCR T-03 TOTAL" xfId="432"/>
    <cellStyle name="_20 centralizador Capex BGL mayo dic-2007_20 REVIS COSTOS RECUP PESA may dic-2007 VER 2_FORM. DNCR T-03 2008" xfId="433"/>
    <cellStyle name="_20 centralizador Capex BGL mayo dic-2007_DNCR T-03 TOTAL" xfId="434"/>
    <cellStyle name="_20 centralizador Capex BGL mayo dic-2007_DNCR-AUX-01-SEG." xfId="435"/>
    <cellStyle name="_20 centralizador Capex BGL mayo dic-2007_DNCR-AUX-01-SEG._DNCR T-03 TOTAL" xfId="436"/>
    <cellStyle name="_20 centralizador Capex BGL mayo dic-2007_DNCR-AUX-01-SEG._FORM. DNCR T-03 2008" xfId="437"/>
    <cellStyle name="_20 centralizador Capex BGL mayo dic-2007_FORM. DNCR T-03 2008" xfId="438"/>
    <cellStyle name="_20 centralizador Capex BGL mayo dic-2007_Revisión Seguros 2008_ DNCR-AUX-01-SEG" xfId="439"/>
    <cellStyle name="_20 centralizador Capex BGL mayo dic-2007_Revisión Seguros 2008_ DNCR-AUX-01-SEG_DNCR T-03 TOTAL" xfId="440"/>
    <cellStyle name="_20 centralizador Capex BGL mayo dic-2007_Revisión Seguros 2008_ DNCR-AUX-01-SEG_FORM. DNCR T-03 2008" xfId="441"/>
    <cellStyle name="_20 centralizador Capex BGL mayo dic-2007_Seguro médico" xfId="442"/>
    <cellStyle name="_20 centralizador Capex BGL mayo dic-2007_Seguro médico_DNCR T-03 TOTAL" xfId="443"/>
    <cellStyle name="_20 centralizador Capex BGL mayo dic-2007_Seguro médico_FORM. DNCR T-03 2008" xfId="444"/>
    <cellStyle name="_20 centralizador Capex BGL mayo dic-2007_Seguros" xfId="445"/>
    <cellStyle name="_20 centralizador Capex BGL mayo dic-2007_SEGUROS PEB MAY DIC 07" xfId="446"/>
    <cellStyle name="_20 centralizador Capex BGL mayo dic-2007_SEGUROS PEB MAY DIC 07_20 Revis Costos Recup BG may dic-2007 VER 2" xfId="447"/>
    <cellStyle name="_20 centralizador Capex BGL mayo dic-2007_SEGUROS PEB MAY DIC 07_20 Revis Costos Recup BG may dic-2007 VER 2_DNCR T-03 TOTAL" xfId="448"/>
    <cellStyle name="_20 centralizador Capex BGL mayo dic-2007_SEGUROS PEB MAY DIC 07_20 Revis Costos Recup BG may dic-2007 VER 2_FORM. DNCR T-03 2008" xfId="449"/>
    <cellStyle name="_20 centralizador Capex BGL mayo dic-2007_SEGUROS PEB MAY DIC 07_DNCR T-03 TOTAL" xfId="450"/>
    <cellStyle name="_20 centralizador Capex BGL mayo dic-2007_SEGUROS PEB MAY DIC 07_DNCR-AUX-01-SEG." xfId="451"/>
    <cellStyle name="_20 centralizador Capex BGL mayo dic-2007_SEGUROS PEB MAY DIC 07_DNCR-AUX-01-SEG._DNCR T-03 TOTAL" xfId="452"/>
    <cellStyle name="_20 centralizador Capex BGL mayo dic-2007_SEGUROS PEB MAY DIC 07_DNCR-AUX-01-SEG._FORM. DNCR T-03 2008" xfId="453"/>
    <cellStyle name="_20 centralizador Capex BGL mayo dic-2007_SEGUROS PEB MAY DIC 07_FORM. DNCR T-03 2008" xfId="454"/>
    <cellStyle name="_20 centralizador Capex BGL mayo dic-2007_SEGUROS PEB MAY DIC 07_Revisión Seguros 2008_ DNCR-AUX-01-SEG" xfId="455"/>
    <cellStyle name="_20 centralizador Capex BGL mayo dic-2007_SEGUROS PEB MAY DIC 07_Revisión Seguros 2008_ DNCR-AUX-01-SEG_DNCR T-03 TOTAL" xfId="456"/>
    <cellStyle name="_20 centralizador Capex BGL mayo dic-2007_SEGUROS PEB MAY DIC 07_Revisión Seguros 2008_ DNCR-AUX-01-SEG_FORM. DNCR T-03 2008" xfId="457"/>
    <cellStyle name="_20 centralizador Capex BGL mayo dic-2007_SEGUROS PEB MAY DIC 07_Seguro médico" xfId="458"/>
    <cellStyle name="_20 centralizador Capex BGL mayo dic-2007_SEGUROS PEB MAY DIC 07_Seguro médico_DNCR T-03 TOTAL" xfId="459"/>
    <cellStyle name="_20 centralizador Capex BGL mayo dic-2007_SEGUROS PEB MAY DIC 07_Seguro médico_FORM. DNCR T-03 2008" xfId="460"/>
    <cellStyle name="_20 centralizador Capex BGL mayo dic-2007_seguros PEB v. final 2" xfId="461"/>
    <cellStyle name="_20 centralizador Capex BGL mayo dic-2007_seguros PEB v. final 2_DNCR T-03 TOTAL" xfId="462"/>
    <cellStyle name="_20 centralizador Capex BGL mayo dic-2007_seguros PEB v. final 2_DNCR-AUX-01-SEG." xfId="463"/>
    <cellStyle name="_20 centralizador Capex BGL mayo dic-2007_seguros PEB v. final 2_DNCR-AUX-01-SEG._DNCR T-03 TOTAL" xfId="464"/>
    <cellStyle name="_20 centralizador Capex BGL mayo dic-2007_seguros PEB v. final 2_DNCR-AUX-01-SEG._FORM. DNCR T-03 2008" xfId="465"/>
    <cellStyle name="_20 centralizador Capex BGL mayo dic-2007_seguros PEB v. final 2_FORM. DNCR T-03 2008" xfId="466"/>
    <cellStyle name="_20 centralizador Capex BGL mayo dic-2007_seguros PEB v. final 2_Revisión Seguros 2008_ DNCR-AUX-01-SEG" xfId="467"/>
    <cellStyle name="_20 centralizador Capex BGL mayo dic-2007_seguros PEB v. final 2_Revisión Seguros 2008_ DNCR-AUX-01-SEG_DNCR T-03 TOTAL" xfId="468"/>
    <cellStyle name="_20 centralizador Capex BGL mayo dic-2007_seguros PEB v. final 2_Revisión Seguros 2008_ DNCR-AUX-01-SEG_FORM. DNCR T-03 2008" xfId="469"/>
    <cellStyle name="_20 centralizador Capex BGL mayo dic-2007_seguros PEB v. final 2_Seguro médico" xfId="470"/>
    <cellStyle name="_20 centralizador Capex BGL mayo dic-2007_seguros PEB v. final 2_Seguro médico_DNCR T-03 TOTAL" xfId="471"/>
    <cellStyle name="_20 centralizador Capex BGL mayo dic-2007_seguros PEB v. final 2_Seguro médico_FORM. DNCR T-03 2008" xfId="472"/>
    <cellStyle name="_20 centralizador Capex SAL mayo jul-2007" xfId="473"/>
    <cellStyle name="_20 centralizador Capex SAL mayo jul-2007 2" xfId="474"/>
    <cellStyle name="_20 centralizador Capex SAL mayo jul-2007 2 2" xfId="475"/>
    <cellStyle name="_20 centralizador Capex SAL mayo jul-2007 2 2 2" xfId="476"/>
    <cellStyle name="_20 centralizador Capex SAL mayo jul-2007 2 3" xfId="477"/>
    <cellStyle name="_20 centralizador Capex SAL mayo jul-2007 2_20110401_SAL_Rev#1_ PTP 2011" xfId="478"/>
    <cellStyle name="_20 centralizador Capex SAL mayo jul-2007 2_20110401_SAN_Rev#1_ PTP 2012" xfId="479"/>
    <cellStyle name="_20 centralizador Capex SAL mayo jul-2007 2_20110401_SAN_Rev#2_ PTP 2012" xfId="480"/>
    <cellStyle name="_20 centralizador Capex SAL mayo jul-2007 2_PERF SAL101i" xfId="481"/>
    <cellStyle name="_20 centralizador Capex SAL mayo jul-2007 2_PERF SAL16" xfId="482"/>
    <cellStyle name="_20 centralizador Capex SAL mayo jul-2007 2_PERF SBL101i" xfId="483"/>
    <cellStyle name="_20 centralizador Capex SAL mayo jul-2007 2_REENTRY SAL X11" xfId="484"/>
    <cellStyle name="_20 centralizador Capex SAL mayo jul-2007 2_TERM REENTRY SAL X11" xfId="485"/>
    <cellStyle name="_20 centralizador Capex SAL mayo jul-2007 2_TERM SBL101i" xfId="486"/>
    <cellStyle name="_20 centralizador Capex SAL mayo jul-2007 3" xfId="487"/>
    <cellStyle name="_20 centralizador Capex SAL mayo jul-2007_20110401_SAL_Rev#1_ PTP 2011" xfId="488"/>
    <cellStyle name="_20 centralizador Capex SAL mayo jul-2007_20110401_SAN_Rev#1_ PTP 2012" xfId="489"/>
    <cellStyle name="_20 centralizador Capex SAL mayo jul-2007_DESCARTE AGUA" xfId="490"/>
    <cellStyle name="_20 centralizador Capex SAL mayo jul-2007_DESCARTE AGUA 2" xfId="491"/>
    <cellStyle name="_20 centralizador Capex SAL mayo jul-2007_DNCR T-03 TOTAL" xfId="492"/>
    <cellStyle name="_20 centralizador Capex SAL mayo jul-2007_DNCR-AUX-01-SEG." xfId="493"/>
    <cellStyle name="_20 centralizador Capex SAL mayo jul-2007_DNCR-AUX-01-SEG._DNCR T-03 TOTAL" xfId="494"/>
    <cellStyle name="_20 centralizador Capex SAL mayo jul-2007_DNCR-AUX-01-SEG._FORM. DNCR T-03 2008" xfId="495"/>
    <cellStyle name="_20 centralizador Capex SAL mayo jul-2007_FORM. DNCR T-03 2008" xfId="496"/>
    <cellStyle name="_20 centralizador Capex SAL mayo jul-2007_PERF SAL101i" xfId="497"/>
    <cellStyle name="_20 centralizador Capex SAL mayo jul-2007_PERF SAL16" xfId="498"/>
    <cellStyle name="_20 centralizador Capex SAL mayo jul-2007_REENTRY SAL X11" xfId="499"/>
    <cellStyle name="_20 centralizador Capex SAL mayo jul-2007_Revisión Seguros 2008_ DNCR-AUX-01-SEG" xfId="500"/>
    <cellStyle name="_20 centralizador Capex SAL mayo jul-2007_Revisión Seguros 2008_ DNCR-AUX-01-SEG_DNCR T-03 TOTAL" xfId="501"/>
    <cellStyle name="_20 centralizador Capex SAL mayo jul-2007_Revisión Seguros 2008_ DNCR-AUX-01-SEG_FORM. DNCR T-03 2008" xfId="502"/>
    <cellStyle name="_20 centralizador Capex SAL mayo jul-2007_Seguro médico" xfId="503"/>
    <cellStyle name="_20 centralizador Capex SAL mayo jul-2007_Seguro médico_DNCR T-03 TOTAL" xfId="504"/>
    <cellStyle name="_20 centralizador Capex SAL mayo jul-2007_Seguro médico_FORM. DNCR T-03 2008" xfId="505"/>
    <cellStyle name="_20 centralizador Capex SAL mayo jul-2007_Seguros" xfId="506"/>
    <cellStyle name="_20 centralizador Capex SAL mayo jul-2007_TERM REENTRY SAL X11" xfId="507"/>
    <cellStyle name="_20 centralizador Capex SAN mayo jul-2007" xfId="508"/>
    <cellStyle name="_20 centralizador Capex SAN mayo jul-2007 2" xfId="509"/>
    <cellStyle name="_20 centralizador Capex SAN mayo jul-2007 2 2" xfId="510"/>
    <cellStyle name="_20 centralizador Capex SAN mayo jul-2007 2 2 2" xfId="511"/>
    <cellStyle name="_20 centralizador Capex SAN mayo jul-2007 2 3" xfId="512"/>
    <cellStyle name="_20 centralizador Capex SAN mayo jul-2007 2_20110401_SAL_Rev#1_ PTP 2011" xfId="513"/>
    <cellStyle name="_20 centralizador Capex SAN mayo jul-2007 2_20110401_SAN_Rev#1_ PTP 2012" xfId="514"/>
    <cellStyle name="_20 centralizador Capex SAN mayo jul-2007 2_20110401_SAN_Rev#2_ PTP 2012" xfId="515"/>
    <cellStyle name="_20 centralizador Capex SAN mayo jul-2007 2_PERF SAL101i" xfId="516"/>
    <cellStyle name="_20 centralizador Capex SAN mayo jul-2007 2_PERF SAL16" xfId="517"/>
    <cellStyle name="_20 centralizador Capex SAN mayo jul-2007 2_PERF SBL101i" xfId="518"/>
    <cellStyle name="_20 centralizador Capex SAN mayo jul-2007 2_REENTRY SAL X11" xfId="519"/>
    <cellStyle name="_20 centralizador Capex SAN mayo jul-2007 2_TERM REENTRY SAL X11" xfId="520"/>
    <cellStyle name="_20 centralizador Capex SAN mayo jul-2007 2_TERM SBL101i" xfId="521"/>
    <cellStyle name="_20 centralizador Capex SAN mayo jul-2007 3" xfId="522"/>
    <cellStyle name="_20 centralizador Capex SAN mayo jul-2007_20110401_SAL_Rev#1_ PTP 2011" xfId="523"/>
    <cellStyle name="_20 centralizador Capex SAN mayo jul-2007_20110401_SAN_Rev#1_ PTP 2012" xfId="524"/>
    <cellStyle name="_20 centralizador Capex SAN mayo jul-2007_DESCARTE AGUA" xfId="525"/>
    <cellStyle name="_20 centralizador Capex SAN mayo jul-2007_DESCARTE AGUA 2" xfId="526"/>
    <cellStyle name="_20 centralizador Capex SAN mayo jul-2007_DNCR T-03 TOTAL" xfId="527"/>
    <cellStyle name="_20 centralizador Capex SAN mayo jul-2007_DNCR-AUX-01-SEG." xfId="528"/>
    <cellStyle name="_20 centralizador Capex SAN mayo jul-2007_DNCR-AUX-01-SEG._DNCR T-03 TOTAL" xfId="529"/>
    <cellStyle name="_20 centralizador Capex SAN mayo jul-2007_DNCR-AUX-01-SEG._FORM. DNCR T-03 2008" xfId="530"/>
    <cellStyle name="_20 centralizador Capex SAN mayo jul-2007_FORM. DNCR T-03 2008" xfId="531"/>
    <cellStyle name="_20 centralizador Capex SAN mayo jul-2007_PERF SAL101i" xfId="532"/>
    <cellStyle name="_20 centralizador Capex SAN mayo jul-2007_PERF SAL16" xfId="533"/>
    <cellStyle name="_20 centralizador Capex SAN mayo jul-2007_REENTRY SAL X11" xfId="534"/>
    <cellStyle name="_20 centralizador Capex SAN mayo jul-2007_Revisión Seguros 2008_ DNCR-AUX-01-SEG" xfId="535"/>
    <cellStyle name="_20 centralizador Capex SAN mayo jul-2007_Revisión Seguros 2008_ DNCR-AUX-01-SEG_DNCR T-03 TOTAL" xfId="536"/>
    <cellStyle name="_20 centralizador Capex SAN mayo jul-2007_Revisión Seguros 2008_ DNCR-AUX-01-SEG_FORM. DNCR T-03 2008" xfId="537"/>
    <cellStyle name="_20 centralizador Capex SAN mayo jul-2007_Seguro médico" xfId="538"/>
    <cellStyle name="_20 centralizador Capex SAN mayo jul-2007_Seguro médico_DNCR T-03 TOTAL" xfId="539"/>
    <cellStyle name="_20 centralizador Capex SAN mayo jul-2007_Seguro médico_FORM. DNCR T-03 2008" xfId="540"/>
    <cellStyle name="_20 centralizador Capex SAN mayo jul-2007_Seguros" xfId="541"/>
    <cellStyle name="_20 centralizador Capex SAN mayo jul-2007_TERM REENTRY SAL X11" xfId="542"/>
    <cellStyle name="_20 revis OBC CAPEX PESA May Dic-07" xfId="543"/>
    <cellStyle name="_20 revis OBC CAPEX PESA May Dic-07_20 Revis Costos Recup BG may dic-2007 VER 2" xfId="544"/>
    <cellStyle name="_20 revis OBC CAPEX PESA May Dic-07_20 Revis Costos Recup BG may dic-2007 VER 2_DNCR T-03 TOTAL" xfId="545"/>
    <cellStyle name="_20 revis OBC CAPEX PESA May Dic-07_20 Revis Costos Recup BG may dic-2007 VER 2_DNCR-AUX-01-SEG." xfId="546"/>
    <cellStyle name="_20 revis OBC CAPEX PESA May Dic-07_20 Revis Costos Recup BG may dic-2007 VER 2_DNCR-AUX-01-SEG._DNCR T-03 TOTAL" xfId="547"/>
    <cellStyle name="_20 revis OBC CAPEX PESA May Dic-07_20 Revis Costos Recup BG may dic-2007 VER 2_DNCR-AUX-01-SEG._FORM. DNCR T-03 2008" xfId="548"/>
    <cellStyle name="_20 revis OBC CAPEX PESA May Dic-07_20 Revis Costos Recup BG may dic-2007 VER 2_FORM. DNCR T-03 2008" xfId="549"/>
    <cellStyle name="_20 revis OBC CAPEX PESA May Dic-07_20 Revis Costos Recup BG may dic-2007 VER 2_Revisión Seguros 2008_ DNCR-AUX-01-SEG" xfId="550"/>
    <cellStyle name="_20 revis OBC CAPEX PESA May Dic-07_20 Revis Costos Recup BG may dic-2007 VER 2_Revisión Seguros 2008_ DNCR-AUX-01-SEG_DNCR T-03 TOTAL" xfId="551"/>
    <cellStyle name="_20 revis OBC CAPEX PESA May Dic-07_20 Revis Costos Recup BG may dic-2007 VER 2_Revisión Seguros 2008_ DNCR-AUX-01-SEG_FORM. DNCR T-03 2008" xfId="552"/>
    <cellStyle name="_20 revis OBC CAPEX PESA May Dic-07_20 Revis Costos Recup BG may dic-2007 VER 2_Seguro médico" xfId="553"/>
    <cellStyle name="_20 revis OBC CAPEX PESA May Dic-07_20 Revis Costos Recup BG may dic-2007 VER 2_Seguro médico_DNCR T-03 TOTAL" xfId="554"/>
    <cellStyle name="_20 revis OBC CAPEX PESA May Dic-07_20 Revis Costos Recup BG may dic-2007 VER 2_Seguro médico_FORM. DNCR T-03 2008" xfId="555"/>
    <cellStyle name="_20 revis OBC CAPEX PESA May Dic-07_DNCR T-03 TOTAL" xfId="556"/>
    <cellStyle name="_20 revis OBC CAPEX PESA May Dic-07_FORM. DNCR T-03 2008" xfId="557"/>
    <cellStyle name="_Conciliación Anexo G  2007 MODIF JOBAR" xfId="558"/>
    <cellStyle name="_COSTOS RECUPERABLES-PESA May-07 a Dic-07 (conciliacion)" xfId="559"/>
    <cellStyle name="_COSTOS RECUPERABLES-PESA May-07 a Dic-07 muestra" xfId="560"/>
    <cellStyle name="_Depreciaciones Bloques modelo YPFB Gestion 2007 V2" xfId="561"/>
    <cellStyle name="_Depreciaciones Bloques modelo YPFB Gestion 2007 V2 2" xfId="562"/>
    <cellStyle name="_Depreciaciones Bloques modelo YPFB Gestion 2008" xfId="563"/>
    <cellStyle name="_Depreciaciones Bloques modelo YPFB Gestion 2008 2" xfId="564"/>
    <cellStyle name="_Depreciaciones Bloques modelo YPFB Gestion 2008 V1" xfId="565"/>
    <cellStyle name="_Depreciaciones Bloques modelo YPFB Gestion 2008 V1 2" xfId="566"/>
    <cellStyle name="_EVOLUCION INVERSIONES Y AJUSTE DEPRECIAC MAYO A DICBRE 2007" xfId="567"/>
    <cellStyle name="_EVOLUCION INVERSIONES Y AJUSTE DEPRECIAC MAYO A DICBRE 2007 (2)" xfId="568"/>
    <cellStyle name="=C:\WINNT\SYSTEM32\COMMAND.COM" xfId="569"/>
    <cellStyle name="=C:\WINNT35\SYSTEM32\COMMAND.COM" xfId="6"/>
    <cellStyle name="=C:\WINNT35\SYSTEM32\COMMAND.COM 2" xfId="570"/>
    <cellStyle name="0,0_x000d__x000a_NA_x000d__x000a_" xfId="571"/>
    <cellStyle name="0,0_x000d__x000a_NA_x000d__x000a_ 10" xfId="572"/>
    <cellStyle name="0,0_x000d__x000a_NA_x000d__x000a_ 11" xfId="573"/>
    <cellStyle name="0,0_x000d__x000a_NA_x000d__x000a_ 12" xfId="574"/>
    <cellStyle name="0,0_x000d__x000a_NA_x000d__x000a_ 2" xfId="575"/>
    <cellStyle name="0,0_x000d__x000a_NA_x000d__x000a_ 2 2" xfId="576"/>
    <cellStyle name="0,0_x000d__x000a_NA_x000d__x000a_ 2 2 2" xfId="577"/>
    <cellStyle name="0,0_x000d__x000a_NA_x000d__x000a_ 2 3" xfId="578"/>
    <cellStyle name="0,0_x000d__x000a_NA_x000d__x000a_ 2_20110401_SAL_Rev#1_ PTP 2011" xfId="579"/>
    <cellStyle name="0,0_x000d__x000a_NA_x000d__x000a_ 3" xfId="580"/>
    <cellStyle name="0,0_x000d__x000a_NA_x000d__x000a_ 3 2" xfId="581"/>
    <cellStyle name="0,0_x000d__x000a_NA_x000d__x000a_ 4" xfId="582"/>
    <cellStyle name="0,0_x000d__x000a_NA_x000d__x000a_ 4 2" xfId="583"/>
    <cellStyle name="0,0_x000d__x000a_NA_x000d__x000a_ 4 3" xfId="584"/>
    <cellStyle name="0,0_x000d__x000a_NA_x000d__x000a_ 5" xfId="585"/>
    <cellStyle name="0,0_x000d__x000a_NA_x000d__x000a_ 5 2" xfId="586"/>
    <cellStyle name="0,0_x000d__x000a_NA_x000d__x000a_ 5 3" xfId="587"/>
    <cellStyle name="0,0_x000d__x000a_NA_x000d__x000a_ 6" xfId="588"/>
    <cellStyle name="0,0_x000d__x000a_NA_x000d__x000a_ 6 2" xfId="589"/>
    <cellStyle name="0,0_x000d__x000a_NA_x000d__x000a_ 7" xfId="590"/>
    <cellStyle name="0,0_x000d__x000a_NA_x000d__x000a_ 7 2" xfId="591"/>
    <cellStyle name="0,0_x000d__x000a_NA_x000d__x000a_ 8" xfId="592"/>
    <cellStyle name="0,0_x000d__x000a_NA_x000d__x000a_ 9" xfId="593"/>
    <cellStyle name="0,0_x000d__x000a_NA_x000d__x000a__20110401_SAN_Rev#1_ PTP 2012" xfId="594"/>
    <cellStyle name="0752-93035" xfId="595"/>
    <cellStyle name="0752-93035 10" xfId="596"/>
    <cellStyle name="0752-93035 11" xfId="597"/>
    <cellStyle name="0752-93035 2" xfId="598"/>
    <cellStyle name="0752-93035 2 2" xfId="599"/>
    <cellStyle name="0752-93035 2 2 2" xfId="600"/>
    <cellStyle name="0752-93035 2 3" xfId="601"/>
    <cellStyle name="0752-93035 2_20110401_SAL_Rev#1_ PTP 2011" xfId="602"/>
    <cellStyle name="0752-93035 3" xfId="603"/>
    <cellStyle name="0752-93035 3 2" xfId="604"/>
    <cellStyle name="0752-93035 4" xfId="605"/>
    <cellStyle name="0752-93035 4 2" xfId="606"/>
    <cellStyle name="0752-93035 5" xfId="607"/>
    <cellStyle name="0752-93035 5 2" xfId="608"/>
    <cellStyle name="0752-93035 5 3" xfId="609"/>
    <cellStyle name="0752-93035 6" xfId="610"/>
    <cellStyle name="0752-93035 7" xfId="611"/>
    <cellStyle name="0752-93035 8" xfId="612"/>
    <cellStyle name="0752-93035 9" xfId="613"/>
    <cellStyle name="0752-93035_20110401_SAN_Rev#1_ PTP 2012" xfId="614"/>
    <cellStyle name="20% - Accent1" xfId="347" builtinId="30" customBuiltin="1"/>
    <cellStyle name="20% - Accent1 2" xfId="7"/>
    <cellStyle name="20% - Accent1 2 2" xfId="8"/>
    <cellStyle name="20% - Accent1 2 3" xfId="4439"/>
    <cellStyle name="20% - Accent1 3" xfId="9"/>
    <cellStyle name="20% - Accent1 4" xfId="621"/>
    <cellStyle name="20% - Accent1 4 2" xfId="4515"/>
    <cellStyle name="20% - Accent2" xfId="351" builtinId="34" customBuiltin="1"/>
    <cellStyle name="20% - Accent2 2" xfId="10"/>
    <cellStyle name="20% - Accent2 2 2" xfId="11"/>
    <cellStyle name="20% - Accent2 2 3" xfId="4443"/>
    <cellStyle name="20% - Accent2 3" xfId="12"/>
    <cellStyle name="20% - Accent2 4" xfId="638"/>
    <cellStyle name="20% - Accent2 4 2" xfId="4517"/>
    <cellStyle name="20% - Accent3" xfId="355" builtinId="38" customBuiltin="1"/>
    <cellStyle name="20% - Accent3 2" xfId="13"/>
    <cellStyle name="20% - Accent3 2 2" xfId="14"/>
    <cellStyle name="20% - Accent3 2 3" xfId="4447"/>
    <cellStyle name="20% - Accent3 3" xfId="15"/>
    <cellStyle name="20% - Accent3 4" xfId="655"/>
    <cellStyle name="20% - Accent3 4 2" xfId="4519"/>
    <cellStyle name="20% - Accent4" xfId="359" builtinId="42" customBuiltin="1"/>
    <cellStyle name="20% - Accent4 2" xfId="16"/>
    <cellStyle name="20% - Accent4 2 2" xfId="17"/>
    <cellStyle name="20% - Accent4 2 3" xfId="4451"/>
    <cellStyle name="20% - Accent4 3" xfId="18"/>
    <cellStyle name="20% - Accent4 4" xfId="672"/>
    <cellStyle name="20% - Accent4 4 2" xfId="4521"/>
    <cellStyle name="20% - Accent5" xfId="363" builtinId="46" customBuiltin="1"/>
    <cellStyle name="20% - Accent5 2" xfId="19"/>
    <cellStyle name="20% - Accent5 2 2" xfId="20"/>
    <cellStyle name="20% - Accent5 2 3" xfId="4455"/>
    <cellStyle name="20% - Accent5 3" xfId="21"/>
    <cellStyle name="20% - Accent5 4" xfId="689"/>
    <cellStyle name="20% - Accent5 4 2" xfId="4523"/>
    <cellStyle name="20% - Accent6" xfId="367" builtinId="50" customBuiltin="1"/>
    <cellStyle name="20% - Accent6 2" xfId="22"/>
    <cellStyle name="20% - Accent6 2 2" xfId="23"/>
    <cellStyle name="20% - Accent6 2 3" xfId="4459"/>
    <cellStyle name="20% - Accent6 3" xfId="24"/>
    <cellStyle name="20% - Accent6 4" xfId="706"/>
    <cellStyle name="20% - Accent6 4 2" xfId="4525"/>
    <cellStyle name="20% - Ênfase1" xfId="615"/>
    <cellStyle name="20% - Ênfase2" xfId="616"/>
    <cellStyle name="20% - Ênfase3" xfId="617"/>
    <cellStyle name="20% - Ênfase4" xfId="618"/>
    <cellStyle name="20% - Ênfase5" xfId="619"/>
    <cellStyle name="20% - Ênfase6" xfId="620"/>
    <cellStyle name="20% - Énfasis1" xfId="25"/>
    <cellStyle name="20% - Énfasis1 10" xfId="622"/>
    <cellStyle name="20% - Énfasis1 11" xfId="623"/>
    <cellStyle name="20% - Énfasis1 12" xfId="624"/>
    <cellStyle name="20% - Énfasis1 13" xfId="625"/>
    <cellStyle name="20% - Énfasis1 14" xfId="626"/>
    <cellStyle name="20% - Énfasis1 2" xfId="627"/>
    <cellStyle name="20% - Énfasis1 2 2" xfId="628"/>
    <cellStyle name="20% - Énfasis1 2 3" xfId="629"/>
    <cellStyle name="20% - Énfasis1 3" xfId="630"/>
    <cellStyle name="20% - Énfasis1 3 2" xfId="631"/>
    <cellStyle name="20% - Énfasis1 4" xfId="632"/>
    <cellStyle name="20% - Énfasis1 5" xfId="633"/>
    <cellStyle name="20% - Énfasis1 6" xfId="634"/>
    <cellStyle name="20% - Énfasis1 7" xfId="635"/>
    <cellStyle name="20% - Énfasis1 8" xfId="636"/>
    <cellStyle name="20% - Énfasis1 9" xfId="637"/>
    <cellStyle name="20% - Énfasis2" xfId="26"/>
    <cellStyle name="20% - Énfasis2 10" xfId="639"/>
    <cellStyle name="20% - Énfasis2 11" xfId="640"/>
    <cellStyle name="20% - Énfasis2 12" xfId="641"/>
    <cellStyle name="20% - Énfasis2 13" xfId="642"/>
    <cellStyle name="20% - Énfasis2 14" xfId="643"/>
    <cellStyle name="20% - Énfasis2 2" xfId="644"/>
    <cellStyle name="20% - Énfasis2 2 2" xfId="645"/>
    <cellStyle name="20% - Énfasis2 2 3" xfId="646"/>
    <cellStyle name="20% - Énfasis2 3" xfId="647"/>
    <cellStyle name="20% - Énfasis2 3 2" xfId="648"/>
    <cellStyle name="20% - Énfasis2 4" xfId="649"/>
    <cellStyle name="20% - Énfasis2 5" xfId="650"/>
    <cellStyle name="20% - Énfasis2 6" xfId="651"/>
    <cellStyle name="20% - Énfasis2 7" xfId="652"/>
    <cellStyle name="20% - Énfasis2 8" xfId="653"/>
    <cellStyle name="20% - Énfasis2 9" xfId="654"/>
    <cellStyle name="20% - Énfasis3" xfId="27"/>
    <cellStyle name="20% - Énfasis3 10" xfId="656"/>
    <cellStyle name="20% - Énfasis3 11" xfId="657"/>
    <cellStyle name="20% - Énfasis3 12" xfId="658"/>
    <cellStyle name="20% - Énfasis3 13" xfId="659"/>
    <cellStyle name="20% - Énfasis3 14" xfId="660"/>
    <cellStyle name="20% - Énfasis3 2" xfId="661"/>
    <cellStyle name="20% - Énfasis3 2 2" xfId="662"/>
    <cellStyle name="20% - Énfasis3 2 3" xfId="663"/>
    <cellStyle name="20% - Énfasis3 3" xfId="664"/>
    <cellStyle name="20% - Énfasis3 3 2" xfId="665"/>
    <cellStyle name="20% - Énfasis3 4" xfId="666"/>
    <cellStyle name="20% - Énfasis3 5" xfId="667"/>
    <cellStyle name="20% - Énfasis3 6" xfId="668"/>
    <cellStyle name="20% - Énfasis3 7" xfId="669"/>
    <cellStyle name="20% - Énfasis3 8" xfId="670"/>
    <cellStyle name="20% - Énfasis3 9" xfId="671"/>
    <cellStyle name="20% - Énfasis4" xfId="28"/>
    <cellStyle name="20% - Énfasis4 10" xfId="673"/>
    <cellStyle name="20% - Énfasis4 11" xfId="674"/>
    <cellStyle name="20% - Énfasis4 12" xfId="675"/>
    <cellStyle name="20% - Énfasis4 13" xfId="676"/>
    <cellStyle name="20% - Énfasis4 14" xfId="677"/>
    <cellStyle name="20% - Énfasis4 2" xfId="678"/>
    <cellStyle name="20% - Énfasis4 2 2" xfId="679"/>
    <cellStyle name="20% - Énfasis4 2 3" xfId="680"/>
    <cellStyle name="20% - Énfasis4 3" xfId="681"/>
    <cellStyle name="20% - Énfasis4 3 2" xfId="682"/>
    <cellStyle name="20% - Énfasis4 4" xfId="683"/>
    <cellStyle name="20% - Énfasis4 5" xfId="684"/>
    <cellStyle name="20% - Énfasis4 6" xfId="685"/>
    <cellStyle name="20% - Énfasis4 7" xfId="686"/>
    <cellStyle name="20% - Énfasis4 8" xfId="687"/>
    <cellStyle name="20% - Énfasis4 9" xfId="688"/>
    <cellStyle name="20% - Énfasis5" xfId="29"/>
    <cellStyle name="20% - Énfasis5 10" xfId="690"/>
    <cellStyle name="20% - Énfasis5 11" xfId="691"/>
    <cellStyle name="20% - Énfasis5 12" xfId="692"/>
    <cellStyle name="20% - Énfasis5 13" xfId="693"/>
    <cellStyle name="20% - Énfasis5 14" xfId="694"/>
    <cellStyle name="20% - Énfasis5 2" xfId="695"/>
    <cellStyle name="20% - Énfasis5 2 2" xfId="696"/>
    <cellStyle name="20% - Énfasis5 2 3" xfId="697"/>
    <cellStyle name="20% - Énfasis5 3" xfId="698"/>
    <cellStyle name="20% - Énfasis5 3 2" xfId="699"/>
    <cellStyle name="20% - Énfasis5 4" xfId="700"/>
    <cellStyle name="20% - Énfasis5 5" xfId="701"/>
    <cellStyle name="20% - Énfasis5 6" xfId="702"/>
    <cellStyle name="20% - Énfasis5 7" xfId="703"/>
    <cellStyle name="20% - Énfasis5 8" xfId="704"/>
    <cellStyle name="20% - Énfasis5 9" xfId="705"/>
    <cellStyle name="20% - Énfasis6" xfId="30"/>
    <cellStyle name="20% - Énfasis6 10" xfId="707"/>
    <cellStyle name="20% - Énfasis6 11" xfId="708"/>
    <cellStyle name="20% - Énfasis6 12" xfId="709"/>
    <cellStyle name="20% - Énfasis6 13" xfId="710"/>
    <cellStyle name="20% - Énfasis6 14" xfId="711"/>
    <cellStyle name="20% - Énfasis6 2" xfId="712"/>
    <cellStyle name="20% - Énfasis6 2 2" xfId="713"/>
    <cellStyle name="20% - Énfasis6 2 3" xfId="714"/>
    <cellStyle name="20% - Énfasis6 3" xfId="715"/>
    <cellStyle name="20% - Énfasis6 3 2" xfId="716"/>
    <cellStyle name="20% - Énfasis6 4" xfId="717"/>
    <cellStyle name="20% - Énfasis6 5" xfId="718"/>
    <cellStyle name="20% - Énfasis6 6" xfId="719"/>
    <cellStyle name="20% - Énfasis6 7" xfId="720"/>
    <cellStyle name="20% - Énfasis6 8" xfId="721"/>
    <cellStyle name="20% - Énfasis6 9" xfId="722"/>
    <cellStyle name="40% - Accent1" xfId="348" builtinId="31" customBuiltin="1"/>
    <cellStyle name="40% - Accent1 2" xfId="31"/>
    <cellStyle name="40% - Accent1 2 2" xfId="32"/>
    <cellStyle name="40% - Accent1 2 3" xfId="4440"/>
    <cellStyle name="40% - Accent1 3" xfId="33"/>
    <cellStyle name="40% - Accent1 4" xfId="729"/>
    <cellStyle name="40% - Accent1 4 2" xfId="4516"/>
    <cellStyle name="40% - Accent2" xfId="352" builtinId="35" customBuiltin="1"/>
    <cellStyle name="40% - Accent2 2" xfId="34"/>
    <cellStyle name="40% - Accent2 2 2" xfId="35"/>
    <cellStyle name="40% - Accent2 2 3" xfId="4444"/>
    <cellStyle name="40% - Accent2 3" xfId="36"/>
    <cellStyle name="40% - Accent2 4" xfId="746"/>
    <cellStyle name="40% - Accent2 4 2" xfId="4518"/>
    <cellStyle name="40% - Accent3" xfId="356" builtinId="39" customBuiltin="1"/>
    <cellStyle name="40% - Accent3 2" xfId="37"/>
    <cellStyle name="40% - Accent3 2 2" xfId="38"/>
    <cellStyle name="40% - Accent3 2 3" xfId="4448"/>
    <cellStyle name="40% - Accent3 3" xfId="39"/>
    <cellStyle name="40% - Accent3 4" xfId="763"/>
    <cellStyle name="40% - Accent3 4 2" xfId="4520"/>
    <cellStyle name="40% - Accent4" xfId="360" builtinId="43" customBuiltin="1"/>
    <cellStyle name="40% - Accent4 2" xfId="40"/>
    <cellStyle name="40% - Accent4 2 2" xfId="41"/>
    <cellStyle name="40% - Accent4 2 3" xfId="4452"/>
    <cellStyle name="40% - Accent4 3" xfId="42"/>
    <cellStyle name="40% - Accent4 4" xfId="780"/>
    <cellStyle name="40% - Accent4 4 2" xfId="4522"/>
    <cellStyle name="40% - Accent5" xfId="364" builtinId="47" customBuiltin="1"/>
    <cellStyle name="40% - Accent5 2" xfId="43"/>
    <cellStyle name="40% - Accent5 2 2" xfId="44"/>
    <cellStyle name="40% - Accent5 2 3" xfId="4456"/>
    <cellStyle name="40% - Accent5 3" xfId="45"/>
    <cellStyle name="40% - Accent5 4" xfId="797"/>
    <cellStyle name="40% - Accent5 4 2" xfId="4524"/>
    <cellStyle name="40% - Accent6" xfId="368" builtinId="51" customBuiltin="1"/>
    <cellStyle name="40% - Accent6 2" xfId="46"/>
    <cellStyle name="40% - Accent6 2 2" xfId="47"/>
    <cellStyle name="40% - Accent6 2 3" xfId="4460"/>
    <cellStyle name="40% - Accent6 3" xfId="48"/>
    <cellStyle name="40% - Accent6 4" xfId="814"/>
    <cellStyle name="40% - Accent6 4 2" xfId="4526"/>
    <cellStyle name="40% - Ênfase1" xfId="723"/>
    <cellStyle name="40% - Ênfase2" xfId="724"/>
    <cellStyle name="40% - Ênfase3" xfId="725"/>
    <cellStyle name="40% - Ênfase4" xfId="726"/>
    <cellStyle name="40% - Ênfase5" xfId="727"/>
    <cellStyle name="40% - Ênfase6" xfId="728"/>
    <cellStyle name="40% - Énfasis1" xfId="49"/>
    <cellStyle name="40% - Énfasis1 10" xfId="730"/>
    <cellStyle name="40% - Énfasis1 11" xfId="731"/>
    <cellStyle name="40% - Énfasis1 12" xfId="732"/>
    <cellStyle name="40% - Énfasis1 13" xfId="733"/>
    <cellStyle name="40% - Énfasis1 14" xfId="734"/>
    <cellStyle name="40% - Énfasis1 2" xfId="735"/>
    <cellStyle name="40% - Énfasis1 2 2" xfId="736"/>
    <cellStyle name="40% - Énfasis1 2 3" xfId="737"/>
    <cellStyle name="40% - Énfasis1 3" xfId="738"/>
    <cellStyle name="40% - Énfasis1 3 2" xfId="739"/>
    <cellStyle name="40% - Énfasis1 4" xfId="740"/>
    <cellStyle name="40% - Énfasis1 5" xfId="741"/>
    <cellStyle name="40% - Énfasis1 6" xfId="742"/>
    <cellStyle name="40% - Énfasis1 7" xfId="743"/>
    <cellStyle name="40% - Énfasis1 8" xfId="744"/>
    <cellStyle name="40% - Énfasis1 9" xfId="745"/>
    <cellStyle name="40% - Énfasis2" xfId="50"/>
    <cellStyle name="40% - Énfasis2 10" xfId="747"/>
    <cellStyle name="40% - Énfasis2 11" xfId="748"/>
    <cellStyle name="40% - Énfasis2 12" xfId="749"/>
    <cellStyle name="40% - Énfasis2 13" xfId="750"/>
    <cellStyle name="40% - Énfasis2 14" xfId="751"/>
    <cellStyle name="40% - Énfasis2 2" xfId="752"/>
    <cellStyle name="40% - Énfasis2 2 2" xfId="753"/>
    <cellStyle name="40% - Énfasis2 2 3" xfId="754"/>
    <cellStyle name="40% - Énfasis2 3" xfId="755"/>
    <cellStyle name="40% - Énfasis2 3 2" xfId="756"/>
    <cellStyle name="40% - Énfasis2 4" xfId="757"/>
    <cellStyle name="40% - Énfasis2 5" xfId="758"/>
    <cellStyle name="40% - Énfasis2 6" xfId="759"/>
    <cellStyle name="40% - Énfasis2 7" xfId="760"/>
    <cellStyle name="40% - Énfasis2 8" xfId="761"/>
    <cellStyle name="40% - Énfasis2 9" xfId="762"/>
    <cellStyle name="40% - Énfasis3" xfId="51"/>
    <cellStyle name="40% - Énfasis3 10" xfId="764"/>
    <cellStyle name="40% - Énfasis3 11" xfId="765"/>
    <cellStyle name="40% - Énfasis3 12" xfId="766"/>
    <cellStyle name="40% - Énfasis3 13" xfId="767"/>
    <cellStyle name="40% - Énfasis3 14" xfId="768"/>
    <cellStyle name="40% - Énfasis3 2" xfId="769"/>
    <cellStyle name="40% - Énfasis3 2 2" xfId="770"/>
    <cellStyle name="40% - Énfasis3 2 3" xfId="771"/>
    <cellStyle name="40% - Énfasis3 3" xfId="772"/>
    <cellStyle name="40% - Énfasis3 3 2" xfId="773"/>
    <cellStyle name="40% - Énfasis3 4" xfId="774"/>
    <cellStyle name="40% - Énfasis3 5" xfId="775"/>
    <cellStyle name="40% - Énfasis3 6" xfId="776"/>
    <cellStyle name="40% - Énfasis3 7" xfId="777"/>
    <cellStyle name="40% - Énfasis3 8" xfId="778"/>
    <cellStyle name="40% - Énfasis3 9" xfId="779"/>
    <cellStyle name="40% - Énfasis4" xfId="52"/>
    <cellStyle name="40% - Énfasis4 10" xfId="781"/>
    <cellStyle name="40% - Énfasis4 11" xfId="782"/>
    <cellStyle name="40% - Énfasis4 12" xfId="783"/>
    <cellStyle name="40% - Énfasis4 13" xfId="784"/>
    <cellStyle name="40% - Énfasis4 14" xfId="785"/>
    <cellStyle name="40% - Énfasis4 2" xfId="786"/>
    <cellStyle name="40% - Énfasis4 2 2" xfId="787"/>
    <cellStyle name="40% - Énfasis4 2 3" xfId="788"/>
    <cellStyle name="40% - Énfasis4 3" xfId="789"/>
    <cellStyle name="40% - Énfasis4 3 2" xfId="790"/>
    <cellStyle name="40% - Énfasis4 4" xfId="791"/>
    <cellStyle name="40% - Énfasis4 5" xfId="792"/>
    <cellStyle name="40% - Énfasis4 6" xfId="793"/>
    <cellStyle name="40% - Énfasis4 7" xfId="794"/>
    <cellStyle name="40% - Énfasis4 8" xfId="795"/>
    <cellStyle name="40% - Énfasis4 9" xfId="796"/>
    <cellStyle name="40% - Énfasis5" xfId="53"/>
    <cellStyle name="40% - Énfasis5 10" xfId="798"/>
    <cellStyle name="40% - Énfasis5 11" xfId="799"/>
    <cellStyle name="40% - Énfasis5 12" xfId="800"/>
    <cellStyle name="40% - Énfasis5 13" xfId="801"/>
    <cellStyle name="40% - Énfasis5 14" xfId="802"/>
    <cellStyle name="40% - Énfasis5 2" xfId="803"/>
    <cellStyle name="40% - Énfasis5 2 2" xfId="804"/>
    <cellStyle name="40% - Énfasis5 2 3" xfId="805"/>
    <cellStyle name="40% - Énfasis5 3" xfId="806"/>
    <cellStyle name="40% - Énfasis5 3 2" xfId="807"/>
    <cellStyle name="40% - Énfasis5 4" xfId="808"/>
    <cellStyle name="40% - Énfasis5 5" xfId="809"/>
    <cellStyle name="40% - Énfasis5 6" xfId="810"/>
    <cellStyle name="40% - Énfasis5 7" xfId="811"/>
    <cellStyle name="40% - Énfasis5 8" xfId="812"/>
    <cellStyle name="40% - Énfasis5 9" xfId="813"/>
    <cellStyle name="40% - Énfasis6" xfId="54"/>
    <cellStyle name="40% - Énfasis6 10" xfId="815"/>
    <cellStyle name="40% - Énfasis6 11" xfId="816"/>
    <cellStyle name="40% - Énfasis6 12" xfId="817"/>
    <cellStyle name="40% - Énfasis6 13" xfId="818"/>
    <cellStyle name="40% - Énfasis6 14" xfId="819"/>
    <cellStyle name="40% - Énfasis6 2" xfId="820"/>
    <cellStyle name="40% - Énfasis6 2 2" xfId="821"/>
    <cellStyle name="40% - Énfasis6 2 3" xfId="822"/>
    <cellStyle name="40% - Énfasis6 3" xfId="823"/>
    <cellStyle name="40% - Énfasis6 3 2" xfId="824"/>
    <cellStyle name="40% - Énfasis6 4" xfId="825"/>
    <cellStyle name="40% - Énfasis6 5" xfId="826"/>
    <cellStyle name="40% - Énfasis6 6" xfId="827"/>
    <cellStyle name="40% - Énfasis6 7" xfId="828"/>
    <cellStyle name="40% - Énfasis6 8" xfId="829"/>
    <cellStyle name="40% - Énfasis6 9" xfId="830"/>
    <cellStyle name="60% - Accent1" xfId="349" builtinId="32" customBuiltin="1"/>
    <cellStyle name="60% - Accent1 2" xfId="55"/>
    <cellStyle name="60% - Accent1 2 2" xfId="56"/>
    <cellStyle name="60% - Accent1 2 3" xfId="4441"/>
    <cellStyle name="60% - Accent1 3" xfId="57"/>
    <cellStyle name="60% - Accent1 4" xfId="837"/>
    <cellStyle name="60% - Accent2" xfId="353" builtinId="36" customBuiltin="1"/>
    <cellStyle name="60% - Accent2 2" xfId="58"/>
    <cellStyle name="60% - Accent2 2 2" xfId="59"/>
    <cellStyle name="60% - Accent2 2 3" xfId="4445"/>
    <cellStyle name="60% - Accent2 3" xfId="60"/>
    <cellStyle name="60% - Accent2 4" xfId="853"/>
    <cellStyle name="60% - Accent3" xfId="357" builtinId="40" customBuiltin="1"/>
    <cellStyle name="60% - Accent3 2" xfId="61"/>
    <cellStyle name="60% - Accent3 2 2" xfId="62"/>
    <cellStyle name="60% - Accent3 2 3" xfId="4449"/>
    <cellStyle name="60% - Accent3 3" xfId="63"/>
    <cellStyle name="60% - Accent3 4" xfId="869"/>
    <cellStyle name="60% - Accent4" xfId="361" builtinId="44" customBuiltin="1"/>
    <cellStyle name="60% - Accent4 2" xfId="64"/>
    <cellStyle name="60% - Accent4 2 2" xfId="65"/>
    <cellStyle name="60% - Accent4 2 3" xfId="4453"/>
    <cellStyle name="60% - Accent4 3" xfId="66"/>
    <cellStyle name="60% - Accent4 4" xfId="885"/>
    <cellStyle name="60% - Accent5" xfId="365" builtinId="48" customBuiltin="1"/>
    <cellStyle name="60% - Accent5 2" xfId="67"/>
    <cellStyle name="60% - Accent5 2 2" xfId="68"/>
    <cellStyle name="60% - Accent5 2 3" xfId="4457"/>
    <cellStyle name="60% - Accent5 3" xfId="69"/>
    <cellStyle name="60% - Accent5 4" xfId="901"/>
    <cellStyle name="60% - Accent6" xfId="369" builtinId="52" customBuiltin="1"/>
    <cellStyle name="60% - Accent6 2" xfId="70"/>
    <cellStyle name="60% - Accent6 2 2" xfId="71"/>
    <cellStyle name="60% - Accent6 2 3" xfId="4461"/>
    <cellStyle name="60% - Accent6 3" xfId="72"/>
    <cellStyle name="60% - Accent6 4" xfId="917"/>
    <cellStyle name="60% - Ênfase1" xfId="831"/>
    <cellStyle name="60% - Ênfase2" xfId="832"/>
    <cellStyle name="60% - Ênfase3" xfId="833"/>
    <cellStyle name="60% - Ênfase4" xfId="834"/>
    <cellStyle name="60% - Ênfase5" xfId="835"/>
    <cellStyle name="60% - Ênfase6" xfId="836"/>
    <cellStyle name="60% - Énfasis1" xfId="73"/>
    <cellStyle name="60% - Énfasis1 10" xfId="838"/>
    <cellStyle name="60% - Énfasis1 11" xfId="839"/>
    <cellStyle name="60% - Énfasis1 12" xfId="840"/>
    <cellStyle name="60% - Énfasis1 13" xfId="841"/>
    <cellStyle name="60% - Énfasis1 14" xfId="842"/>
    <cellStyle name="60% - Énfasis1 2" xfId="843"/>
    <cellStyle name="60% - Énfasis1 2 2" xfId="844"/>
    <cellStyle name="60% - Énfasis1 3" xfId="845"/>
    <cellStyle name="60% - Énfasis1 3 2" xfId="846"/>
    <cellStyle name="60% - Énfasis1 4" xfId="847"/>
    <cellStyle name="60% - Énfasis1 5" xfId="848"/>
    <cellStyle name="60% - Énfasis1 6" xfId="849"/>
    <cellStyle name="60% - Énfasis1 7" xfId="850"/>
    <cellStyle name="60% - Énfasis1 8" xfId="851"/>
    <cellStyle name="60% - Énfasis1 9" xfId="852"/>
    <cellStyle name="60% - Énfasis2" xfId="74"/>
    <cellStyle name="60% - Énfasis2 10" xfId="854"/>
    <cellStyle name="60% - Énfasis2 11" xfId="855"/>
    <cellStyle name="60% - Énfasis2 12" xfId="856"/>
    <cellStyle name="60% - Énfasis2 13" xfId="857"/>
    <cellStyle name="60% - Énfasis2 14" xfId="858"/>
    <cellStyle name="60% - Énfasis2 2" xfId="859"/>
    <cellStyle name="60% - Énfasis2 2 2" xfId="860"/>
    <cellStyle name="60% - Énfasis2 3" xfId="861"/>
    <cellStyle name="60% - Énfasis2 3 2" xfId="862"/>
    <cellStyle name="60% - Énfasis2 4" xfId="863"/>
    <cellStyle name="60% - Énfasis2 5" xfId="864"/>
    <cellStyle name="60% - Énfasis2 6" xfId="865"/>
    <cellStyle name="60% - Énfasis2 7" xfId="866"/>
    <cellStyle name="60% - Énfasis2 8" xfId="867"/>
    <cellStyle name="60% - Énfasis2 9" xfId="868"/>
    <cellStyle name="60% - Énfasis3" xfId="75"/>
    <cellStyle name="60% - Énfasis3 10" xfId="870"/>
    <cellStyle name="60% - Énfasis3 11" xfId="871"/>
    <cellStyle name="60% - Énfasis3 12" xfId="872"/>
    <cellStyle name="60% - Énfasis3 13" xfId="873"/>
    <cellStyle name="60% - Énfasis3 14" xfId="874"/>
    <cellStyle name="60% - Énfasis3 2" xfId="875"/>
    <cellStyle name="60% - Énfasis3 2 2" xfId="876"/>
    <cellStyle name="60% - Énfasis3 3" xfId="877"/>
    <cellStyle name="60% - Énfasis3 3 2" xfId="878"/>
    <cellStyle name="60% - Énfasis3 4" xfId="879"/>
    <cellStyle name="60% - Énfasis3 5" xfId="880"/>
    <cellStyle name="60% - Énfasis3 6" xfId="881"/>
    <cellStyle name="60% - Énfasis3 7" xfId="882"/>
    <cellStyle name="60% - Énfasis3 8" xfId="883"/>
    <cellStyle name="60% - Énfasis3 9" xfId="884"/>
    <cellStyle name="60% - Énfasis4" xfId="76"/>
    <cellStyle name="60% - Énfasis4 10" xfId="886"/>
    <cellStyle name="60% - Énfasis4 11" xfId="887"/>
    <cellStyle name="60% - Énfasis4 12" xfId="888"/>
    <cellStyle name="60% - Énfasis4 13" xfId="889"/>
    <cellStyle name="60% - Énfasis4 14" xfId="890"/>
    <cellStyle name="60% - Énfasis4 2" xfId="891"/>
    <cellStyle name="60% - Énfasis4 2 2" xfId="892"/>
    <cellStyle name="60% - Énfasis4 3" xfId="893"/>
    <cellStyle name="60% - Énfasis4 3 2" xfId="894"/>
    <cellStyle name="60% - Énfasis4 4" xfId="895"/>
    <cellStyle name="60% - Énfasis4 5" xfId="896"/>
    <cellStyle name="60% - Énfasis4 6" xfId="897"/>
    <cellStyle name="60% - Énfasis4 7" xfId="898"/>
    <cellStyle name="60% - Énfasis4 8" xfId="899"/>
    <cellStyle name="60% - Énfasis4 9" xfId="900"/>
    <cellStyle name="60% - Énfasis5" xfId="77"/>
    <cellStyle name="60% - Énfasis5 10" xfId="902"/>
    <cellStyle name="60% - Énfasis5 11" xfId="903"/>
    <cellStyle name="60% - Énfasis5 12" xfId="904"/>
    <cellStyle name="60% - Énfasis5 13" xfId="905"/>
    <cellStyle name="60% - Énfasis5 14" xfId="906"/>
    <cellStyle name="60% - Énfasis5 2" xfId="907"/>
    <cellStyle name="60% - Énfasis5 2 2" xfId="908"/>
    <cellStyle name="60% - Énfasis5 3" xfId="909"/>
    <cellStyle name="60% - Énfasis5 3 2" xfId="910"/>
    <cellStyle name="60% - Énfasis5 4" xfId="911"/>
    <cellStyle name="60% - Énfasis5 5" xfId="912"/>
    <cellStyle name="60% - Énfasis5 6" xfId="913"/>
    <cellStyle name="60% - Énfasis5 7" xfId="914"/>
    <cellStyle name="60% - Énfasis5 8" xfId="915"/>
    <cellStyle name="60% - Énfasis5 9" xfId="916"/>
    <cellStyle name="60% - Énfasis6" xfId="78"/>
    <cellStyle name="60% - Énfasis6 10" xfId="918"/>
    <cellStyle name="60% - Énfasis6 11" xfId="919"/>
    <cellStyle name="60% - Énfasis6 12" xfId="920"/>
    <cellStyle name="60% - Énfasis6 13" xfId="921"/>
    <cellStyle name="60% - Énfasis6 14" xfId="922"/>
    <cellStyle name="60% - Énfasis6 2" xfId="923"/>
    <cellStyle name="60% - Énfasis6 2 2" xfId="924"/>
    <cellStyle name="60% - Énfasis6 3" xfId="925"/>
    <cellStyle name="60% - Énfasis6 3 2" xfId="926"/>
    <cellStyle name="60% - Énfasis6 4" xfId="927"/>
    <cellStyle name="60% - Énfasis6 5" xfId="928"/>
    <cellStyle name="60% - Énfasis6 6" xfId="929"/>
    <cellStyle name="60% - Énfasis6 7" xfId="930"/>
    <cellStyle name="60% - Énfasis6 8" xfId="931"/>
    <cellStyle name="60% - Énfasis6 9" xfId="932"/>
    <cellStyle name="Accent1" xfId="346" builtinId="29" customBuiltin="1"/>
    <cellStyle name="Accent1 - 20%" xfId="933"/>
    <cellStyle name="Accent1 - 20% 2" xfId="934"/>
    <cellStyle name="Accent1 - 20% 3" xfId="935"/>
    <cellStyle name="Accent1 - 20% 4" xfId="936"/>
    <cellStyle name="Accent1 - 20% 5" xfId="937"/>
    <cellStyle name="Accent1 - 40%" xfId="938"/>
    <cellStyle name="Accent1 - 40% 2" xfId="939"/>
    <cellStyle name="Accent1 - 40% 3" xfId="940"/>
    <cellStyle name="Accent1 - 40% 4" xfId="941"/>
    <cellStyle name="Accent1 - 40% 5" xfId="942"/>
    <cellStyle name="Accent1 - 60%" xfId="943"/>
    <cellStyle name="Accent1 - 60% 2" xfId="944"/>
    <cellStyle name="Accent1 - 60% 3" xfId="945"/>
    <cellStyle name="Accent1 - 60% 4" xfId="946"/>
    <cellStyle name="Accent1 10" xfId="947"/>
    <cellStyle name="Accent1 11" xfId="948"/>
    <cellStyle name="Accent1 12" xfId="949"/>
    <cellStyle name="Accent1 13" xfId="950"/>
    <cellStyle name="Accent1 14" xfId="951"/>
    <cellStyle name="Accent1 15" xfId="952"/>
    <cellStyle name="Accent1 16" xfId="953"/>
    <cellStyle name="Accent1 17" xfId="954"/>
    <cellStyle name="Accent1 18" xfId="955"/>
    <cellStyle name="Accent1 19" xfId="956"/>
    <cellStyle name="Accent1 2" xfId="79"/>
    <cellStyle name="Accent1 2 2" xfId="80"/>
    <cellStyle name="Accent1 2 2 2" xfId="4471"/>
    <cellStyle name="Accent1 2 2 3" xfId="957"/>
    <cellStyle name="Accent1 2 3" xfId="958"/>
    <cellStyle name="Accent1 2 4" xfId="959"/>
    <cellStyle name="Accent1 2 5" xfId="4438"/>
    <cellStyle name="Accent1 20" xfId="960"/>
    <cellStyle name="Accent1 21" xfId="961"/>
    <cellStyle name="Accent1 22" xfId="962"/>
    <cellStyle name="Accent1 23" xfId="963"/>
    <cellStyle name="Accent1 24" xfId="964"/>
    <cellStyle name="Accent1 25" xfId="965"/>
    <cellStyle name="Accent1 26" xfId="966"/>
    <cellStyle name="Accent1 27" xfId="967"/>
    <cellStyle name="Accent1 28" xfId="968"/>
    <cellStyle name="Accent1 29" xfId="969"/>
    <cellStyle name="Accent1 3" xfId="81"/>
    <cellStyle name="Accent1 3 2" xfId="970"/>
    <cellStyle name="Accent1 3 3" xfId="971"/>
    <cellStyle name="Accent1 30" xfId="972"/>
    <cellStyle name="Accent1 31" xfId="973"/>
    <cellStyle name="Accent1 32" xfId="974"/>
    <cellStyle name="Accent1 33" xfId="975"/>
    <cellStyle name="Accent1 34" xfId="976"/>
    <cellStyle name="Accent1 35" xfId="977"/>
    <cellStyle name="Accent1 36" xfId="978"/>
    <cellStyle name="Accent1 37" xfId="1716"/>
    <cellStyle name="Accent1 38" xfId="4377"/>
    <cellStyle name="Accent1 4" xfId="979"/>
    <cellStyle name="Accent1 5" xfId="980"/>
    <cellStyle name="Accent1 6" xfId="981"/>
    <cellStyle name="Accent1 7" xfId="982"/>
    <cellStyle name="Accent1 8" xfId="983"/>
    <cellStyle name="Accent1 9" xfId="984"/>
    <cellStyle name="Accent2" xfId="350" builtinId="33" customBuiltin="1"/>
    <cellStyle name="Accent2 - 20%" xfId="985"/>
    <cellStyle name="Accent2 - 20% 2" xfId="986"/>
    <cellStyle name="Accent2 - 20% 3" xfId="987"/>
    <cellStyle name="Accent2 - 20% 4" xfId="988"/>
    <cellStyle name="Accent2 - 20% 5" xfId="989"/>
    <cellStyle name="Accent2 - 40%" xfId="990"/>
    <cellStyle name="Accent2 - 40% 2" xfId="991"/>
    <cellStyle name="Accent2 - 40% 3" xfId="992"/>
    <cellStyle name="Accent2 - 40% 4" xfId="993"/>
    <cellStyle name="Accent2 - 40% 5" xfId="994"/>
    <cellStyle name="Accent2 - 60%" xfId="995"/>
    <cellStyle name="Accent2 - 60% 2" xfId="996"/>
    <cellStyle name="Accent2 - 60% 3" xfId="997"/>
    <cellStyle name="Accent2 - 60% 4" xfId="998"/>
    <cellStyle name="Accent2 10" xfId="999"/>
    <cellStyle name="Accent2 11" xfId="1000"/>
    <cellStyle name="Accent2 12" xfId="1001"/>
    <cellStyle name="Accent2 13" xfId="1002"/>
    <cellStyle name="Accent2 14" xfId="1003"/>
    <cellStyle name="Accent2 15" xfId="1004"/>
    <cellStyle name="Accent2 16" xfId="1005"/>
    <cellStyle name="Accent2 17" xfId="1006"/>
    <cellStyle name="Accent2 18" xfId="1007"/>
    <cellStyle name="Accent2 19" xfId="1008"/>
    <cellStyle name="Accent2 2" xfId="82"/>
    <cellStyle name="Accent2 2 2" xfId="83"/>
    <cellStyle name="Accent2 2 2 2" xfId="4472"/>
    <cellStyle name="Accent2 2 2 3" xfId="1009"/>
    <cellStyle name="Accent2 2 3" xfId="1010"/>
    <cellStyle name="Accent2 2 4" xfId="1011"/>
    <cellStyle name="Accent2 2 5" xfId="4442"/>
    <cellStyle name="Accent2 20" xfId="1012"/>
    <cellStyle name="Accent2 21" xfId="1013"/>
    <cellStyle name="Accent2 22" xfId="1014"/>
    <cellStyle name="Accent2 23" xfId="1015"/>
    <cellStyle name="Accent2 24" xfId="1016"/>
    <cellStyle name="Accent2 25" xfId="1017"/>
    <cellStyle name="Accent2 26" xfId="1018"/>
    <cellStyle name="Accent2 27" xfId="1019"/>
    <cellStyle name="Accent2 28" xfId="1020"/>
    <cellStyle name="Accent2 29" xfId="1021"/>
    <cellStyle name="Accent2 3" xfId="84"/>
    <cellStyle name="Accent2 3 2" xfId="1022"/>
    <cellStyle name="Accent2 3 3" xfId="1023"/>
    <cellStyle name="Accent2 30" xfId="1024"/>
    <cellStyle name="Accent2 31" xfId="1025"/>
    <cellStyle name="Accent2 32" xfId="1026"/>
    <cellStyle name="Accent2 33" xfId="1027"/>
    <cellStyle name="Accent2 34" xfId="1028"/>
    <cellStyle name="Accent2 35" xfId="1029"/>
    <cellStyle name="Accent2 36" xfId="1030"/>
    <cellStyle name="Accent2 37" xfId="1732"/>
    <cellStyle name="Accent2 38" xfId="4378"/>
    <cellStyle name="Accent2 4" xfId="1031"/>
    <cellStyle name="Accent2 5" xfId="1032"/>
    <cellStyle name="Accent2 6" xfId="1033"/>
    <cellStyle name="Accent2 7" xfId="1034"/>
    <cellStyle name="Accent2 8" xfId="1035"/>
    <cellStyle name="Accent2 9" xfId="1036"/>
    <cellStyle name="Accent3" xfId="354" builtinId="37" customBuiltin="1"/>
    <cellStyle name="Accent3 - 20%" xfId="1037"/>
    <cellStyle name="Accent3 - 20% 2" xfId="1038"/>
    <cellStyle name="Accent3 - 20% 3" xfId="1039"/>
    <cellStyle name="Accent3 - 20% 4" xfId="1040"/>
    <cellStyle name="Accent3 - 20% 5" xfId="1041"/>
    <cellStyle name="Accent3 - 40%" xfId="1042"/>
    <cellStyle name="Accent3 - 40% 2" xfId="1043"/>
    <cellStyle name="Accent3 - 40% 3" xfId="1044"/>
    <cellStyle name="Accent3 - 40% 4" xfId="1045"/>
    <cellStyle name="Accent3 - 40% 5" xfId="1046"/>
    <cellStyle name="Accent3 - 60%" xfId="1047"/>
    <cellStyle name="Accent3 - 60% 2" xfId="1048"/>
    <cellStyle name="Accent3 - 60% 3" xfId="1049"/>
    <cellStyle name="Accent3 - 60% 4" xfId="1050"/>
    <cellStyle name="Accent3 10" xfId="1051"/>
    <cellStyle name="Accent3 11" xfId="1052"/>
    <cellStyle name="Accent3 12" xfId="1053"/>
    <cellStyle name="Accent3 13" xfId="1054"/>
    <cellStyle name="Accent3 14" xfId="1055"/>
    <cellStyle name="Accent3 15" xfId="1056"/>
    <cellStyle name="Accent3 16" xfId="1057"/>
    <cellStyle name="Accent3 17" xfId="1058"/>
    <cellStyle name="Accent3 18" xfId="1059"/>
    <cellStyle name="Accent3 19" xfId="1060"/>
    <cellStyle name="Accent3 2" xfId="85"/>
    <cellStyle name="Accent3 2 2" xfId="86"/>
    <cellStyle name="Accent3 2 2 2" xfId="1062"/>
    <cellStyle name="Accent3 2 2 3" xfId="1063"/>
    <cellStyle name="Accent3 2 2 4" xfId="4473"/>
    <cellStyle name="Accent3 2 2 5" xfId="1061"/>
    <cellStyle name="Accent3 2 3" xfId="1064"/>
    <cellStyle name="Accent3 2 4" xfId="1065"/>
    <cellStyle name="Accent3 2 5" xfId="1066"/>
    <cellStyle name="Accent3 2 6" xfId="1067"/>
    <cellStyle name="Accent3 2 7" xfId="1068"/>
    <cellStyle name="Accent3 2 8" xfId="1069"/>
    <cellStyle name="Accent3 2 9" xfId="4446"/>
    <cellStyle name="Accent3 20" xfId="1070"/>
    <cellStyle name="Accent3 21" xfId="1071"/>
    <cellStyle name="Accent3 22" xfId="1072"/>
    <cellStyle name="Accent3 23" xfId="1073"/>
    <cellStyle name="Accent3 24" xfId="1074"/>
    <cellStyle name="Accent3 25" xfId="1075"/>
    <cellStyle name="Accent3 26" xfId="1076"/>
    <cellStyle name="Accent3 27" xfId="1077"/>
    <cellStyle name="Accent3 28" xfId="1078"/>
    <cellStyle name="Accent3 29" xfId="1079"/>
    <cellStyle name="Accent3 3" xfId="87"/>
    <cellStyle name="Accent3 3 2" xfId="1080"/>
    <cellStyle name="Accent3 3 3" xfId="1081"/>
    <cellStyle name="Accent3 3 4" xfId="1082"/>
    <cellStyle name="Accent3 3 5" xfId="1083"/>
    <cellStyle name="Accent3 30" xfId="1084"/>
    <cellStyle name="Accent3 31" xfId="1085"/>
    <cellStyle name="Accent3 32" xfId="1086"/>
    <cellStyle name="Accent3 33" xfId="1087"/>
    <cellStyle name="Accent3 34" xfId="1088"/>
    <cellStyle name="Accent3 35" xfId="1089"/>
    <cellStyle name="Accent3 36" xfId="1090"/>
    <cellStyle name="Accent3 37" xfId="1091"/>
    <cellStyle name="Accent3 38" xfId="1748"/>
    <cellStyle name="Accent3 39" xfId="4379"/>
    <cellStyle name="Accent3 4" xfId="1092"/>
    <cellStyle name="Accent3 5" xfId="1093"/>
    <cellStyle name="Accent3 6" xfId="1094"/>
    <cellStyle name="Accent3 7" xfId="1095"/>
    <cellStyle name="Accent3 8" xfId="1096"/>
    <cellStyle name="Accent3 9" xfId="1097"/>
    <cellStyle name="Accent4" xfId="358" builtinId="41" customBuiltin="1"/>
    <cellStyle name="Accent4 - 20%" xfId="1098"/>
    <cellStyle name="Accent4 - 20% 2" xfId="1099"/>
    <cellStyle name="Accent4 - 20% 3" xfId="1100"/>
    <cellStyle name="Accent4 - 20% 4" xfId="1101"/>
    <cellStyle name="Accent4 - 20% 5" xfId="1102"/>
    <cellStyle name="Accent4 - 40%" xfId="1103"/>
    <cellStyle name="Accent4 - 40% 2" xfId="1104"/>
    <cellStyle name="Accent4 - 40% 3" xfId="1105"/>
    <cellStyle name="Accent4 - 40% 4" xfId="1106"/>
    <cellStyle name="Accent4 - 40% 5" xfId="1107"/>
    <cellStyle name="Accent4 - 60%" xfId="1108"/>
    <cellStyle name="Accent4 - 60% 2" xfId="1109"/>
    <cellStyle name="Accent4 - 60% 3" xfId="1110"/>
    <cellStyle name="Accent4 - 60% 4" xfId="1111"/>
    <cellStyle name="Accent4 10" xfId="1112"/>
    <cellStyle name="Accent4 11" xfId="1113"/>
    <cellStyle name="Accent4 12" xfId="1114"/>
    <cellStyle name="Accent4 13" xfId="1115"/>
    <cellStyle name="Accent4 14" xfId="1116"/>
    <cellStyle name="Accent4 15" xfId="1117"/>
    <cellStyle name="Accent4 16" xfId="1118"/>
    <cellStyle name="Accent4 17" xfId="1119"/>
    <cellStyle name="Accent4 18" xfId="1120"/>
    <cellStyle name="Accent4 19" xfId="1121"/>
    <cellStyle name="Accent4 2" xfId="88"/>
    <cellStyle name="Accent4 2 2" xfId="89"/>
    <cellStyle name="Accent4 2 2 2" xfId="1123"/>
    <cellStyle name="Accent4 2 2 3" xfId="1124"/>
    <cellStyle name="Accent4 2 2 4" xfId="4474"/>
    <cellStyle name="Accent4 2 2 5" xfId="1122"/>
    <cellStyle name="Accent4 2 3" xfId="1125"/>
    <cellStyle name="Accent4 2 4" xfId="1126"/>
    <cellStyle name="Accent4 2 5" xfId="1127"/>
    <cellStyle name="Accent4 2 6" xfId="1128"/>
    <cellStyle name="Accent4 2 7" xfId="1129"/>
    <cellStyle name="Accent4 2 8" xfId="1130"/>
    <cellStyle name="Accent4 2 9" xfId="4450"/>
    <cellStyle name="Accent4 20" xfId="1131"/>
    <cellStyle name="Accent4 21" xfId="1132"/>
    <cellStyle name="Accent4 22" xfId="1133"/>
    <cellStyle name="Accent4 23" xfId="1134"/>
    <cellStyle name="Accent4 24" xfId="1135"/>
    <cellStyle name="Accent4 25" xfId="1136"/>
    <cellStyle name="Accent4 26" xfId="1137"/>
    <cellStyle name="Accent4 27" xfId="1138"/>
    <cellStyle name="Accent4 28" xfId="1139"/>
    <cellStyle name="Accent4 29" xfId="1140"/>
    <cellStyle name="Accent4 3" xfId="90"/>
    <cellStyle name="Accent4 3 2" xfId="1141"/>
    <cellStyle name="Accent4 3 3" xfId="1142"/>
    <cellStyle name="Accent4 3 4" xfId="1143"/>
    <cellStyle name="Accent4 3 5" xfId="1144"/>
    <cellStyle name="Accent4 30" xfId="1145"/>
    <cellStyle name="Accent4 31" xfId="1146"/>
    <cellStyle name="Accent4 32" xfId="1147"/>
    <cellStyle name="Accent4 33" xfId="1148"/>
    <cellStyle name="Accent4 34" xfId="1149"/>
    <cellStyle name="Accent4 35" xfId="1150"/>
    <cellStyle name="Accent4 36" xfId="1151"/>
    <cellStyle name="Accent4 37" xfId="1152"/>
    <cellStyle name="Accent4 38" xfId="1764"/>
    <cellStyle name="Accent4 39" xfId="4380"/>
    <cellStyle name="Accent4 4" xfId="1153"/>
    <cellStyle name="Accent4 5" xfId="1154"/>
    <cellStyle name="Accent4 6" xfId="1155"/>
    <cellStyle name="Accent4 7" xfId="1156"/>
    <cellStyle name="Accent4 8" xfId="1157"/>
    <cellStyle name="Accent4 9" xfId="1158"/>
    <cellStyle name="Accent5" xfId="362" builtinId="45" customBuiltin="1"/>
    <cellStyle name="Accent5 - 20%" xfId="1159"/>
    <cellStyle name="Accent5 - 20% 2" xfId="1160"/>
    <cellStyle name="Accent5 - 20% 3" xfId="1161"/>
    <cellStyle name="Accent5 - 20% 4" xfId="1162"/>
    <cellStyle name="Accent5 - 20% 5" xfId="1163"/>
    <cellStyle name="Accent5 - 40%" xfId="1164"/>
    <cellStyle name="Accent5 - 40% 2" xfId="1165"/>
    <cellStyle name="Accent5 - 40% 3" xfId="1166"/>
    <cellStyle name="Accent5 - 60%" xfId="1167"/>
    <cellStyle name="Accent5 - 60% 2" xfId="1168"/>
    <cellStyle name="Accent5 - 60% 3" xfId="1169"/>
    <cellStyle name="Accent5 - 60% 4" xfId="1170"/>
    <cellStyle name="Accent5 10" xfId="1171"/>
    <cellStyle name="Accent5 11" xfId="1172"/>
    <cellStyle name="Accent5 12" xfId="1173"/>
    <cellStyle name="Accent5 13" xfId="1174"/>
    <cellStyle name="Accent5 14" xfId="1175"/>
    <cellStyle name="Accent5 15" xfId="1176"/>
    <cellStyle name="Accent5 16" xfId="1177"/>
    <cellStyle name="Accent5 17" xfId="1178"/>
    <cellStyle name="Accent5 18" xfId="1179"/>
    <cellStyle name="Accent5 19" xfId="1180"/>
    <cellStyle name="Accent5 2" xfId="91"/>
    <cellStyle name="Accent5 2 2" xfId="92"/>
    <cellStyle name="Accent5 2 2 2" xfId="1182"/>
    <cellStyle name="Accent5 2 2 3" xfId="1183"/>
    <cellStyle name="Accent5 2 2 4" xfId="4475"/>
    <cellStyle name="Accent5 2 2 5" xfId="1181"/>
    <cellStyle name="Accent5 2 3" xfId="1184"/>
    <cellStyle name="Accent5 2 4" xfId="1185"/>
    <cellStyle name="Accent5 2 5" xfId="1186"/>
    <cellStyle name="Accent5 2 6" xfId="1187"/>
    <cellStyle name="Accent5 2 7" xfId="1188"/>
    <cellStyle name="Accent5 2 8" xfId="1189"/>
    <cellStyle name="Accent5 2 9" xfId="4454"/>
    <cellStyle name="Accent5 20" xfId="1190"/>
    <cellStyle name="Accent5 21" xfId="1191"/>
    <cellStyle name="Accent5 22" xfId="1192"/>
    <cellStyle name="Accent5 23" xfId="1193"/>
    <cellStyle name="Accent5 24" xfId="1194"/>
    <cellStyle name="Accent5 25" xfId="1195"/>
    <cellStyle name="Accent5 26" xfId="1196"/>
    <cellStyle name="Accent5 27" xfId="1197"/>
    <cellStyle name="Accent5 28" xfId="1198"/>
    <cellStyle name="Accent5 29" xfId="1199"/>
    <cellStyle name="Accent5 3" xfId="93"/>
    <cellStyle name="Accent5 3 2" xfId="1200"/>
    <cellStyle name="Accent5 3 3" xfId="1201"/>
    <cellStyle name="Accent5 3 4" xfId="1202"/>
    <cellStyle name="Accent5 3 5" xfId="1203"/>
    <cellStyle name="Accent5 30" xfId="1204"/>
    <cellStyle name="Accent5 31" xfId="1205"/>
    <cellStyle name="Accent5 32" xfId="1206"/>
    <cellStyle name="Accent5 33" xfId="1207"/>
    <cellStyle name="Accent5 34" xfId="1208"/>
    <cellStyle name="Accent5 35" xfId="1209"/>
    <cellStyle name="Accent5 36" xfId="1210"/>
    <cellStyle name="Accent5 37" xfId="1211"/>
    <cellStyle name="Accent5 38" xfId="1780"/>
    <cellStyle name="Accent5 39" xfId="4381"/>
    <cellStyle name="Accent5 4" xfId="1212"/>
    <cellStyle name="Accent5 5" xfId="1213"/>
    <cellStyle name="Accent5 6" xfId="1214"/>
    <cellStyle name="Accent5 7" xfId="1215"/>
    <cellStyle name="Accent5 8" xfId="1216"/>
    <cellStyle name="Accent5 9" xfId="1217"/>
    <cellStyle name="Accent6" xfId="366" builtinId="49" customBuiltin="1"/>
    <cellStyle name="Accent6 - 20%" xfId="1218"/>
    <cellStyle name="Accent6 - 20% 2" xfId="1219"/>
    <cellStyle name="Accent6 - 20% 3" xfId="1220"/>
    <cellStyle name="Accent6 - 40%" xfId="1221"/>
    <cellStyle name="Accent6 - 40% 2" xfId="1222"/>
    <cellStyle name="Accent6 - 40% 3" xfId="1223"/>
    <cellStyle name="Accent6 - 40% 4" xfId="1224"/>
    <cellStyle name="Accent6 - 40% 5" xfId="1225"/>
    <cellStyle name="Accent6 - 60%" xfId="1226"/>
    <cellStyle name="Accent6 - 60% 2" xfId="1227"/>
    <cellStyle name="Accent6 - 60% 3" xfId="1228"/>
    <cellStyle name="Accent6 - 60% 4" xfId="1229"/>
    <cellStyle name="Accent6 10" xfId="1230"/>
    <cellStyle name="Accent6 11" xfId="1231"/>
    <cellStyle name="Accent6 12" xfId="1232"/>
    <cellStyle name="Accent6 13" xfId="1233"/>
    <cellStyle name="Accent6 14" xfId="1234"/>
    <cellStyle name="Accent6 15" xfId="1235"/>
    <cellStyle name="Accent6 16" xfId="1236"/>
    <cellStyle name="Accent6 17" xfId="1237"/>
    <cellStyle name="Accent6 18" xfId="1238"/>
    <cellStyle name="Accent6 19" xfId="1239"/>
    <cellStyle name="Accent6 2" xfId="94"/>
    <cellStyle name="Accent6 2 2" xfId="95"/>
    <cellStyle name="Accent6 2 2 2" xfId="1241"/>
    <cellStyle name="Accent6 2 2 3" xfId="1242"/>
    <cellStyle name="Accent6 2 2 4" xfId="4476"/>
    <cellStyle name="Accent6 2 2 5" xfId="1240"/>
    <cellStyle name="Accent6 2 3" xfId="1243"/>
    <cellStyle name="Accent6 2 4" xfId="1244"/>
    <cellStyle name="Accent6 2 5" xfId="1245"/>
    <cellStyle name="Accent6 2 6" xfId="1246"/>
    <cellStyle name="Accent6 2 7" xfId="1247"/>
    <cellStyle name="Accent6 2 8" xfId="1248"/>
    <cellStyle name="Accent6 2 9" xfId="4458"/>
    <cellStyle name="Accent6 20" xfId="1249"/>
    <cellStyle name="Accent6 21" xfId="1250"/>
    <cellStyle name="Accent6 22" xfId="1251"/>
    <cellStyle name="Accent6 23" xfId="1252"/>
    <cellStyle name="Accent6 24" xfId="1253"/>
    <cellStyle name="Accent6 25" xfId="1254"/>
    <cellStyle name="Accent6 26" xfId="1255"/>
    <cellStyle name="Accent6 27" xfId="1256"/>
    <cellStyle name="Accent6 28" xfId="1257"/>
    <cellStyle name="Accent6 29" xfId="1258"/>
    <cellStyle name="Accent6 3" xfId="96"/>
    <cellStyle name="Accent6 3 2" xfId="1259"/>
    <cellStyle name="Accent6 3 3" xfId="1260"/>
    <cellStyle name="Accent6 3 4" xfId="1261"/>
    <cellStyle name="Accent6 3 5" xfId="1262"/>
    <cellStyle name="Accent6 30" xfId="1263"/>
    <cellStyle name="Accent6 31" xfId="1264"/>
    <cellStyle name="Accent6 32" xfId="1265"/>
    <cellStyle name="Accent6 33" xfId="1266"/>
    <cellStyle name="Accent6 34" xfId="1267"/>
    <cellStyle name="Accent6 35" xfId="1268"/>
    <cellStyle name="Accent6 36" xfId="1269"/>
    <cellStyle name="Accent6 37" xfId="1270"/>
    <cellStyle name="Accent6 38" xfId="1796"/>
    <cellStyle name="Accent6 39" xfId="4382"/>
    <cellStyle name="Accent6 4" xfId="1271"/>
    <cellStyle name="Accent6 5" xfId="1272"/>
    <cellStyle name="Accent6 6" xfId="1273"/>
    <cellStyle name="Accent6 7" xfId="1274"/>
    <cellStyle name="Accent6 8" xfId="1275"/>
    <cellStyle name="Accent6 9" xfId="1276"/>
    <cellStyle name="Aro-para" xfId="1277"/>
    <cellStyle name="Bad" xfId="336" builtinId="27" customBuiltin="1"/>
    <cellStyle name="Bad 2" xfId="97"/>
    <cellStyle name="Bad 2 2" xfId="98"/>
    <cellStyle name="Bad 2 2 2" xfId="1279"/>
    <cellStyle name="Bad 2 2 3" xfId="1280"/>
    <cellStyle name="Bad 2 2 4" xfId="4477"/>
    <cellStyle name="Bad 2 2 5" xfId="1278"/>
    <cellStyle name="Bad 2 3" xfId="1281"/>
    <cellStyle name="Bad 2 4" xfId="1282"/>
    <cellStyle name="Bad 2 5" xfId="1283"/>
    <cellStyle name="Bad 2 6" xfId="1284"/>
    <cellStyle name="Bad 2 7" xfId="1285"/>
    <cellStyle name="Bad 2 8" xfId="1286"/>
    <cellStyle name="Bad 2 9" xfId="4428"/>
    <cellStyle name="Bad 3" xfId="99"/>
    <cellStyle name="Bad 3 2" xfId="1287"/>
    <cellStyle name="Bad 3 3" xfId="1288"/>
    <cellStyle name="Bad 3 4" xfId="1289"/>
    <cellStyle name="Bad 3 5" xfId="1290"/>
    <cellStyle name="Bad 4" xfId="1291"/>
    <cellStyle name="Bad 5" xfId="1292"/>
    <cellStyle name="Bad 6" xfId="2126"/>
    <cellStyle name="Bom" xfId="1293"/>
    <cellStyle name="Buena" xfId="100"/>
    <cellStyle name="Buena 10" xfId="1294"/>
    <cellStyle name="Buena 11" xfId="1295"/>
    <cellStyle name="Buena 12" xfId="1296"/>
    <cellStyle name="Buena 13" xfId="1297"/>
    <cellStyle name="Buena 14" xfId="1298"/>
    <cellStyle name="Buena 15" xfId="4362"/>
    <cellStyle name="Buena 2" xfId="1299"/>
    <cellStyle name="Buena 2 2" xfId="1300"/>
    <cellStyle name="Buena 3" xfId="1301"/>
    <cellStyle name="Buena 3 2" xfId="1302"/>
    <cellStyle name="Buena 4" xfId="1303"/>
    <cellStyle name="Buena 5" xfId="1304"/>
    <cellStyle name="Buena 6" xfId="1305"/>
    <cellStyle name="Buena 7" xfId="1306"/>
    <cellStyle name="Buena 8" xfId="1307"/>
    <cellStyle name="Buena 9" xfId="1308"/>
    <cellStyle name="Calc" xfId="101"/>
    <cellStyle name="Calc 2" xfId="1309"/>
    <cellStyle name="Calc 2 2" xfId="1310"/>
    <cellStyle name="Calc 3" xfId="1311"/>
    <cellStyle name="Calc 4" xfId="1312"/>
    <cellStyle name="Calculation" xfId="340" builtinId="22" customBuiltin="1"/>
    <cellStyle name="Calculation 2" xfId="102"/>
    <cellStyle name="Calculation 2 2" xfId="103"/>
    <cellStyle name="Calculation 2 2 2" xfId="1314"/>
    <cellStyle name="Calculation 2 2 3" xfId="1315"/>
    <cellStyle name="Calculation 2 2 4" xfId="4478"/>
    <cellStyle name="Calculation 2 2 5" xfId="1313"/>
    <cellStyle name="Calculation 2 3" xfId="1316"/>
    <cellStyle name="Calculation 2 4" xfId="1317"/>
    <cellStyle name="Calculation 2 5" xfId="1318"/>
    <cellStyle name="Calculation 2 6" xfId="1319"/>
    <cellStyle name="Calculation 2 7" xfId="1320"/>
    <cellStyle name="Calculation 2 8" xfId="1321"/>
    <cellStyle name="Calculation 2 9" xfId="4432"/>
    <cellStyle name="Calculation 3" xfId="104"/>
    <cellStyle name="Calculation 3 2" xfId="1322"/>
    <cellStyle name="Calculation 3 3" xfId="1323"/>
    <cellStyle name="Calculation 3 4" xfId="1324"/>
    <cellStyle name="Calculation 3 5" xfId="1325"/>
    <cellStyle name="Calculation 4" xfId="1326"/>
    <cellStyle name="Calculation 5" xfId="1327"/>
    <cellStyle name="Calculation 6" xfId="1328"/>
    <cellStyle name="Cálculo" xfId="105"/>
    <cellStyle name="Cálculo 10" xfId="1329"/>
    <cellStyle name="Cálculo 11" xfId="1330"/>
    <cellStyle name="Cálculo 12" xfId="1331"/>
    <cellStyle name="Cálculo 13" xfId="1332"/>
    <cellStyle name="Cálculo 14" xfId="1333"/>
    <cellStyle name="Cálculo 2" xfId="1334"/>
    <cellStyle name="Cálculo 2 2" xfId="1335"/>
    <cellStyle name="Cálculo 3" xfId="1336"/>
    <cellStyle name="Cálculo 3 2" xfId="1337"/>
    <cellStyle name="Cálculo 4" xfId="1338"/>
    <cellStyle name="Cálculo 5" xfId="1339"/>
    <cellStyle name="Cálculo 6" xfId="1340"/>
    <cellStyle name="Cálculo 7" xfId="1341"/>
    <cellStyle name="Cálculo 8" xfId="1342"/>
    <cellStyle name="Cálculo 9" xfId="1343"/>
    <cellStyle name="Cancel" xfId="1344"/>
    <cellStyle name="Cancel 2" xfId="1345"/>
    <cellStyle name="Celda de comprobación" xfId="106"/>
    <cellStyle name="Celda de comprobación 10" xfId="1346"/>
    <cellStyle name="Celda de comprobación 11" xfId="1347"/>
    <cellStyle name="Celda de comprobación 12" xfId="1348"/>
    <cellStyle name="Celda de comprobación 13" xfId="1349"/>
    <cellStyle name="Celda de comprobación 14" xfId="1350"/>
    <cellStyle name="Celda de comprobación 15" xfId="4365"/>
    <cellStyle name="Celda de comprobación 2" xfId="1351"/>
    <cellStyle name="Celda de comprobación 2 2" xfId="1352"/>
    <cellStyle name="Celda de comprobación 2 3" xfId="1353"/>
    <cellStyle name="Celda de comprobación 3" xfId="1354"/>
    <cellStyle name="Celda de comprobación 3 2" xfId="1355"/>
    <cellStyle name="Celda de comprobación 4" xfId="1356"/>
    <cellStyle name="Celda de comprobación 5" xfId="1357"/>
    <cellStyle name="Celda de comprobación 6" xfId="1358"/>
    <cellStyle name="Celda de comprobación 7" xfId="1359"/>
    <cellStyle name="Celda de comprobación 8" xfId="1360"/>
    <cellStyle name="Celda de comprobación 9" xfId="1361"/>
    <cellStyle name="Celda vinculada" xfId="107"/>
    <cellStyle name="Celda vinculada 10" xfId="1362"/>
    <cellStyle name="Celda vinculada 11" xfId="1363"/>
    <cellStyle name="Celda vinculada 12" xfId="1364"/>
    <cellStyle name="Celda vinculada 13" xfId="1365"/>
    <cellStyle name="Celda vinculada 14" xfId="1366"/>
    <cellStyle name="Celda vinculada 15" xfId="4364"/>
    <cellStyle name="Celda vinculada 2" xfId="1367"/>
    <cellStyle name="Celda vinculada 2 2" xfId="1368"/>
    <cellStyle name="Celda vinculada 3" xfId="1369"/>
    <cellStyle name="Celda vinculada 3 2" xfId="1370"/>
    <cellStyle name="Celda vinculada 4" xfId="1371"/>
    <cellStyle name="Celda vinculada 5" xfId="1372"/>
    <cellStyle name="Celda vinculada 6" xfId="1373"/>
    <cellStyle name="Celda vinculada 7" xfId="1374"/>
    <cellStyle name="Celda vinculada 8" xfId="1375"/>
    <cellStyle name="Celda vinculada 9" xfId="1376"/>
    <cellStyle name="Célula de Verificação" xfId="1377"/>
    <cellStyle name="Célula Vinculada" xfId="1378"/>
    <cellStyle name="Check Cell" xfId="342" builtinId="23" customBuiltin="1"/>
    <cellStyle name="Check Cell 2" xfId="108"/>
    <cellStyle name="Check Cell 2 10" xfId="4434"/>
    <cellStyle name="Check Cell 2 2" xfId="109"/>
    <cellStyle name="Check Cell 2 2 2" xfId="1380"/>
    <cellStyle name="Check Cell 2 2 3" xfId="1381"/>
    <cellStyle name="Check Cell 2 2 4" xfId="1382"/>
    <cellStyle name="Check Cell 2 2 5" xfId="1383"/>
    <cellStyle name="Check Cell 2 2 6" xfId="4479"/>
    <cellStyle name="Check Cell 2 2 7" xfId="1379"/>
    <cellStyle name="Check Cell 2 3" xfId="1384"/>
    <cellStyle name="Check Cell 2 4" xfId="1385"/>
    <cellStyle name="Check Cell 2 5" xfId="1386"/>
    <cellStyle name="Check Cell 2 6" xfId="1387"/>
    <cellStyle name="Check Cell 2 7" xfId="1388"/>
    <cellStyle name="Check Cell 2 8" xfId="1389"/>
    <cellStyle name="Check Cell 2 9" xfId="1390"/>
    <cellStyle name="Check Cell 3" xfId="110"/>
    <cellStyle name="Check Cell 3 2" xfId="1391"/>
    <cellStyle name="Check Cell 3 3" xfId="1392"/>
    <cellStyle name="Check Cell 3 4" xfId="1393"/>
    <cellStyle name="Check Cell 3 5" xfId="1394"/>
    <cellStyle name="Check Cell 4" xfId="1395"/>
    <cellStyle name="Check Cell 5" xfId="1396"/>
    <cellStyle name="Check Cell 6" xfId="1397"/>
    <cellStyle name="Comma  - Style1" xfId="111"/>
    <cellStyle name="Comma  - Style1 2" xfId="1398"/>
    <cellStyle name="Comma  - Style1 3" xfId="1399"/>
    <cellStyle name="Comma  - Style2" xfId="112"/>
    <cellStyle name="Comma  - Style2 2" xfId="1400"/>
    <cellStyle name="Comma  - Style2 3" xfId="1401"/>
    <cellStyle name="Comma  - Style3" xfId="113"/>
    <cellStyle name="Comma  - Style3 2" xfId="1402"/>
    <cellStyle name="Comma  - Style3 3" xfId="1403"/>
    <cellStyle name="Comma  - Style4" xfId="114"/>
    <cellStyle name="Comma  - Style4 2" xfId="1404"/>
    <cellStyle name="Comma  - Style4 3" xfId="1405"/>
    <cellStyle name="Comma  - Style5" xfId="115"/>
    <cellStyle name="Comma  - Style5 2" xfId="1406"/>
    <cellStyle name="Comma  - Style5 3" xfId="1407"/>
    <cellStyle name="Comma  - Style6" xfId="116"/>
    <cellStyle name="Comma  - Style6 2" xfId="1408"/>
    <cellStyle name="Comma  - Style6 3" xfId="1409"/>
    <cellStyle name="Comma  - Style7" xfId="117"/>
    <cellStyle name="Comma  - Style7 2" xfId="1410"/>
    <cellStyle name="Comma  - Style7 3" xfId="1411"/>
    <cellStyle name="Comma  - Style8" xfId="118"/>
    <cellStyle name="Comma  - Style8 2" xfId="1412"/>
    <cellStyle name="Comma  - Style8 3" xfId="1413"/>
    <cellStyle name="Comma [0] 2" xfId="1414"/>
    <cellStyle name="Comma [0] 3" xfId="1415"/>
    <cellStyle name="Comma 10" xfId="1416"/>
    <cellStyle name="Comma 11" xfId="1417"/>
    <cellStyle name="Comma 12" xfId="1418"/>
    <cellStyle name="Comma 13" xfId="1419"/>
    <cellStyle name="Comma 14" xfId="1420"/>
    <cellStyle name="Comma 14 2" xfId="1421"/>
    <cellStyle name="Comma 15" xfId="1422"/>
    <cellStyle name="Comma 15 2" xfId="1423"/>
    <cellStyle name="Comma 16" xfId="1424"/>
    <cellStyle name="Comma 16 2" xfId="1425"/>
    <cellStyle name="Comma 17" xfId="1426"/>
    <cellStyle name="Comma 18" xfId="1427"/>
    <cellStyle name="Comma 19" xfId="1428"/>
    <cellStyle name="Comma 2" xfId="119"/>
    <cellStyle name="Comma 2 2" xfId="120"/>
    <cellStyle name="Comma 2 2 2" xfId="121"/>
    <cellStyle name="Comma 2 2 2 2" xfId="1431"/>
    <cellStyle name="Comma 2 2 2 3" xfId="1432"/>
    <cellStyle name="Comma 2 2 2 4" xfId="1430"/>
    <cellStyle name="Comma 2 2 3" xfId="1433"/>
    <cellStyle name="Comma 2 2 3 2" xfId="1434"/>
    <cellStyle name="Comma 2 2 3 3" xfId="1435"/>
    <cellStyle name="Comma 2 2 4" xfId="4397"/>
    <cellStyle name="Comma 2 3" xfId="122"/>
    <cellStyle name="Comma 2 3 2" xfId="123"/>
    <cellStyle name="Comma 2 3 2 2" xfId="124"/>
    <cellStyle name="Comma 2 3 2 2 2" xfId="125"/>
    <cellStyle name="Comma 2 3 2 3" xfId="126"/>
    <cellStyle name="Comma 2 3 2 4" xfId="4407"/>
    <cellStyle name="Comma 2 3 2 5" xfId="1437"/>
    <cellStyle name="Comma 2 3 3" xfId="127"/>
    <cellStyle name="Comma 2 3 3 2" xfId="128"/>
    <cellStyle name="Comma 2 3 3 3" xfId="4412"/>
    <cellStyle name="Comma 2 3 3 4" xfId="1438"/>
    <cellStyle name="Comma 2 3 4" xfId="129"/>
    <cellStyle name="Comma 2 3 4 2" xfId="4462"/>
    <cellStyle name="Comma 2 3 4 3" xfId="1439"/>
    <cellStyle name="Comma 2 3 5" xfId="4401"/>
    <cellStyle name="Comma 2 3 6" xfId="1436"/>
    <cellStyle name="Comma 2 4" xfId="130"/>
    <cellStyle name="Comma 2 4 2" xfId="131"/>
    <cellStyle name="Comma 2 4 2 2" xfId="132"/>
    <cellStyle name="Comma 2 4 2 3" xfId="4414"/>
    <cellStyle name="Comma 2 4 2 4" xfId="1441"/>
    <cellStyle name="Comma 2 4 3" xfId="133"/>
    <cellStyle name="Comma 2 4 3 2" xfId="4463"/>
    <cellStyle name="Comma 2 4 3 3" xfId="1442"/>
    <cellStyle name="Comma 2 4 4" xfId="4405"/>
    <cellStyle name="Comma 2 4 5" xfId="1440"/>
    <cellStyle name="Comma 2 5" xfId="134"/>
    <cellStyle name="Comma 2 5 2" xfId="135"/>
    <cellStyle name="Comma 2 5 2 2" xfId="4464"/>
    <cellStyle name="Comma 2 5 2 3" xfId="1444"/>
    <cellStyle name="Comma 2 5 3" xfId="4411"/>
    <cellStyle name="Comma 2 5 4" xfId="1443"/>
    <cellStyle name="Comma 2 6" xfId="136"/>
    <cellStyle name="Comma 2 6 2" xfId="4465"/>
    <cellStyle name="Comma 2 6 3" xfId="1445"/>
    <cellStyle name="Comma 2 7" xfId="1429"/>
    <cellStyle name="Comma 20" xfId="1446"/>
    <cellStyle name="Comma 21" xfId="1447"/>
    <cellStyle name="Comma 22" xfId="1448"/>
    <cellStyle name="Comma 23" xfId="1449"/>
    <cellStyle name="Comma 24" xfId="1450"/>
    <cellStyle name="Comma 25" xfId="1451"/>
    <cellStyle name="Comma 26" xfId="1452"/>
    <cellStyle name="Comma 27" xfId="1453"/>
    <cellStyle name="Comma 28" xfId="1454"/>
    <cellStyle name="Comma 29" xfId="1455"/>
    <cellStyle name="Comma 3" xfId="137"/>
    <cellStyle name="Comma 3 2" xfId="138"/>
    <cellStyle name="Comma 3 2 2" xfId="1457"/>
    <cellStyle name="Comma 3 2 2 2" xfId="1458"/>
    <cellStyle name="Comma 3 2 3" xfId="1459"/>
    <cellStyle name="Comma 3 2 4" xfId="1460"/>
    <cellStyle name="Comma 3 2 5" xfId="1456"/>
    <cellStyle name="Comma 3 3" xfId="1461"/>
    <cellStyle name="Comma 3 4" xfId="1462"/>
    <cellStyle name="Comma 3 5" xfId="1463"/>
    <cellStyle name="Comma 3 6" xfId="4400"/>
    <cellStyle name="Comma 30" xfId="1464"/>
    <cellStyle name="Comma 31" xfId="1465"/>
    <cellStyle name="Comma 32" xfId="1466"/>
    <cellStyle name="Comma 33" xfId="1467"/>
    <cellStyle name="Comma 34" xfId="1468"/>
    <cellStyle name="Comma 35" xfId="1469"/>
    <cellStyle name="Comma 36" xfId="1470"/>
    <cellStyle name="Comma 37" xfId="1471"/>
    <cellStyle name="Comma 38" xfId="1472"/>
    <cellStyle name="Comma 39" xfId="1473"/>
    <cellStyle name="Comma 4" xfId="139"/>
    <cellStyle name="Comma 4 2" xfId="1474"/>
    <cellStyle name="Comma 4 2 2" xfId="1475"/>
    <cellStyle name="Comma 4 2 3" xfId="1476"/>
    <cellStyle name="Comma 4 3" xfId="1477"/>
    <cellStyle name="Comma 4 3 2" xfId="1478"/>
    <cellStyle name="Comma 40" xfId="1479"/>
    <cellStyle name="Comma 41" xfId="1480"/>
    <cellStyle name="Comma 42" xfId="1481"/>
    <cellStyle name="Comma 43" xfId="1482"/>
    <cellStyle name="Comma 44" xfId="1483"/>
    <cellStyle name="Comma 45" xfId="4386"/>
    <cellStyle name="Comma 46" xfId="4388"/>
    <cellStyle name="Comma 47" xfId="4390"/>
    <cellStyle name="Comma 48" xfId="4391"/>
    <cellStyle name="Comma 49" xfId="4393"/>
    <cellStyle name="Comma 5" xfId="140"/>
    <cellStyle name="Comma 5 2" xfId="1484"/>
    <cellStyle name="Comma 5 2 2" xfId="1485"/>
    <cellStyle name="Comma 5 2 3" xfId="1486"/>
    <cellStyle name="Comma 5 3" xfId="1487"/>
    <cellStyle name="Comma 5 3 2" xfId="1488"/>
    <cellStyle name="Comma 6" xfId="141"/>
    <cellStyle name="Comma 6 2" xfId="142"/>
    <cellStyle name="Comma 6 2 2" xfId="143"/>
    <cellStyle name="Comma 6 2 2 2" xfId="144"/>
    <cellStyle name="Comma 6 2 2 3" xfId="1491"/>
    <cellStyle name="Comma 6 2 3" xfId="145"/>
    <cellStyle name="Comma 6 2 3 2" xfId="1492"/>
    <cellStyle name="Comma 6 2 4" xfId="4498"/>
    <cellStyle name="Comma 6 2 5" xfId="1490"/>
    <cellStyle name="Comma 6 3" xfId="146"/>
    <cellStyle name="Comma 6 3 2" xfId="147"/>
    <cellStyle name="Comma 6 3 2 2" xfId="148"/>
    <cellStyle name="Comma 6 3 3" xfId="149"/>
    <cellStyle name="Comma 6 3 4" xfId="1493"/>
    <cellStyle name="Comma 6 4" xfId="150"/>
    <cellStyle name="Comma 6 4 2" xfId="151"/>
    <cellStyle name="Comma 6 5" xfId="152"/>
    <cellStyle name="Comma 6 6" xfId="1489"/>
    <cellStyle name="Comma 7" xfId="153"/>
    <cellStyle name="Comma 7 2" xfId="154"/>
    <cellStyle name="Comma 7 2 2" xfId="155"/>
    <cellStyle name="Comma 7 2 2 2" xfId="156"/>
    <cellStyle name="Comma 7 2 2 3" xfId="1496"/>
    <cellStyle name="Comma 7 2 3" xfId="157"/>
    <cellStyle name="Comma 7 2 3 2" xfId="1497"/>
    <cellStyle name="Comma 7 2 4" xfId="4499"/>
    <cellStyle name="Comma 7 2 5" xfId="1495"/>
    <cellStyle name="Comma 7 3" xfId="158"/>
    <cellStyle name="Comma 7 3 2" xfId="159"/>
    <cellStyle name="Comma 7 3 2 2" xfId="160"/>
    <cellStyle name="Comma 7 3 3" xfId="161"/>
    <cellStyle name="Comma 7 3 4" xfId="1498"/>
    <cellStyle name="Comma 7 4" xfId="162"/>
    <cellStyle name="Comma 7 4 2" xfId="163"/>
    <cellStyle name="Comma 7 5" xfId="164"/>
    <cellStyle name="Comma 7 6" xfId="1494"/>
    <cellStyle name="Comma 8" xfId="1499"/>
    <cellStyle name="Comma 8 2" xfId="1500"/>
    <cellStyle name="Comma 8 3" xfId="1501"/>
    <cellStyle name="Comma 8 4" xfId="1502"/>
    <cellStyle name="Comma 9" xfId="1503"/>
    <cellStyle name="Comma 9 2" xfId="1504"/>
    <cellStyle name="Contabilidad" xfId="1505"/>
    <cellStyle name="Contabilidad (0)" xfId="1506"/>
    <cellStyle name="Contabilidad (0) 2" xfId="1507"/>
    <cellStyle name="Contabilidad (0) 2 2" xfId="1508"/>
    <cellStyle name="Contabilidad (0) 2_20110401_SAL_Rev#1_ PTP 2011" xfId="1509"/>
    <cellStyle name="Contabilidad (0)_20110401_SAL_Rev#1_ PTP 2011" xfId="1510"/>
    <cellStyle name="Contabilidad 10" xfId="1511"/>
    <cellStyle name="Contabilidad 10 2" xfId="1512"/>
    <cellStyle name="Contabilidad 10_20110401_SAN_Rev#1_ PTP 2012" xfId="1513"/>
    <cellStyle name="Contabilidad 2" xfId="1514"/>
    <cellStyle name="Contabilidad 2 2" xfId="1515"/>
    <cellStyle name="Contabilidad 2_20110401_SAL_Rev#1_ PTP 2011" xfId="1516"/>
    <cellStyle name="Contabilidad 3" xfId="1517"/>
    <cellStyle name="Contabilidad 3 2" xfId="1518"/>
    <cellStyle name="Contabilidad 3_20110401_SAL_Rev#1_ PTP 2011" xfId="1519"/>
    <cellStyle name="Contabilidad 4" xfId="1520"/>
    <cellStyle name="Contabilidad 4 2" xfId="1521"/>
    <cellStyle name="Contabilidad 4_20110401_SAL_Rev#1_ PTP 2011" xfId="1522"/>
    <cellStyle name="Contabilidad 5" xfId="1523"/>
    <cellStyle name="Contabilidad 5 2" xfId="1524"/>
    <cellStyle name="Contabilidad 5_20110401_SAN_Rev#1_ PTP 2012" xfId="1525"/>
    <cellStyle name="Contabilidad 6" xfId="1526"/>
    <cellStyle name="Contabilidad 6 2" xfId="1527"/>
    <cellStyle name="Contabilidad 6_20110401_SAN_Rev#1_ PTP 2012" xfId="1528"/>
    <cellStyle name="Contabilidad 7" xfId="1529"/>
    <cellStyle name="Contabilidad 7 2" xfId="1530"/>
    <cellStyle name="Contabilidad 7_20110401_SAN_Rev#1_ PTP 2012" xfId="1531"/>
    <cellStyle name="Contabilidad 8" xfId="1532"/>
    <cellStyle name="Contabilidad 8 2" xfId="1533"/>
    <cellStyle name="Contabilidad 8_20110401_SAN_Rev#1_ PTP 2012" xfId="1534"/>
    <cellStyle name="Contabilidad 9" xfId="1535"/>
    <cellStyle name="Contabilidad 9 2" xfId="1536"/>
    <cellStyle name="Contabilidad 9_20110401_SAN_Rev#1_ PTP 2012" xfId="1537"/>
    <cellStyle name="Contabilidad_20110401_SAL_Rev#1_ PTP 2011" xfId="1538"/>
    <cellStyle name="Currency [0] 2" xfId="1539"/>
    <cellStyle name="Currency [0] 3" xfId="1540"/>
    <cellStyle name="Currency 2" xfId="1541"/>
    <cellStyle name="Currency 2 2" xfId="1542"/>
    <cellStyle name="Currency 3" xfId="1543"/>
    <cellStyle name="Date" xfId="1544"/>
    <cellStyle name="Date [mmm-d-yyyy]" xfId="1545"/>
    <cellStyle name="Date [mmm-yyyy]" xfId="1546"/>
    <cellStyle name="Date 10" xfId="1547"/>
    <cellStyle name="Date 11" xfId="1548"/>
    <cellStyle name="Date 12" xfId="1549"/>
    <cellStyle name="Date 13" xfId="1550"/>
    <cellStyle name="Date 14" xfId="1551"/>
    <cellStyle name="Date 15" xfId="1552"/>
    <cellStyle name="Date 16" xfId="1553"/>
    <cellStyle name="Date 17" xfId="1554"/>
    <cellStyle name="Date 18" xfId="1555"/>
    <cellStyle name="Date 19" xfId="1556"/>
    <cellStyle name="Date 2" xfId="1557"/>
    <cellStyle name="Date 2 2" xfId="1558"/>
    <cellStyle name="Date 2_20110401_SAL_Rev#1_ PTP 2011" xfId="1559"/>
    <cellStyle name="Date 20" xfId="1560"/>
    <cellStyle name="Date 21" xfId="1561"/>
    <cellStyle name="Date 22" xfId="1562"/>
    <cellStyle name="Date 23" xfId="1563"/>
    <cellStyle name="Date 24" xfId="1564"/>
    <cellStyle name="Date 25" xfId="1565"/>
    <cellStyle name="Date 26" xfId="1566"/>
    <cellStyle name="Date 27" xfId="1567"/>
    <cellStyle name="Date 28" xfId="1568"/>
    <cellStyle name="Date 29" xfId="1569"/>
    <cellStyle name="Date 3" xfId="1570"/>
    <cellStyle name="Date 30" xfId="1571"/>
    <cellStyle name="Date 31" xfId="1572"/>
    <cellStyle name="Date 32" xfId="1573"/>
    <cellStyle name="Date 33" xfId="1574"/>
    <cellStyle name="Date 34" xfId="1575"/>
    <cellStyle name="Date 35" xfId="1576"/>
    <cellStyle name="Date 36" xfId="1577"/>
    <cellStyle name="Date 37" xfId="1578"/>
    <cellStyle name="Date 38" xfId="1579"/>
    <cellStyle name="Date 39" xfId="1580"/>
    <cellStyle name="Date 4" xfId="1581"/>
    <cellStyle name="Date 40" xfId="1582"/>
    <cellStyle name="Date 41" xfId="1583"/>
    <cellStyle name="Date 42" xfId="1584"/>
    <cellStyle name="Date 43" xfId="1585"/>
    <cellStyle name="Date 44" xfId="1586"/>
    <cellStyle name="Date 44 2" xfId="1587"/>
    <cellStyle name="Date 45" xfId="1588"/>
    <cellStyle name="Date 45 2" xfId="1589"/>
    <cellStyle name="Date 46" xfId="1590"/>
    <cellStyle name="Date 46 2" xfId="1591"/>
    <cellStyle name="Date 47" xfId="1592"/>
    <cellStyle name="Date 47 2" xfId="1593"/>
    <cellStyle name="Date 48" xfId="1594"/>
    <cellStyle name="Date 48 2" xfId="1595"/>
    <cellStyle name="Date 49" xfId="1596"/>
    <cellStyle name="Date 49 2" xfId="1597"/>
    <cellStyle name="Date 5" xfId="1598"/>
    <cellStyle name="Date 50" xfId="1599"/>
    <cellStyle name="Date 50 2" xfId="1600"/>
    <cellStyle name="Date 51" xfId="1601"/>
    <cellStyle name="Date 51 2" xfId="1602"/>
    <cellStyle name="Date 52" xfId="1603"/>
    <cellStyle name="Date 52 2" xfId="1604"/>
    <cellStyle name="Date 53" xfId="1605"/>
    <cellStyle name="Date 53 2" xfId="1606"/>
    <cellStyle name="Date 54" xfId="1607"/>
    <cellStyle name="Date 54 2" xfId="1608"/>
    <cellStyle name="Date 55" xfId="1609"/>
    <cellStyle name="Date 55 2" xfId="1610"/>
    <cellStyle name="Date 56" xfId="1611"/>
    <cellStyle name="Date 56 2" xfId="1612"/>
    <cellStyle name="Date 57" xfId="1613"/>
    <cellStyle name="Date 57 2" xfId="1614"/>
    <cellStyle name="Date 58" xfId="1615"/>
    <cellStyle name="Date 58 2" xfId="1616"/>
    <cellStyle name="Date 59" xfId="1617"/>
    <cellStyle name="Date 59 2" xfId="1618"/>
    <cellStyle name="Date 6" xfId="1619"/>
    <cellStyle name="Date 60" xfId="1620"/>
    <cellStyle name="Date 60 2" xfId="1621"/>
    <cellStyle name="Date 61" xfId="1622"/>
    <cellStyle name="Date 61 2" xfId="1623"/>
    <cellStyle name="Date 62" xfId="1624"/>
    <cellStyle name="Date 62 2" xfId="1625"/>
    <cellStyle name="Date 63" xfId="1626"/>
    <cellStyle name="Date 63 2" xfId="1627"/>
    <cellStyle name="Date 64" xfId="1628"/>
    <cellStyle name="Date 64 2" xfId="1629"/>
    <cellStyle name="Date 65" xfId="1630"/>
    <cellStyle name="Date 66" xfId="1631"/>
    <cellStyle name="Date 67" xfId="1632"/>
    <cellStyle name="Date 68" xfId="1633"/>
    <cellStyle name="Date 69" xfId="1634"/>
    <cellStyle name="Date 7" xfId="1635"/>
    <cellStyle name="Date 70" xfId="1636"/>
    <cellStyle name="Date 71" xfId="1637"/>
    <cellStyle name="Date 72" xfId="1638"/>
    <cellStyle name="Date 73" xfId="1639"/>
    <cellStyle name="Date 74" xfId="1640"/>
    <cellStyle name="Date 8" xfId="1641"/>
    <cellStyle name="Date 9" xfId="1642"/>
    <cellStyle name="Date_INGRE" xfId="1643"/>
    <cellStyle name="Date2" xfId="1644"/>
    <cellStyle name="DEC1" xfId="1645"/>
    <cellStyle name="Dia" xfId="1646"/>
    <cellStyle name="Dia 2" xfId="1647"/>
    <cellStyle name="Dia 2 2" xfId="1648"/>
    <cellStyle name="Dia 2 2 2" xfId="1649"/>
    <cellStyle name="Dia 2 3" xfId="1650"/>
    <cellStyle name="Dia 2_20110401_SAL_Rev#1_ PTP 2011" xfId="1651"/>
    <cellStyle name="Dia 3" xfId="1652"/>
    <cellStyle name="Dia 3 2" xfId="1653"/>
    <cellStyle name="Dia 4" xfId="1654"/>
    <cellStyle name="Dia_20110401_SAL_Rev#1_ PTP 2011" xfId="1655"/>
    <cellStyle name="ding" xfId="1656"/>
    <cellStyle name="Di-tri" xfId="1657"/>
    <cellStyle name="Di-tri 2" xfId="1658"/>
    <cellStyle name="Di-tri_20110401_SAN_Rev#1_ PTP 2012" xfId="1659"/>
    <cellStyle name="Emphasis 1" xfId="1660"/>
    <cellStyle name="Emphasis 1 2" xfId="1661"/>
    <cellStyle name="Emphasis 1 3" xfId="1662"/>
    <cellStyle name="Emphasis 1 4" xfId="1663"/>
    <cellStyle name="Emphasis 1 5" xfId="1664"/>
    <cellStyle name="Emphasis 2" xfId="1665"/>
    <cellStyle name="Emphasis 2 2" xfId="1666"/>
    <cellStyle name="Emphasis 2 3" xfId="1667"/>
    <cellStyle name="Emphasis 2 4" xfId="1668"/>
    <cellStyle name="Emphasis 2 5" xfId="1669"/>
    <cellStyle name="Emphasis 3" xfId="1670"/>
    <cellStyle name="Emphasis 3 2" xfId="1671"/>
    <cellStyle name="Emphasis 3 3" xfId="1672"/>
    <cellStyle name="Emphasis 3 4" xfId="1673"/>
    <cellStyle name="Emphasis 3 5" xfId="1674"/>
    <cellStyle name="Encabez1" xfId="1675"/>
    <cellStyle name="Encabez1 2" xfId="1676"/>
    <cellStyle name="Encabez1 2 2" xfId="1677"/>
    <cellStyle name="Encabez1 2 2 2" xfId="1678"/>
    <cellStyle name="Encabez1 2 3" xfId="1679"/>
    <cellStyle name="Encabez1 2_20110401_SAL_Rev#1_ PTP 2011" xfId="1680"/>
    <cellStyle name="Encabez1 3" xfId="1681"/>
    <cellStyle name="Encabez1 3 2" xfId="1682"/>
    <cellStyle name="Encabez1 4" xfId="1683"/>
    <cellStyle name="Encabez1_20110401_SAL_Rev#1_ PTP 2011" xfId="1684"/>
    <cellStyle name="Encabez2" xfId="1685"/>
    <cellStyle name="Encabez2 2" xfId="1686"/>
    <cellStyle name="Encabez2 2 2" xfId="1687"/>
    <cellStyle name="Encabez2 2 2 2" xfId="1688"/>
    <cellStyle name="Encabez2 2 3" xfId="1689"/>
    <cellStyle name="Encabez2 2_20110401_SAL_Rev#1_ PTP 2011" xfId="1690"/>
    <cellStyle name="Encabez2 3" xfId="1691"/>
    <cellStyle name="Encabez2 3 2" xfId="1692"/>
    <cellStyle name="Encabez2 4" xfId="1693"/>
    <cellStyle name="Encabez2_20110401_SAL_Rev#1_ PTP 2011" xfId="1694"/>
    <cellStyle name="Encabezado 4" xfId="165"/>
    <cellStyle name="Encabezado 4 10" xfId="1695"/>
    <cellStyle name="Encabezado 4 11" xfId="1696"/>
    <cellStyle name="Encabezado 4 12" xfId="1697"/>
    <cellStyle name="Encabezado 4 13" xfId="1698"/>
    <cellStyle name="Encabezado 4 14" xfId="1699"/>
    <cellStyle name="Encabezado 4 15" xfId="4361"/>
    <cellStyle name="Encabezado 4 2" xfId="1700"/>
    <cellStyle name="Encabezado 4 2 2" xfId="1701"/>
    <cellStyle name="Encabezado 4 3" xfId="1702"/>
    <cellStyle name="Encabezado 4 3 2" xfId="1703"/>
    <cellStyle name="Encabezado 4 4" xfId="1704"/>
    <cellStyle name="Encabezado 4 5" xfId="1705"/>
    <cellStyle name="Encabezado 4 6" xfId="1706"/>
    <cellStyle name="Encabezado 4 7" xfId="1707"/>
    <cellStyle name="Encabezado 4 8" xfId="1708"/>
    <cellStyle name="Encabezado 4 9" xfId="1709"/>
    <cellStyle name="Ênfase1" xfId="1710"/>
    <cellStyle name="Ênfase2" xfId="1711"/>
    <cellStyle name="Ênfase3" xfId="1712"/>
    <cellStyle name="Ênfase4" xfId="1713"/>
    <cellStyle name="Ênfase5" xfId="1714"/>
    <cellStyle name="Ênfase6" xfId="1715"/>
    <cellStyle name="Énfasis1" xfId="166"/>
    <cellStyle name="Énfasis1 10" xfId="1717"/>
    <cellStyle name="Énfasis1 11" xfId="1718"/>
    <cellStyle name="Énfasis1 12" xfId="1719"/>
    <cellStyle name="Énfasis1 13" xfId="1720"/>
    <cellStyle name="Énfasis1 14" xfId="1721"/>
    <cellStyle name="Énfasis1 2" xfId="1722"/>
    <cellStyle name="Énfasis1 2 2" xfId="1723"/>
    <cellStyle name="Énfasis1 3" xfId="1724"/>
    <cellStyle name="Énfasis1 3 2" xfId="1725"/>
    <cellStyle name="Énfasis1 4" xfId="1726"/>
    <cellStyle name="Énfasis1 5" xfId="1727"/>
    <cellStyle name="Énfasis1 6" xfId="1728"/>
    <cellStyle name="Énfasis1 7" xfId="1729"/>
    <cellStyle name="Énfasis1 8" xfId="1730"/>
    <cellStyle name="Énfasis1 9" xfId="1731"/>
    <cellStyle name="Énfasis2" xfId="167"/>
    <cellStyle name="Énfasis2 10" xfId="1733"/>
    <cellStyle name="Énfasis2 11" xfId="1734"/>
    <cellStyle name="Énfasis2 12" xfId="1735"/>
    <cellStyle name="Énfasis2 13" xfId="1736"/>
    <cellStyle name="Énfasis2 14" xfId="1737"/>
    <cellStyle name="Énfasis2 2" xfId="1738"/>
    <cellStyle name="Énfasis2 2 2" xfId="1739"/>
    <cellStyle name="Énfasis2 3" xfId="1740"/>
    <cellStyle name="Énfasis2 3 2" xfId="1741"/>
    <cellStyle name="Énfasis2 4" xfId="1742"/>
    <cellStyle name="Énfasis2 5" xfId="1743"/>
    <cellStyle name="Énfasis2 6" xfId="1744"/>
    <cellStyle name="Énfasis2 7" xfId="1745"/>
    <cellStyle name="Énfasis2 8" xfId="1746"/>
    <cellStyle name="Énfasis2 9" xfId="1747"/>
    <cellStyle name="Énfasis3" xfId="168"/>
    <cellStyle name="Énfasis3 10" xfId="1749"/>
    <cellStyle name="Énfasis3 11" xfId="1750"/>
    <cellStyle name="Énfasis3 12" xfId="1751"/>
    <cellStyle name="Énfasis3 13" xfId="1752"/>
    <cellStyle name="Énfasis3 14" xfId="1753"/>
    <cellStyle name="Énfasis3 2" xfId="1754"/>
    <cellStyle name="Énfasis3 2 2" xfId="1755"/>
    <cellStyle name="Énfasis3 3" xfId="1756"/>
    <cellStyle name="Énfasis3 3 2" xfId="1757"/>
    <cellStyle name="Énfasis3 4" xfId="1758"/>
    <cellStyle name="Énfasis3 5" xfId="1759"/>
    <cellStyle name="Énfasis3 6" xfId="1760"/>
    <cellStyle name="Énfasis3 7" xfId="1761"/>
    <cellStyle name="Énfasis3 8" xfId="1762"/>
    <cellStyle name="Énfasis3 9" xfId="1763"/>
    <cellStyle name="Énfasis4" xfId="169"/>
    <cellStyle name="Énfasis4 10" xfId="1765"/>
    <cellStyle name="Énfasis4 11" xfId="1766"/>
    <cellStyle name="Énfasis4 12" xfId="1767"/>
    <cellStyle name="Énfasis4 13" xfId="1768"/>
    <cellStyle name="Énfasis4 14" xfId="1769"/>
    <cellStyle name="Énfasis4 2" xfId="1770"/>
    <cellStyle name="Énfasis4 2 2" xfId="1771"/>
    <cellStyle name="Énfasis4 3" xfId="1772"/>
    <cellStyle name="Énfasis4 3 2" xfId="1773"/>
    <cellStyle name="Énfasis4 4" xfId="1774"/>
    <cellStyle name="Énfasis4 5" xfId="1775"/>
    <cellStyle name="Énfasis4 6" xfId="1776"/>
    <cellStyle name="Énfasis4 7" xfId="1777"/>
    <cellStyle name="Énfasis4 8" xfId="1778"/>
    <cellStyle name="Énfasis4 9" xfId="1779"/>
    <cellStyle name="Énfasis5" xfId="170"/>
    <cellStyle name="Énfasis5 10" xfId="1781"/>
    <cellStyle name="Énfasis5 11" xfId="1782"/>
    <cellStyle name="Énfasis5 12" xfId="1783"/>
    <cellStyle name="Énfasis5 13" xfId="1784"/>
    <cellStyle name="Énfasis5 14" xfId="1785"/>
    <cellStyle name="Énfasis5 2" xfId="1786"/>
    <cellStyle name="Énfasis5 2 2" xfId="1787"/>
    <cellStyle name="Énfasis5 3" xfId="1788"/>
    <cellStyle name="Énfasis5 3 2" xfId="1789"/>
    <cellStyle name="Énfasis5 4" xfId="1790"/>
    <cellStyle name="Énfasis5 5" xfId="1791"/>
    <cellStyle name="Énfasis5 6" xfId="1792"/>
    <cellStyle name="Énfasis5 7" xfId="1793"/>
    <cellStyle name="Énfasis5 8" xfId="1794"/>
    <cellStyle name="Énfasis5 9" xfId="1795"/>
    <cellStyle name="Énfasis6" xfId="171"/>
    <cellStyle name="Énfasis6 10" xfId="1797"/>
    <cellStyle name="Énfasis6 11" xfId="1798"/>
    <cellStyle name="Énfasis6 12" xfId="1799"/>
    <cellStyle name="Énfasis6 13" xfId="1800"/>
    <cellStyle name="Énfasis6 14" xfId="1801"/>
    <cellStyle name="Énfasis6 2" xfId="1802"/>
    <cellStyle name="Énfasis6 2 2" xfId="1803"/>
    <cellStyle name="Énfasis6 3" xfId="1804"/>
    <cellStyle name="Énfasis6 3 2" xfId="1805"/>
    <cellStyle name="Énfasis6 4" xfId="1806"/>
    <cellStyle name="Énfasis6 5" xfId="1807"/>
    <cellStyle name="Énfasis6 6" xfId="1808"/>
    <cellStyle name="Énfasis6 7" xfId="1809"/>
    <cellStyle name="Énfasis6 8" xfId="1810"/>
    <cellStyle name="Énfasis6 9" xfId="1811"/>
    <cellStyle name="Entrada" xfId="172"/>
    <cellStyle name="Entrada 10" xfId="1812"/>
    <cellStyle name="Entrada 11" xfId="1813"/>
    <cellStyle name="Entrada 12" xfId="1814"/>
    <cellStyle name="Entrada 13" xfId="1815"/>
    <cellStyle name="Entrada 14" xfId="1816"/>
    <cellStyle name="Entrada 15" xfId="4363"/>
    <cellStyle name="Entrada 2" xfId="1817"/>
    <cellStyle name="Entrada 2 2" xfId="1818"/>
    <cellStyle name="Entrada 3" xfId="1819"/>
    <cellStyle name="Entrada 3 2" xfId="1820"/>
    <cellStyle name="Entrada 4" xfId="1821"/>
    <cellStyle name="Entrada 5" xfId="1822"/>
    <cellStyle name="Entrada 6" xfId="1823"/>
    <cellStyle name="Entrada 7" xfId="1824"/>
    <cellStyle name="Entrada 8" xfId="1825"/>
    <cellStyle name="Entrada 9" xfId="1826"/>
    <cellStyle name="Estilo 1" xfId="1827"/>
    <cellStyle name="Estilo 1 2" xfId="1828"/>
    <cellStyle name="Estilo 1 2 2" xfId="1829"/>
    <cellStyle name="Estilo 1 2 3" xfId="1830"/>
    <cellStyle name="Estilo 1 3" xfId="1831"/>
    <cellStyle name="Estilo 1 4" xfId="1832"/>
    <cellStyle name="Estilo 1_1.400 Inversiones Oper ITAÚ" xfId="1833"/>
    <cellStyle name="Euro" xfId="173"/>
    <cellStyle name="Euro 10" xfId="1834"/>
    <cellStyle name="Euro 11" xfId="1835"/>
    <cellStyle name="Euro 12" xfId="1836"/>
    <cellStyle name="Euro 13" xfId="1837"/>
    <cellStyle name="Euro 14" xfId="1838"/>
    <cellStyle name="Euro 2" xfId="174"/>
    <cellStyle name="Euro 2 2" xfId="1840"/>
    <cellStyle name="Euro 2 2 2" xfId="1841"/>
    <cellStyle name="Euro 2 2 3" xfId="1842"/>
    <cellStyle name="Euro 2 3" xfId="1843"/>
    <cellStyle name="Euro 2 3 2" xfId="1844"/>
    <cellStyle name="Euro 2 4" xfId="1845"/>
    <cellStyle name="Euro 2 5" xfId="1846"/>
    <cellStyle name="Euro 2 6" xfId="1847"/>
    <cellStyle name="Euro 2 7" xfId="4494"/>
    <cellStyle name="Euro 2 8" xfId="1839"/>
    <cellStyle name="Euro 2_1.400 Inversiones Oper ITAÚ" xfId="1848"/>
    <cellStyle name="Euro 3" xfId="1849"/>
    <cellStyle name="Euro 3 2" xfId="1850"/>
    <cellStyle name="Euro 3 2 2" xfId="1851"/>
    <cellStyle name="Euro 3 3" xfId="1852"/>
    <cellStyle name="Euro 3 4" xfId="1853"/>
    <cellStyle name="Euro 3 5" xfId="1854"/>
    <cellStyle name="Euro 3_1.400 Inversiones Oper SAN" xfId="1855"/>
    <cellStyle name="Euro 4" xfId="1856"/>
    <cellStyle name="Euro 4 2" xfId="1857"/>
    <cellStyle name="Euro 5" xfId="1858"/>
    <cellStyle name="Euro 5 2" xfId="1859"/>
    <cellStyle name="Euro 6" xfId="1860"/>
    <cellStyle name="Euro 6 2" xfId="1861"/>
    <cellStyle name="Euro 7" xfId="1862"/>
    <cellStyle name="Euro 7 2" xfId="1863"/>
    <cellStyle name="Euro 7 3" xfId="1864"/>
    <cellStyle name="Euro 8" xfId="1865"/>
    <cellStyle name="Euro 9" xfId="1866"/>
    <cellStyle name="Euro_1.400 Inversiones Oper ITAÚ" xfId="1867"/>
    <cellStyle name="Explanatory Text" xfId="344" builtinId="53" customBuiltin="1"/>
    <cellStyle name="Explanatory Text 2" xfId="175"/>
    <cellStyle name="Explanatory Text 2 2" xfId="176"/>
    <cellStyle name="Explanatory Text 2 3" xfId="4436"/>
    <cellStyle name="Explanatory Text 3" xfId="177"/>
    <cellStyle name="Explanatory Text 4" xfId="1868"/>
    <cellStyle name="Explanatory Text 5" xfId="4166"/>
    <cellStyle name="F2" xfId="1869"/>
    <cellStyle name="F2 10" xfId="1870"/>
    <cellStyle name="F2 2" xfId="1871"/>
    <cellStyle name="F2 2 2" xfId="1872"/>
    <cellStyle name="F2 2 2 2" xfId="1873"/>
    <cellStyle name="F2 2 3" xfId="1874"/>
    <cellStyle name="F2 2 4" xfId="1875"/>
    <cellStyle name="F2 2_20110401_SAL_Rev#1_ PTP 2011" xfId="1876"/>
    <cellStyle name="F2 3" xfId="1877"/>
    <cellStyle name="F2 3 2" xfId="1878"/>
    <cellStyle name="F2 3 3" xfId="1879"/>
    <cellStyle name="F2 4" xfId="1880"/>
    <cellStyle name="F2 5" xfId="1881"/>
    <cellStyle name="F2 6" xfId="1882"/>
    <cellStyle name="F2 7" xfId="1883"/>
    <cellStyle name="F2 8" xfId="1884"/>
    <cellStyle name="F2 9" xfId="1885"/>
    <cellStyle name="F2_20110401_SAL_Rev#1_ PTP 2011" xfId="1886"/>
    <cellStyle name="F3" xfId="1887"/>
    <cellStyle name="F3 10" xfId="1888"/>
    <cellStyle name="F3 2" xfId="1889"/>
    <cellStyle name="F3 2 2" xfId="1890"/>
    <cellStyle name="F3 2 2 2" xfId="1891"/>
    <cellStyle name="F3 2 3" xfId="1892"/>
    <cellStyle name="F3 2 4" xfId="1893"/>
    <cellStyle name="F3 2_20110401_SAL_Rev#1_ PTP 2011" xfId="1894"/>
    <cellStyle name="F3 3" xfId="1895"/>
    <cellStyle name="F3 3 2" xfId="1896"/>
    <cellStyle name="F3 3 3" xfId="1897"/>
    <cellStyle name="F3 4" xfId="1898"/>
    <cellStyle name="F3 5" xfId="1899"/>
    <cellStyle name="F3 6" xfId="1900"/>
    <cellStyle name="F3 7" xfId="1901"/>
    <cellStyle name="F3 8" xfId="1902"/>
    <cellStyle name="F3 9" xfId="1903"/>
    <cellStyle name="F3_20110401_SAL_Rev#1_ PTP 2011" xfId="1904"/>
    <cellStyle name="F4" xfId="1905"/>
    <cellStyle name="F4 10" xfId="1906"/>
    <cellStyle name="F4 2" xfId="1907"/>
    <cellStyle name="F4 2 2" xfId="1908"/>
    <cellStyle name="F4 2 2 2" xfId="1909"/>
    <cellStyle name="F4 2 3" xfId="1910"/>
    <cellStyle name="F4 2 4" xfId="1911"/>
    <cellStyle name="F4 2_20110401_SAL_Rev#1_ PTP 2011" xfId="1912"/>
    <cellStyle name="F4 3" xfId="1913"/>
    <cellStyle name="F4 3 2" xfId="1914"/>
    <cellStyle name="F4 3 3" xfId="1915"/>
    <cellStyle name="F4 4" xfId="1916"/>
    <cellStyle name="F4 5" xfId="1917"/>
    <cellStyle name="F4 6" xfId="1918"/>
    <cellStyle name="F4 7" xfId="1919"/>
    <cellStyle name="F4 8" xfId="1920"/>
    <cellStyle name="F4 9" xfId="1921"/>
    <cellStyle name="F4_20110401_SAL_Rev#1_ PTP 2011" xfId="1922"/>
    <cellStyle name="F5" xfId="1923"/>
    <cellStyle name="F5 10" xfId="1924"/>
    <cellStyle name="F5 2" xfId="1925"/>
    <cellStyle name="F5 2 2" xfId="1926"/>
    <cellStyle name="F5 2 2 2" xfId="1927"/>
    <cellStyle name="F5 2 3" xfId="1928"/>
    <cellStyle name="F5 2 4" xfId="1929"/>
    <cellStyle name="F5 2_20110401_SAL_Rev#1_ PTP 2011" xfId="1930"/>
    <cellStyle name="F5 3" xfId="1931"/>
    <cellStyle name="F5 3 2" xfId="1932"/>
    <cellStyle name="F5 3 3" xfId="1933"/>
    <cellStyle name="F5 4" xfId="1934"/>
    <cellStyle name="F5 5" xfId="1935"/>
    <cellStyle name="F5 6" xfId="1936"/>
    <cellStyle name="F5 7" xfId="1937"/>
    <cellStyle name="F5 8" xfId="1938"/>
    <cellStyle name="F5 9" xfId="1939"/>
    <cellStyle name="F5_20110401_SAL_Rev#1_ PTP 2011" xfId="1940"/>
    <cellStyle name="F6" xfId="1941"/>
    <cellStyle name="F6 10" xfId="1942"/>
    <cellStyle name="F6 2" xfId="1943"/>
    <cellStyle name="F6 2 2" xfId="1944"/>
    <cellStyle name="F6 2 2 2" xfId="1945"/>
    <cellStyle name="F6 2 3" xfId="1946"/>
    <cellStyle name="F6 2 4" xfId="1947"/>
    <cellStyle name="F6 2_20110401_SAL_Rev#1_ PTP 2011" xfId="1948"/>
    <cellStyle name="F6 3" xfId="1949"/>
    <cellStyle name="F6 3 2" xfId="1950"/>
    <cellStyle name="F6 3 3" xfId="1951"/>
    <cellStyle name="F6 4" xfId="1952"/>
    <cellStyle name="F6 5" xfId="1953"/>
    <cellStyle name="F6 6" xfId="1954"/>
    <cellStyle name="F6 7" xfId="1955"/>
    <cellStyle name="F6 8" xfId="1956"/>
    <cellStyle name="F6 9" xfId="1957"/>
    <cellStyle name="F6_20110401_SAL_Rev#1_ PTP 2011" xfId="1958"/>
    <cellStyle name="F7" xfId="1959"/>
    <cellStyle name="F7 10" xfId="1960"/>
    <cellStyle name="F7 2" xfId="1961"/>
    <cellStyle name="F7 2 2" xfId="1962"/>
    <cellStyle name="F7 2 2 2" xfId="1963"/>
    <cellStyle name="F7 2 3" xfId="1964"/>
    <cellStyle name="F7 2 4" xfId="1965"/>
    <cellStyle name="F7 2_20110401_SAL_Rev#1_ PTP 2011" xfId="1966"/>
    <cellStyle name="F7 3" xfId="1967"/>
    <cellStyle name="F7 3 2" xfId="1968"/>
    <cellStyle name="F7 3 3" xfId="1969"/>
    <cellStyle name="F7 4" xfId="1970"/>
    <cellStyle name="F7 5" xfId="1971"/>
    <cellStyle name="F7 6" xfId="1972"/>
    <cellStyle name="F7 7" xfId="1973"/>
    <cellStyle name="F7 8" xfId="1974"/>
    <cellStyle name="F7 9" xfId="1975"/>
    <cellStyle name="F7_20110401_SAL_Rev#1_ PTP 2011" xfId="1976"/>
    <cellStyle name="F8" xfId="1977"/>
    <cellStyle name="F8 10" xfId="1978"/>
    <cellStyle name="F8 2" xfId="1979"/>
    <cellStyle name="F8 2 2" xfId="1980"/>
    <cellStyle name="F8 2 2 2" xfId="1981"/>
    <cellStyle name="F8 2 3" xfId="1982"/>
    <cellStyle name="F8 2 4" xfId="1983"/>
    <cellStyle name="F8 2_20110401_SAL_Rev#1_ PTP 2011" xfId="1984"/>
    <cellStyle name="F8 3" xfId="1985"/>
    <cellStyle name="F8 3 2" xfId="1986"/>
    <cellStyle name="F8 3 3" xfId="1987"/>
    <cellStyle name="F8 4" xfId="1988"/>
    <cellStyle name="F8 5" xfId="1989"/>
    <cellStyle name="F8 6" xfId="1990"/>
    <cellStyle name="F8 7" xfId="1991"/>
    <cellStyle name="F8 8" xfId="1992"/>
    <cellStyle name="F8 9" xfId="1993"/>
    <cellStyle name="F8_20110401_SAL_Rev#1_ PTP 2011" xfId="1994"/>
    <cellStyle name="Fijo" xfId="1995"/>
    <cellStyle name="Fijo 2" xfId="1996"/>
    <cellStyle name="Fijo 2 2" xfId="1997"/>
    <cellStyle name="Fijo 2_20110401_SAL_Rev#1_ PTP 2011" xfId="1998"/>
    <cellStyle name="Fijo 3" xfId="1999"/>
    <cellStyle name="Fijo_20110401_SAL_Rev#1_ PTP 2011" xfId="2000"/>
    <cellStyle name="Financiero" xfId="2001"/>
    <cellStyle name="Financiero 2" xfId="2002"/>
    <cellStyle name="Financiero 2 2" xfId="2003"/>
    <cellStyle name="Financiero 2_20110401_SAL_Rev#1_ PTP 2011" xfId="2004"/>
    <cellStyle name="Financiero 3" xfId="2005"/>
    <cellStyle name="Financiero_20110401_SAL_Rev#1_ PTP 2011" xfId="2006"/>
    <cellStyle name="Fixed" xfId="2007"/>
    <cellStyle name="Fixed 2" xfId="2008"/>
    <cellStyle name="Fixed 2 2" xfId="2009"/>
    <cellStyle name="Fixed 2_20110401_SAL_Rev#1_ PTP 2011" xfId="2010"/>
    <cellStyle name="Fixed 3" xfId="2011"/>
    <cellStyle name="Fixed 4" xfId="2012"/>
    <cellStyle name="Fixed 5" xfId="2013"/>
    <cellStyle name="Fixed 5 2" xfId="2014"/>
    <cellStyle name="Followed Hyperlink" xfId="2015"/>
    <cellStyle name="Followed Hyperlink 2" xfId="2016"/>
    <cellStyle name="Followed Hyperlink 2 2" xfId="2017"/>
    <cellStyle name="Followed Hyperlink 2 2 2" xfId="2018"/>
    <cellStyle name="Followed Hyperlink 2 3" xfId="2019"/>
    <cellStyle name="Followed Hyperlink 2_20110401_SAN_Rev#1_ PTP 2012" xfId="2020"/>
    <cellStyle name="Followed Hyperlink 3" xfId="2021"/>
    <cellStyle name="form" xfId="178"/>
    <cellStyle name="form 2" xfId="2022"/>
    <cellStyle name="Good" xfId="335" builtinId="26" customBuiltin="1"/>
    <cellStyle name="Good 2" xfId="179"/>
    <cellStyle name="Good 2 2" xfId="180"/>
    <cellStyle name="Good 2 2 2" xfId="2024"/>
    <cellStyle name="Good 2 2 3" xfId="2025"/>
    <cellStyle name="Good 2 2 4" xfId="2026"/>
    <cellStyle name="Good 2 2 5" xfId="2027"/>
    <cellStyle name="Good 2 2 6" xfId="4480"/>
    <cellStyle name="Good 2 2 7" xfId="2023"/>
    <cellStyle name="Good 2 3" xfId="2028"/>
    <cellStyle name="Good 2 4" xfId="2029"/>
    <cellStyle name="Good 2 5" xfId="2030"/>
    <cellStyle name="Good 2 6" xfId="2031"/>
    <cellStyle name="Good 2 7" xfId="2032"/>
    <cellStyle name="Good 2 8" xfId="2033"/>
    <cellStyle name="Good 2 9" xfId="4427"/>
    <cellStyle name="Good 3" xfId="181"/>
    <cellStyle name="Good 3 2" xfId="2034"/>
    <cellStyle name="Good 3 3" xfId="2035"/>
    <cellStyle name="Good 3 4" xfId="2036"/>
    <cellStyle name="Good 3 5" xfId="2037"/>
    <cellStyle name="Good 4" xfId="2038"/>
    <cellStyle name="Good 5" xfId="2039"/>
    <cellStyle name="Hard Percent" xfId="182"/>
    <cellStyle name="Hard Percent 2" xfId="2040"/>
    <cellStyle name="Heading 1" xfId="331" builtinId="16" customBuiltin="1"/>
    <cellStyle name="Heading 1 2" xfId="183"/>
    <cellStyle name="Heading 1 2 2" xfId="184"/>
    <cellStyle name="Heading 1 2 2 2" xfId="4481"/>
    <cellStyle name="Heading 1 2 2 3" xfId="2041"/>
    <cellStyle name="Heading 1 2 3" xfId="2042"/>
    <cellStyle name="Heading 1 2 4" xfId="2043"/>
    <cellStyle name="Heading 1 2 5" xfId="4423"/>
    <cellStyle name="Heading 1 3" xfId="185"/>
    <cellStyle name="Heading 1 3 2" xfId="2044"/>
    <cellStyle name="Heading 1 3 3" xfId="2045"/>
    <cellStyle name="Heading 1 4" xfId="2046"/>
    <cellStyle name="Heading 1 5" xfId="4183"/>
    <cellStyle name="Heading 2" xfId="332" builtinId="17" customBuiltin="1"/>
    <cellStyle name="Heading 2 2" xfId="186"/>
    <cellStyle name="Heading 2 2 2" xfId="187"/>
    <cellStyle name="Heading 2 2 2 2" xfId="2048"/>
    <cellStyle name="Heading 2 2 2 3" xfId="2049"/>
    <cellStyle name="Heading 2 2 2 4" xfId="4482"/>
    <cellStyle name="Heading 2 2 2 5" xfId="2047"/>
    <cellStyle name="Heading 2 2 3" xfId="2050"/>
    <cellStyle name="Heading 2 2 4" xfId="2051"/>
    <cellStyle name="Heading 2 2 5" xfId="2052"/>
    <cellStyle name="Heading 2 2 6" xfId="2053"/>
    <cellStyle name="Heading 2 2 7" xfId="2054"/>
    <cellStyle name="Heading 2 2 8" xfId="2055"/>
    <cellStyle name="Heading 2 2 9" xfId="4424"/>
    <cellStyle name="Heading 2 3" xfId="188"/>
    <cellStyle name="Heading 2 3 2" xfId="2056"/>
    <cellStyle name="Heading 2 3 3" xfId="2057"/>
    <cellStyle name="Heading 2 3 4" xfId="2058"/>
    <cellStyle name="Heading 2 3 5" xfId="2059"/>
    <cellStyle name="Heading 2 4" xfId="2060"/>
    <cellStyle name="Heading 2 5" xfId="2061"/>
    <cellStyle name="Heading 2 6" xfId="4209"/>
    <cellStyle name="Heading 3" xfId="333" builtinId="18" customBuiltin="1"/>
    <cellStyle name="Heading 3 2" xfId="189"/>
    <cellStyle name="Heading 3 2 2" xfId="190"/>
    <cellStyle name="Heading 3 2 2 2" xfId="2063"/>
    <cellStyle name="Heading 3 2 2 3" xfId="2064"/>
    <cellStyle name="Heading 3 2 2 4" xfId="4483"/>
    <cellStyle name="Heading 3 2 2 5" xfId="2062"/>
    <cellStyle name="Heading 3 2 3" xfId="2065"/>
    <cellStyle name="Heading 3 2 4" xfId="2066"/>
    <cellStyle name="Heading 3 2 5" xfId="2067"/>
    <cellStyle name="Heading 3 2 6" xfId="2068"/>
    <cellStyle name="Heading 3 2 7" xfId="2069"/>
    <cellStyle name="Heading 3 2 8" xfId="2070"/>
    <cellStyle name="Heading 3 2 9" xfId="4425"/>
    <cellStyle name="Heading 3 3" xfId="191"/>
    <cellStyle name="Heading 3 3 2" xfId="2071"/>
    <cellStyle name="Heading 3 3 3" xfId="2072"/>
    <cellStyle name="Heading 3 3 4" xfId="2073"/>
    <cellStyle name="Heading 3 3 5" xfId="2074"/>
    <cellStyle name="Heading 3 4" xfId="2075"/>
    <cellStyle name="Heading 3 5" xfId="2076"/>
    <cellStyle name="Heading 3 6" xfId="4235"/>
    <cellStyle name="Heading 4" xfId="334" builtinId="19" customBuiltin="1"/>
    <cellStyle name="Heading 4 2" xfId="192"/>
    <cellStyle name="Heading 4 2 2" xfId="193"/>
    <cellStyle name="Heading 4 2 2 2" xfId="2078"/>
    <cellStyle name="Heading 4 2 2 3" xfId="2079"/>
    <cellStyle name="Heading 4 2 2 4" xfId="4484"/>
    <cellStyle name="Heading 4 2 2 5" xfId="2077"/>
    <cellStyle name="Heading 4 2 3" xfId="2080"/>
    <cellStyle name="Heading 4 2 4" xfId="2081"/>
    <cellStyle name="Heading 4 2 5" xfId="4426"/>
    <cellStyle name="Heading 4 3" xfId="194"/>
    <cellStyle name="Heading 4 3 2" xfId="2082"/>
    <cellStyle name="Heading 4 3 3" xfId="2083"/>
    <cellStyle name="Heading 4 4" xfId="2084"/>
    <cellStyle name="Heading1" xfId="2085"/>
    <cellStyle name="Heading1 2" xfId="2086"/>
    <cellStyle name="Heading1 2 2" xfId="2087"/>
    <cellStyle name="Heading1 2_20110401_SAL_Rev#1_ PTP 2011" xfId="2088"/>
    <cellStyle name="Heading1 3" xfId="2089"/>
    <cellStyle name="Heading1 4" xfId="2090"/>
    <cellStyle name="Heading1 5" xfId="2091"/>
    <cellStyle name="Heading1 5 2" xfId="2092"/>
    <cellStyle name="Heading2" xfId="2093"/>
    <cellStyle name="Heading2 2" xfId="2094"/>
    <cellStyle name="Heading2 2 2" xfId="2095"/>
    <cellStyle name="Heading2 2_20110401_SAL_Rev#1_ PTP 2011" xfId="2096"/>
    <cellStyle name="Heading2 3" xfId="2097"/>
    <cellStyle name="Heading2 4" xfId="2098"/>
    <cellStyle name="Heading2 5" xfId="2099"/>
    <cellStyle name="Heading2 5 2" xfId="2100"/>
    <cellStyle name="Hipervínculo 2" xfId="2101"/>
    <cellStyle name="Hipervínculo 2 2" xfId="2102"/>
    <cellStyle name="Hipervínculo 2 2 2" xfId="2103"/>
    <cellStyle name="Hipervínculo 2 3" xfId="2104"/>
    <cellStyle name="Hipervínculo 2_20110401_SAL_Rev#1_ PTP 2011" xfId="2105"/>
    <cellStyle name="Hipervínculo 3" xfId="2106"/>
    <cellStyle name="Hipervínculo 3 2" xfId="2107"/>
    <cellStyle name="Hipervínculo 3 3" xfId="2108"/>
    <cellStyle name="Hipervínculo 3 4" xfId="2109"/>
    <cellStyle name="Hipervínculo 4" xfId="2110"/>
    <cellStyle name="Hyperlink" xfId="2111"/>
    <cellStyle name="Hyperlink 2" xfId="2112"/>
    <cellStyle name="Hyperlink 2 2" xfId="2113"/>
    <cellStyle name="Hyperlink 2 2 2" xfId="2114"/>
    <cellStyle name="Hyperlink 2 3" xfId="2115"/>
    <cellStyle name="Hyperlink 2_20110401_SAN_Rev#1_ PTP 2012" xfId="2116"/>
    <cellStyle name="Hyperlink 3" xfId="2117"/>
    <cellStyle name="Hyperlink 3 2" xfId="2118"/>
    <cellStyle name="Hyperlink 4" xfId="2119"/>
    <cellStyle name="Hyperlink 4 2" xfId="2120"/>
    <cellStyle name="Hyperlink 5" xfId="2121"/>
    <cellStyle name="Hyperlink 5 2" xfId="2122"/>
    <cellStyle name="Hyperlink 5 3" xfId="2123"/>
    <cellStyle name="Hyperlink 6" xfId="2124"/>
    <cellStyle name="Hyperlink 7" xfId="4370"/>
    <cellStyle name="Hyperlink_Capex SAN 2010" xfId="2125"/>
    <cellStyle name="Incorrecto" xfId="195"/>
    <cellStyle name="Incorrecto 10" xfId="2127"/>
    <cellStyle name="Incorrecto 11" xfId="2128"/>
    <cellStyle name="Incorrecto 12" xfId="2129"/>
    <cellStyle name="Incorrecto 13" xfId="2130"/>
    <cellStyle name="Incorrecto 14" xfId="2131"/>
    <cellStyle name="Incorrecto 2" xfId="2132"/>
    <cellStyle name="Incorrecto 2 2" xfId="2133"/>
    <cellStyle name="Incorrecto 3" xfId="2134"/>
    <cellStyle name="Incorrecto 3 2" xfId="2135"/>
    <cellStyle name="Incorrecto 4" xfId="2136"/>
    <cellStyle name="Incorrecto 5" xfId="2137"/>
    <cellStyle name="Incorrecto 6" xfId="2138"/>
    <cellStyle name="Incorrecto 7" xfId="2139"/>
    <cellStyle name="Incorrecto 8" xfId="2140"/>
    <cellStyle name="Incorrecto 9" xfId="2141"/>
    <cellStyle name="Incorreto" xfId="2142"/>
    <cellStyle name="Indefinido" xfId="2143"/>
    <cellStyle name="Indefinido 2" xfId="2144"/>
    <cellStyle name="Indefinido 2 2" xfId="2145"/>
    <cellStyle name="Indefinido 2 2 2" xfId="2146"/>
    <cellStyle name="Indefinido 2 3" xfId="2147"/>
    <cellStyle name="Indefinido 2_20110401_SAL_Rev#1_ PTP 2011" xfId="2148"/>
    <cellStyle name="Indefinido 3" xfId="2149"/>
    <cellStyle name="Indefinido 3 2" xfId="2150"/>
    <cellStyle name="Indefinido 4" xfId="2151"/>
    <cellStyle name="Indefinido 4 2" xfId="2152"/>
    <cellStyle name="Indefinido 5" xfId="2153"/>
    <cellStyle name="Indefinido 5 2" xfId="2154"/>
    <cellStyle name="Indefinido 5 3" xfId="2155"/>
    <cellStyle name="Indefinido 6" xfId="2156"/>
    <cellStyle name="Input" xfId="338" builtinId="20" customBuiltin="1"/>
    <cellStyle name="Input 2" xfId="196"/>
    <cellStyle name="Input 2 2" xfId="197"/>
    <cellStyle name="Input 2 2 2" xfId="2158"/>
    <cellStyle name="Input 2 2 3" xfId="2159"/>
    <cellStyle name="Input 2 2 4" xfId="2160"/>
    <cellStyle name="Input 2 2 5" xfId="2161"/>
    <cellStyle name="Input 2 2 6" xfId="4485"/>
    <cellStyle name="Input 2 2 7" xfId="2157"/>
    <cellStyle name="Input 2 3" xfId="2162"/>
    <cellStyle name="Input 2 4" xfId="2163"/>
    <cellStyle name="Input 2 5" xfId="2164"/>
    <cellStyle name="Input 2 6" xfId="2165"/>
    <cellStyle name="Input 2 7" xfId="2166"/>
    <cellStyle name="Input 2 8" xfId="2167"/>
    <cellStyle name="Input 2 9" xfId="4430"/>
    <cellStyle name="Input 3" xfId="198"/>
    <cellStyle name="Input 3 2" xfId="2168"/>
    <cellStyle name="Input 3 3" xfId="2169"/>
    <cellStyle name="Input 3 4" xfId="2170"/>
    <cellStyle name="Input 3 5" xfId="2171"/>
    <cellStyle name="Input 4" xfId="2172"/>
    <cellStyle name="Input 5" xfId="2173"/>
    <cellStyle name="Linked Cell" xfId="341" builtinId="24" customBuiltin="1"/>
    <cellStyle name="Linked Cell 2" xfId="199"/>
    <cellStyle name="Linked Cell 2 2" xfId="200"/>
    <cellStyle name="Linked Cell 2 2 2" xfId="2175"/>
    <cellStyle name="Linked Cell 2 2 3" xfId="2176"/>
    <cellStyle name="Linked Cell 2 2 4" xfId="2177"/>
    <cellStyle name="Linked Cell 2 2 5" xfId="2178"/>
    <cellStyle name="Linked Cell 2 2 6" xfId="4486"/>
    <cellStyle name="Linked Cell 2 2 7" xfId="2174"/>
    <cellStyle name="Linked Cell 2 3" xfId="2179"/>
    <cellStyle name="Linked Cell 2 4" xfId="2180"/>
    <cellStyle name="Linked Cell 2 5" xfId="2181"/>
    <cellStyle name="Linked Cell 2 6" xfId="2182"/>
    <cellStyle name="Linked Cell 2 7" xfId="2183"/>
    <cellStyle name="Linked Cell 2 8" xfId="2184"/>
    <cellStyle name="Linked Cell 2 9" xfId="4433"/>
    <cellStyle name="Linked Cell 3" xfId="201"/>
    <cellStyle name="Linked Cell 3 2" xfId="2185"/>
    <cellStyle name="Linked Cell 3 3" xfId="2186"/>
    <cellStyle name="Linked Cell 3 4" xfId="2187"/>
    <cellStyle name="Linked Cell 3 5" xfId="2188"/>
    <cellStyle name="Linked Cell 4" xfId="2189"/>
    <cellStyle name="Linked Cell 5" xfId="2190"/>
    <cellStyle name="MARTA" xfId="2191"/>
    <cellStyle name="MARTA 2" xfId="2192"/>
    <cellStyle name="Millares [0] 2" xfId="2193"/>
    <cellStyle name="Millares [0] 3" xfId="2194"/>
    <cellStyle name="Millares [0] 4" xfId="2195"/>
    <cellStyle name="Millares [0] 5" xfId="2196"/>
    <cellStyle name="Millares [0] 6" xfId="2197"/>
    <cellStyle name="Millares 10" xfId="2198"/>
    <cellStyle name="Millares 10 2" xfId="2199"/>
    <cellStyle name="Millares 10 2 2" xfId="2200"/>
    <cellStyle name="Millares 10 3" xfId="2201"/>
    <cellStyle name="Millares 10 4" xfId="2202"/>
    <cellStyle name="Millares 10 5" xfId="2203"/>
    <cellStyle name="Millares 10 6" xfId="2204"/>
    <cellStyle name="Millares 10_1.400 Inversiones Oper SAN" xfId="2205"/>
    <cellStyle name="Millares 11" xfId="2206"/>
    <cellStyle name="Millares 11 2" xfId="2207"/>
    <cellStyle name="Millares 11 2 2" xfId="2208"/>
    <cellStyle name="Millares 11 3" xfId="2209"/>
    <cellStyle name="Millares 11 4" xfId="2210"/>
    <cellStyle name="Millares 11 5" xfId="2211"/>
    <cellStyle name="Millares 12" xfId="2212"/>
    <cellStyle name="Millares 12 2" xfId="2213"/>
    <cellStyle name="Millares 12 3" xfId="2214"/>
    <cellStyle name="Millares 12 4" xfId="2215"/>
    <cellStyle name="Millares 13" xfId="2216"/>
    <cellStyle name="Millares 13 2" xfId="2217"/>
    <cellStyle name="Millares 14" xfId="2218"/>
    <cellStyle name="Millares 14 2" xfId="2219"/>
    <cellStyle name="Millares 15" xfId="2220"/>
    <cellStyle name="Millares 15 2" xfId="2221"/>
    <cellStyle name="Millares 15 3" xfId="2222"/>
    <cellStyle name="Millares 16" xfId="2223"/>
    <cellStyle name="Millares 16 2" xfId="2224"/>
    <cellStyle name="Millares 16 3" xfId="2225"/>
    <cellStyle name="Millares 17" xfId="2226"/>
    <cellStyle name="Millares 17 2" xfId="2227"/>
    <cellStyle name="Millares 17 3" xfId="2228"/>
    <cellStyle name="Millares 18" xfId="2229"/>
    <cellStyle name="Millares 18 2" xfId="2230"/>
    <cellStyle name="Millares 18 3" xfId="2231"/>
    <cellStyle name="Millares 19" xfId="2232"/>
    <cellStyle name="Millares 2" xfId="2233"/>
    <cellStyle name="Millares 2 10" xfId="2234"/>
    <cellStyle name="Millares 2 11" xfId="2235"/>
    <cellStyle name="Millares 2 12" xfId="2236"/>
    <cellStyle name="Millares 2 13" xfId="2237"/>
    <cellStyle name="Millares 2 14" xfId="2238"/>
    <cellStyle name="Millares 2 15" xfId="2239"/>
    <cellStyle name="Millares 2 16" xfId="2240"/>
    <cellStyle name="Millares 2 17" xfId="2241"/>
    <cellStyle name="Millares 2 18" xfId="2242"/>
    <cellStyle name="Millares 2 19" xfId="2243"/>
    <cellStyle name="Millares 2 2" xfId="2244"/>
    <cellStyle name="Millares 2 2 2" xfId="2245"/>
    <cellStyle name="Millares 2 2 3" xfId="2246"/>
    <cellStyle name="Millares 2 2 4" xfId="2247"/>
    <cellStyle name="Millares 2 2_1.400 Inversiones Oper ITAÚ" xfId="2248"/>
    <cellStyle name="Millares 2 3" xfId="2249"/>
    <cellStyle name="Millares 2 3 2" xfId="2250"/>
    <cellStyle name="Millares 2 3 3" xfId="2251"/>
    <cellStyle name="Millares 2 3 4" xfId="2252"/>
    <cellStyle name="Millares 2 3 5" xfId="2253"/>
    <cellStyle name="Millares 2 3 6" xfId="2254"/>
    <cellStyle name="Millares 2 4" xfId="2255"/>
    <cellStyle name="Millares 2 4 2" xfId="2256"/>
    <cellStyle name="Millares 2 4 2 2" xfId="2257"/>
    <cellStyle name="Millares 2 4 3" xfId="2258"/>
    <cellStyle name="Millares 2 4 4" xfId="2259"/>
    <cellStyle name="Millares 2 5" xfId="2260"/>
    <cellStyle name="Millares 2 5 2" xfId="2261"/>
    <cellStyle name="Millares 2 5 3" xfId="2262"/>
    <cellStyle name="Millares 2 6" xfId="2263"/>
    <cellStyle name="Millares 2 6 2" xfId="2264"/>
    <cellStyle name="Millares 2 7" xfId="2265"/>
    <cellStyle name="Millares 2 7 2" xfId="2266"/>
    <cellStyle name="Millares 2 8" xfId="2267"/>
    <cellStyle name="Millares 2 8 2" xfId="2268"/>
    <cellStyle name="Millares 2 9" xfId="2269"/>
    <cellStyle name="Millares 2_20130710_PRESUPUESTO RH 2013_RH" xfId="2270"/>
    <cellStyle name="Millares 20" xfId="2271"/>
    <cellStyle name="Millares 20 2" xfId="2272"/>
    <cellStyle name="Millares 20 3" xfId="2273"/>
    <cellStyle name="Millares 21" xfId="2274"/>
    <cellStyle name="Millares 22" xfId="2275"/>
    <cellStyle name="Millares 22 2" xfId="2276"/>
    <cellStyle name="Millares 23" xfId="2277"/>
    <cellStyle name="Millares 24" xfId="2278"/>
    <cellStyle name="Millares 25" xfId="2279"/>
    <cellStyle name="Millares 26" xfId="2280"/>
    <cellStyle name="Millares 27" xfId="2281"/>
    <cellStyle name="Millares 28" xfId="2282"/>
    <cellStyle name="Millares 29" xfId="2283"/>
    <cellStyle name="Millares 3" xfId="2284"/>
    <cellStyle name="Millares 3 10" xfId="2285"/>
    <cellStyle name="Millares 3 10 2" xfId="2286"/>
    <cellStyle name="Millares 3 11" xfId="2287"/>
    <cellStyle name="Millares 3 11 2" xfId="2288"/>
    <cellStyle name="Millares 3 12" xfId="2289"/>
    <cellStyle name="Millares 3 12 2" xfId="2290"/>
    <cellStyle name="Millares 3 13" xfId="2291"/>
    <cellStyle name="Millares 3 14" xfId="2292"/>
    <cellStyle name="Millares 3 15" xfId="2293"/>
    <cellStyle name="Millares 3 16" xfId="2294"/>
    <cellStyle name="Millares 3 17" xfId="2295"/>
    <cellStyle name="Millares 3 18" xfId="2296"/>
    <cellStyle name="Millares 3 2" xfId="2297"/>
    <cellStyle name="Millares 3 2 2" xfId="2298"/>
    <cellStyle name="Millares 3 2 2 2" xfId="2299"/>
    <cellStyle name="Millares 3 2 3" xfId="2300"/>
    <cellStyle name="Millares 3 2 4" xfId="2301"/>
    <cellStyle name="Millares 3 2 5" xfId="2302"/>
    <cellStyle name="Millares 3 2_1.400 Inversiones Oper ITAÚ" xfId="2303"/>
    <cellStyle name="Millares 3 3" xfId="2304"/>
    <cellStyle name="Millares 3 3 2" xfId="2305"/>
    <cellStyle name="Millares 3 3 3" xfId="2306"/>
    <cellStyle name="Millares 3 4" xfId="2307"/>
    <cellStyle name="Millares 3 4 2" xfId="2308"/>
    <cellStyle name="Millares 3 4 3" xfId="2309"/>
    <cellStyle name="Millares 3 5" xfId="2310"/>
    <cellStyle name="Millares 3 5 2" xfId="2311"/>
    <cellStyle name="Millares 3 5 3" xfId="2312"/>
    <cellStyle name="Millares 3 6" xfId="2313"/>
    <cellStyle name="Millares 3 6 2" xfId="2314"/>
    <cellStyle name="Millares 3 7" xfId="2315"/>
    <cellStyle name="Millares 3 7 2" xfId="2316"/>
    <cellStyle name="Millares 3 8" xfId="2317"/>
    <cellStyle name="Millares 3 8 2" xfId="2318"/>
    <cellStyle name="Millares 3 9" xfId="2319"/>
    <cellStyle name="Millares 3 9 2" xfId="2320"/>
    <cellStyle name="Millares 3_20130710_PRESUPUESTO RH 2013_RH" xfId="2321"/>
    <cellStyle name="Millares 30" xfId="2322"/>
    <cellStyle name="Millares 31" xfId="2323"/>
    <cellStyle name="Millares 31 2" xfId="2324"/>
    <cellStyle name="Millares 31 3" xfId="2325"/>
    <cellStyle name="Millares 32" xfId="2326"/>
    <cellStyle name="Millares 33" xfId="2327"/>
    <cellStyle name="Millares 34" xfId="2328"/>
    <cellStyle name="Millares 35" xfId="2329"/>
    <cellStyle name="Millares 36" xfId="2330"/>
    <cellStyle name="Millares 37" xfId="2331"/>
    <cellStyle name="Millares 38" xfId="2332"/>
    <cellStyle name="Millares 39" xfId="2333"/>
    <cellStyle name="Millares 4" xfId="2334"/>
    <cellStyle name="Millares 4 2" xfId="2335"/>
    <cellStyle name="Millares 4 2 2" xfId="2336"/>
    <cellStyle name="Millares 4 3" xfId="2337"/>
    <cellStyle name="Millares 4 3 2" xfId="2338"/>
    <cellStyle name="Millares 4 4" xfId="2339"/>
    <cellStyle name="Millares 4 4 2" xfId="2340"/>
    <cellStyle name="Millares 4 5" xfId="2341"/>
    <cellStyle name="Millares 4 6" xfId="2342"/>
    <cellStyle name="Millares 4 7" xfId="2343"/>
    <cellStyle name="Millares 4_1.400 Inversiones Oper ITAÚ" xfId="2344"/>
    <cellStyle name="Millares 40" xfId="2345"/>
    <cellStyle name="Millares 41" xfId="2346"/>
    <cellStyle name="Millares 42" xfId="2347"/>
    <cellStyle name="Millares 43" xfId="2348"/>
    <cellStyle name="Millares 44" xfId="2349"/>
    <cellStyle name="Millares 45" xfId="2350"/>
    <cellStyle name="Millares 46" xfId="2351"/>
    <cellStyle name="Millares 47" xfId="2352"/>
    <cellStyle name="Millares 48" xfId="2353"/>
    <cellStyle name="Millares 49" xfId="2354"/>
    <cellStyle name="Millares 5" xfId="2355"/>
    <cellStyle name="Millares 5 2" xfId="2356"/>
    <cellStyle name="Millares 5 3" xfId="2357"/>
    <cellStyle name="Millares 5_1.400 Inversiones Oper ITAÚ" xfId="2358"/>
    <cellStyle name="Millares 50" xfId="2359"/>
    <cellStyle name="Millares 51" xfId="2360"/>
    <cellStyle name="Millares 52" xfId="2361"/>
    <cellStyle name="Millares 53" xfId="2362"/>
    <cellStyle name="Millares 6" xfId="2363"/>
    <cellStyle name="Millares 6 2" xfId="2364"/>
    <cellStyle name="Millares 6 2 2" xfId="2365"/>
    <cellStyle name="Millares 7" xfId="2366"/>
    <cellStyle name="Millares 7 2" xfId="2367"/>
    <cellStyle name="Millares 7 2 2" xfId="2368"/>
    <cellStyle name="Millares 8" xfId="2369"/>
    <cellStyle name="Millares 8 2" xfId="2370"/>
    <cellStyle name="Millares 9" xfId="2371"/>
    <cellStyle name="Millares 9 2" xfId="2372"/>
    <cellStyle name="Millares 9 2 2" xfId="2373"/>
    <cellStyle name="Millares 9 3" xfId="2374"/>
    <cellStyle name="Millares 9 4" xfId="2375"/>
    <cellStyle name="Millares 9 5" xfId="2376"/>
    <cellStyle name="Millares_CRCSE CAMPO 09.09" xfId="202"/>
    <cellStyle name="Milliers [0]_Classeur1" xfId="2377"/>
    <cellStyle name="Milliers_Classeur1" xfId="2378"/>
    <cellStyle name="Moeda [0]_ANEXOC6" xfId="2379"/>
    <cellStyle name="Moeda_ANEXOC6" xfId="2380"/>
    <cellStyle name="Moneda 2" xfId="2381"/>
    <cellStyle name="Monétaire [0]_Classeur1" xfId="2382"/>
    <cellStyle name="Monétaire_Classeur1" xfId="2383"/>
    <cellStyle name="Monetario" xfId="2384"/>
    <cellStyle name="Monetario 2" xfId="2385"/>
    <cellStyle name="Monetario 2 2" xfId="2386"/>
    <cellStyle name="Monetario 2_20110401_SAL_Rev#1_ PTP 2011" xfId="2387"/>
    <cellStyle name="Monetario 3" xfId="2388"/>
    <cellStyle name="Monetario_20110401_SAL_Rev#1_ PTP 2011" xfId="2389"/>
    <cellStyle name="Neutra" xfId="2390"/>
    <cellStyle name="Neutral" xfId="337" builtinId="28" customBuiltin="1"/>
    <cellStyle name="Neutral 10" xfId="2391"/>
    <cellStyle name="Neutral 11" xfId="2392"/>
    <cellStyle name="Neutral 12" xfId="2393"/>
    <cellStyle name="Neutral 13" xfId="2394"/>
    <cellStyle name="Neutral 14" xfId="2395"/>
    <cellStyle name="Neutral 2" xfId="203"/>
    <cellStyle name="Neutral 2 2" xfId="204"/>
    <cellStyle name="Neutral 2 2 2" xfId="2397"/>
    <cellStyle name="Neutral 2 2 3" xfId="2398"/>
    <cellStyle name="Neutral 2 2 4" xfId="2399"/>
    <cellStyle name="Neutral 2 2 5" xfId="2400"/>
    <cellStyle name="Neutral 2 2 6" xfId="4487"/>
    <cellStyle name="Neutral 2 2 7" xfId="2396"/>
    <cellStyle name="Neutral 2 3" xfId="2401"/>
    <cellStyle name="Neutral 2 4" xfId="2402"/>
    <cellStyle name="Neutral 2 5" xfId="2403"/>
    <cellStyle name="Neutral 2 6" xfId="2404"/>
    <cellStyle name="Neutral 2 7" xfId="4429"/>
    <cellStyle name="Neutral 3" xfId="205"/>
    <cellStyle name="Neutral 3 2" xfId="2405"/>
    <cellStyle name="Neutral 3 3" xfId="2406"/>
    <cellStyle name="Neutral 3 4" xfId="2407"/>
    <cellStyle name="Neutral 3 5" xfId="2408"/>
    <cellStyle name="Neutral 3 6" xfId="2409"/>
    <cellStyle name="Neutral 3 7" xfId="2410"/>
    <cellStyle name="Neutral 4" xfId="2411"/>
    <cellStyle name="Neutral 4 2" xfId="2412"/>
    <cellStyle name="Neutral 5" xfId="2413"/>
    <cellStyle name="Neutral 5 2" xfId="2414"/>
    <cellStyle name="Neutral 6" xfId="2415"/>
    <cellStyle name="Neutral 7" xfId="2416"/>
    <cellStyle name="Neutral 8" xfId="2417"/>
    <cellStyle name="Neutral 9" xfId="2418"/>
    <cellStyle name="No-definido" xfId="2419"/>
    <cellStyle name="No-definido 2" xfId="2420"/>
    <cellStyle name="No-definido 2 2" xfId="2421"/>
    <cellStyle name="No-definido 2 2 2" xfId="2422"/>
    <cellStyle name="No-definido 2 3" xfId="2423"/>
    <cellStyle name="No-definido 2_20110401_SAL_Rev#1_ PTP 2011" xfId="2424"/>
    <cellStyle name="No-definido 3" xfId="2425"/>
    <cellStyle name="No-definido 3 2" xfId="2426"/>
    <cellStyle name="No-definido 4" xfId="2427"/>
    <cellStyle name="No-definido_20110401_SAL_Rev#1_ PTP 2011" xfId="2428"/>
    <cellStyle name="Normal" xfId="0" builtinId="0"/>
    <cellStyle name="Normal - Style1" xfId="206"/>
    <cellStyle name="Normal - Style1 2" xfId="2429"/>
    <cellStyle name="Normal - Style1 2 2" xfId="2430"/>
    <cellStyle name="Normal - Style1 3" xfId="2431"/>
    <cellStyle name="Normal - Style1 3 2" xfId="2432"/>
    <cellStyle name="Normal - Style1 4" xfId="2433"/>
    <cellStyle name="Normal - Style2" xfId="207"/>
    <cellStyle name="Normal - Style2 2" xfId="2434"/>
    <cellStyle name="Normal - Style2 3" xfId="2435"/>
    <cellStyle name="Normal 10" xfId="208"/>
    <cellStyle name="Normal 10 10" xfId="2437"/>
    <cellStyle name="Normal 10 11" xfId="2438"/>
    <cellStyle name="Normal 10 12" xfId="2439"/>
    <cellStyle name="Normal 10 13" xfId="2440"/>
    <cellStyle name="Normal 10 14" xfId="2441"/>
    <cellStyle name="Normal 10 15" xfId="2442"/>
    <cellStyle name="Normal 10 16" xfId="2443"/>
    <cellStyle name="Normal 10 17" xfId="4403"/>
    <cellStyle name="Normal 10 18" xfId="2436"/>
    <cellStyle name="Normal 10 2" xfId="2444"/>
    <cellStyle name="Normal 10 2 2" xfId="2445"/>
    <cellStyle name="Normal 10 2 2 2" xfId="2446"/>
    <cellStyle name="Normal 10 2 3" xfId="2447"/>
    <cellStyle name="Normal 10 2 4" xfId="2448"/>
    <cellStyle name="Normal 10 3" xfId="2449"/>
    <cellStyle name="Normal 10 3 2" xfId="2450"/>
    <cellStyle name="Normal 10 3 3" xfId="2451"/>
    <cellStyle name="Normal 10 4" xfId="2452"/>
    <cellStyle name="Normal 10 4 2" xfId="2453"/>
    <cellStyle name="Normal 10 4 3" xfId="2454"/>
    <cellStyle name="Normal 10 5" xfId="2455"/>
    <cellStyle name="Normal 10 5 2" xfId="2456"/>
    <cellStyle name="Normal 10 6" xfId="2457"/>
    <cellStyle name="Normal 10 6 2" xfId="2458"/>
    <cellStyle name="Normal 10 7" xfId="2459"/>
    <cellStyle name="Normal 10 8" xfId="2460"/>
    <cellStyle name="Normal 10 9" xfId="2461"/>
    <cellStyle name="Normal 10_20110401_SAN_Rev#1_ PTP 2012" xfId="2462"/>
    <cellStyle name="Normal 100" xfId="2463"/>
    <cellStyle name="Normal 100 2" xfId="2464"/>
    <cellStyle name="Normal 101" xfId="2465"/>
    <cellStyle name="Normal 101 2" xfId="2466"/>
    <cellStyle name="Normal 102" xfId="2467"/>
    <cellStyle name="Normal 102 2" xfId="2468"/>
    <cellStyle name="Normal 103" xfId="2469"/>
    <cellStyle name="Normal 103 2" xfId="2470"/>
    <cellStyle name="Normal 104" xfId="2471"/>
    <cellStyle name="Normal 104 2" xfId="2472"/>
    <cellStyle name="Normal 105" xfId="2473"/>
    <cellStyle name="Normal 106" xfId="2474"/>
    <cellStyle name="Normal 107" xfId="2475"/>
    <cellStyle name="Normal 108" xfId="2476"/>
    <cellStyle name="Normal 109" xfId="2477"/>
    <cellStyle name="Normal 11" xfId="209"/>
    <cellStyle name="Normal 11 10" xfId="2479"/>
    <cellStyle name="Normal 11 11" xfId="2480"/>
    <cellStyle name="Normal 11 12" xfId="2481"/>
    <cellStyle name="Normal 11 13" xfId="2482"/>
    <cellStyle name="Normal 11 14" xfId="2483"/>
    <cellStyle name="Normal 11 15" xfId="2484"/>
    <cellStyle name="Normal 11 16" xfId="2485"/>
    <cellStyle name="Normal 11 17" xfId="4408"/>
    <cellStyle name="Normal 11 18" xfId="2478"/>
    <cellStyle name="Normal 11 2" xfId="2486"/>
    <cellStyle name="Normal 11 2 2" xfId="2487"/>
    <cellStyle name="Normal 11 2 3" xfId="2488"/>
    <cellStyle name="Normal 11 2 4" xfId="2489"/>
    <cellStyle name="Normal 11 3" xfId="2490"/>
    <cellStyle name="Normal 11 3 2" xfId="2491"/>
    <cellStyle name="Normal 11 4" xfId="2492"/>
    <cellStyle name="Normal 11 4 2" xfId="2493"/>
    <cellStyle name="Normal 11 5" xfId="2494"/>
    <cellStyle name="Normal 11 5 2" xfId="2495"/>
    <cellStyle name="Normal 11 6" xfId="2496"/>
    <cellStyle name="Normal 11 7" xfId="2497"/>
    <cellStyle name="Normal 11 8" xfId="2498"/>
    <cellStyle name="Normal 11 9" xfId="2499"/>
    <cellStyle name="Normal 11_20110401_SAN_Rev#1_ PTP 2012" xfId="2500"/>
    <cellStyle name="Normal 110" xfId="2501"/>
    <cellStyle name="Normal 111" xfId="2502"/>
    <cellStyle name="Normal 112" xfId="2503"/>
    <cellStyle name="Normal 112 2" xfId="2504"/>
    <cellStyle name="Normal 113" xfId="2505"/>
    <cellStyle name="Normal 114" xfId="2506"/>
    <cellStyle name="Normal 115" xfId="2507"/>
    <cellStyle name="Normal 116" xfId="2508"/>
    <cellStyle name="Normal 117" xfId="2509"/>
    <cellStyle name="Normal 118" xfId="2510"/>
    <cellStyle name="Normal 119" xfId="2511"/>
    <cellStyle name="Normal 12" xfId="210"/>
    <cellStyle name="Normal 12 10" xfId="2513"/>
    <cellStyle name="Normal 12 11" xfId="2514"/>
    <cellStyle name="Normal 12 12" xfId="2515"/>
    <cellStyle name="Normal 12 13" xfId="2516"/>
    <cellStyle name="Normal 12 14" xfId="2517"/>
    <cellStyle name="Normal 12 15" xfId="2518"/>
    <cellStyle name="Normal 12 16" xfId="2519"/>
    <cellStyle name="Normal 12 17" xfId="4409"/>
    <cellStyle name="Normal 12 18" xfId="2512"/>
    <cellStyle name="Normal 12 2" xfId="2520"/>
    <cellStyle name="Normal 12 2 2" xfId="2521"/>
    <cellStyle name="Normal 12 2 3" xfId="2522"/>
    <cellStyle name="Normal 12 2 4" xfId="2523"/>
    <cellStyle name="Normal 12 3" xfId="2524"/>
    <cellStyle name="Normal 12 3 2" xfId="2525"/>
    <cellStyle name="Normal 12 4" xfId="2526"/>
    <cellStyle name="Normal 12 4 2" xfId="2527"/>
    <cellStyle name="Normal 12 5" xfId="2528"/>
    <cellStyle name="Normal 12 5 2" xfId="2529"/>
    <cellStyle name="Normal 12 6" xfId="2530"/>
    <cellStyle name="Normal 12 7" xfId="2531"/>
    <cellStyle name="Normal 12 8" xfId="2532"/>
    <cellStyle name="Normal 12 9" xfId="2533"/>
    <cellStyle name="Normal 12_20110401_SAN_Rev#1_ PTP 2012" xfId="2534"/>
    <cellStyle name="Normal 120" xfId="2535"/>
    <cellStyle name="Normal 121" xfId="2536"/>
    <cellStyle name="Normal 122" xfId="2537"/>
    <cellStyle name="Normal 123" xfId="2538"/>
    <cellStyle name="Normal 124" xfId="2539"/>
    <cellStyle name="Normal 125" xfId="2540"/>
    <cellStyle name="Normal 126" xfId="2541"/>
    <cellStyle name="Normal 127" xfId="2542"/>
    <cellStyle name="Normal 128" xfId="2543"/>
    <cellStyle name="Normal 129" xfId="2544"/>
    <cellStyle name="Normal 13" xfId="211"/>
    <cellStyle name="Normal 13 10" xfId="2546"/>
    <cellStyle name="Normal 13 11" xfId="2547"/>
    <cellStyle name="Normal 13 12" xfId="2548"/>
    <cellStyle name="Normal 13 13" xfId="2549"/>
    <cellStyle name="Normal 13 14" xfId="2550"/>
    <cellStyle name="Normal 13 15" xfId="2551"/>
    <cellStyle name="Normal 13 16" xfId="2552"/>
    <cellStyle name="Normal 13 17" xfId="4416"/>
    <cellStyle name="Normal 13 18" xfId="2545"/>
    <cellStyle name="Normal 13 2" xfId="2553"/>
    <cellStyle name="Normal 13 2 2" xfId="2554"/>
    <cellStyle name="Normal 13 2 3" xfId="2555"/>
    <cellStyle name="Normal 13 2 4" xfId="2556"/>
    <cellStyle name="Normal 13 3" xfId="2557"/>
    <cellStyle name="Normal 13 3 2" xfId="2558"/>
    <cellStyle name="Normal 13 4" xfId="2559"/>
    <cellStyle name="Normal 13 4 2" xfId="2560"/>
    <cellStyle name="Normal 13 5" xfId="2561"/>
    <cellStyle name="Normal 13 5 2" xfId="2562"/>
    <cellStyle name="Normal 13 6" xfId="2563"/>
    <cellStyle name="Normal 13 7" xfId="2564"/>
    <cellStyle name="Normal 13 8" xfId="2565"/>
    <cellStyle name="Normal 13 9" xfId="2566"/>
    <cellStyle name="Normal 13_20110401_SAN_Rev#1_ PTP 2012" xfId="2567"/>
    <cellStyle name="Normal 130" xfId="2568"/>
    <cellStyle name="Normal 131" xfId="2569"/>
    <cellStyle name="Normal 132" xfId="2570"/>
    <cellStyle name="Normal 133" xfId="2571"/>
    <cellStyle name="Normal 134" xfId="2572"/>
    <cellStyle name="Normal 135" xfId="2573"/>
    <cellStyle name="Normal 136" xfId="2574"/>
    <cellStyle name="Normal 137" xfId="2575"/>
    <cellStyle name="Normal 138" xfId="2576"/>
    <cellStyle name="Normal 139" xfId="2577"/>
    <cellStyle name="Normal 14" xfId="212"/>
    <cellStyle name="Normal 14 10" xfId="2579"/>
    <cellStyle name="Normal 14 11" xfId="2580"/>
    <cellStyle name="Normal 14 12" xfId="2581"/>
    <cellStyle name="Normal 14 13" xfId="2582"/>
    <cellStyle name="Normal 14 14" xfId="2583"/>
    <cellStyle name="Normal 14 15" xfId="2584"/>
    <cellStyle name="Normal 14 16" xfId="2585"/>
    <cellStyle name="Normal 14 17" xfId="4417"/>
    <cellStyle name="Normal 14 18" xfId="2578"/>
    <cellStyle name="Normal 14 2" xfId="2586"/>
    <cellStyle name="Normal 14 2 2" xfId="2587"/>
    <cellStyle name="Normal 14 2 3" xfId="2588"/>
    <cellStyle name="Normal 14 2 4" xfId="2589"/>
    <cellStyle name="Normal 14 3" xfId="2590"/>
    <cellStyle name="Normal 14 3 2" xfId="2591"/>
    <cellStyle name="Normal 14 4" xfId="2592"/>
    <cellStyle name="Normal 14 4 2" xfId="2593"/>
    <cellStyle name="Normal 14 5" xfId="2594"/>
    <cellStyle name="Normal 14 5 2" xfId="2595"/>
    <cellStyle name="Normal 14 6" xfId="2596"/>
    <cellStyle name="Normal 14 7" xfId="2597"/>
    <cellStyle name="Normal 14 8" xfId="2598"/>
    <cellStyle name="Normal 14 9" xfId="2599"/>
    <cellStyle name="Normal 14_20110401_SAN_Rev#1_ PTP 2012" xfId="2600"/>
    <cellStyle name="Normal 140" xfId="2601"/>
    <cellStyle name="Normal 141" xfId="2602"/>
    <cellStyle name="Normal 142" xfId="2603"/>
    <cellStyle name="Normal 143" xfId="2604"/>
    <cellStyle name="Normal 144" xfId="2605"/>
    <cellStyle name="Normal 145" xfId="2606"/>
    <cellStyle name="Normal 146" xfId="2607"/>
    <cellStyle name="Normal 147" xfId="2608"/>
    <cellStyle name="Normal 148" xfId="2609"/>
    <cellStyle name="Normal 149" xfId="2610"/>
    <cellStyle name="Normal 15" xfId="213"/>
    <cellStyle name="Normal 15 10" xfId="2612"/>
    <cellStyle name="Normal 15 11" xfId="2613"/>
    <cellStyle name="Normal 15 12" xfId="2614"/>
    <cellStyle name="Normal 15 13" xfId="2615"/>
    <cellStyle name="Normal 15 14" xfId="2616"/>
    <cellStyle name="Normal 15 15" xfId="2617"/>
    <cellStyle name="Normal 15 16" xfId="2618"/>
    <cellStyle name="Normal 15 17" xfId="4418"/>
    <cellStyle name="Normal 15 18" xfId="2611"/>
    <cellStyle name="Normal 15 2" xfId="2619"/>
    <cellStyle name="Normal 15 2 2" xfId="2620"/>
    <cellStyle name="Normal 15 2 3" xfId="2621"/>
    <cellStyle name="Normal 15 2 4" xfId="2622"/>
    <cellStyle name="Normal 15 3" xfId="2623"/>
    <cellStyle name="Normal 15 3 2" xfId="2624"/>
    <cellStyle name="Normal 15 4" xfId="2625"/>
    <cellStyle name="Normal 15 4 2" xfId="2626"/>
    <cellStyle name="Normal 15 5" xfId="2627"/>
    <cellStyle name="Normal 15 5 2" xfId="2628"/>
    <cellStyle name="Normal 15 6" xfId="2629"/>
    <cellStyle name="Normal 15 7" xfId="2630"/>
    <cellStyle name="Normal 15 8" xfId="2631"/>
    <cellStyle name="Normal 15 9" xfId="2632"/>
    <cellStyle name="Normal 15_20110401_SAN_Rev#1_ PTP 2012" xfId="2633"/>
    <cellStyle name="Normal 150" xfId="2634"/>
    <cellStyle name="Normal 151" xfId="2635"/>
    <cellStyle name="Normal 152" xfId="2636"/>
    <cellStyle name="Normal 153" xfId="2637"/>
    <cellStyle name="Normal 154" xfId="2638"/>
    <cellStyle name="Normal 155" xfId="2639"/>
    <cellStyle name="Normal 156" xfId="2640"/>
    <cellStyle name="Normal 157" xfId="2641"/>
    <cellStyle name="Normal 158" xfId="2642"/>
    <cellStyle name="Normal 159" xfId="2643"/>
    <cellStyle name="Normal 16" xfId="214"/>
    <cellStyle name="Normal 16 10" xfId="2645"/>
    <cellStyle name="Normal 16 11" xfId="2646"/>
    <cellStyle name="Normal 16 12" xfId="2647"/>
    <cellStyle name="Normal 16 13" xfId="2648"/>
    <cellStyle name="Normal 16 14" xfId="2649"/>
    <cellStyle name="Normal 16 15" xfId="2650"/>
    <cellStyle name="Normal 16 16" xfId="2651"/>
    <cellStyle name="Normal 16 17" xfId="4420"/>
    <cellStyle name="Normal 16 18" xfId="2644"/>
    <cellStyle name="Normal 16 2" xfId="2652"/>
    <cellStyle name="Normal 16 2 2" xfId="2653"/>
    <cellStyle name="Normal 16 2 3" xfId="2654"/>
    <cellStyle name="Normal 16 2 4" xfId="2655"/>
    <cellStyle name="Normal 16 3" xfId="2656"/>
    <cellStyle name="Normal 16 3 2" xfId="2657"/>
    <cellStyle name="Normal 16 4" xfId="2658"/>
    <cellStyle name="Normal 16 4 2" xfId="2659"/>
    <cellStyle name="Normal 16 5" xfId="2660"/>
    <cellStyle name="Normal 16 5 2" xfId="2661"/>
    <cellStyle name="Normal 16 6" xfId="2662"/>
    <cellStyle name="Normal 16 7" xfId="2663"/>
    <cellStyle name="Normal 16 8" xfId="2664"/>
    <cellStyle name="Normal 16 9" xfId="2665"/>
    <cellStyle name="Normal 16_20110401_SAN_Rev#1_ PTP 2012" xfId="2666"/>
    <cellStyle name="Normal 160" xfId="2667"/>
    <cellStyle name="Normal 161" xfId="2668"/>
    <cellStyle name="Normal 162" xfId="2669"/>
    <cellStyle name="Normal 163" xfId="2670"/>
    <cellStyle name="Normal 164" xfId="2671"/>
    <cellStyle name="Normal 165" xfId="2672"/>
    <cellStyle name="Normal 166" xfId="2673"/>
    <cellStyle name="Normal 166 2" xfId="4396"/>
    <cellStyle name="Normal 167" xfId="2674"/>
    <cellStyle name="Normal 167 2" xfId="4493"/>
    <cellStyle name="Normal 168" xfId="2675"/>
    <cellStyle name="Normal 169" xfId="2676"/>
    <cellStyle name="Normal 17" xfId="215"/>
    <cellStyle name="Normal 17 2" xfId="2678"/>
    <cellStyle name="Normal 17 2 2" xfId="2679"/>
    <cellStyle name="Normal 17 2 3" xfId="2680"/>
    <cellStyle name="Normal 17 3" xfId="2681"/>
    <cellStyle name="Normal 17 4" xfId="2682"/>
    <cellStyle name="Normal 17 5" xfId="2683"/>
    <cellStyle name="Normal 17 6" xfId="4419"/>
    <cellStyle name="Normal 17 7" xfId="2677"/>
    <cellStyle name="Normal 17_20110401_SAN_Rev#1_ PTP 2012" xfId="2684"/>
    <cellStyle name="Normal 170" xfId="2685"/>
    <cellStyle name="Normal 171" xfId="2686"/>
    <cellStyle name="Normal 172" xfId="2687"/>
    <cellStyle name="Normal 173" xfId="2688"/>
    <cellStyle name="Normal 174" xfId="2689"/>
    <cellStyle name="Normal 175" xfId="2690"/>
    <cellStyle name="Normal 176" xfId="2691"/>
    <cellStyle name="Normal 177" xfId="4368"/>
    <cellStyle name="Normal 177 2" xfId="4385"/>
    <cellStyle name="Normal 178" xfId="372"/>
    <cellStyle name="Normal 178 2" xfId="4387"/>
    <cellStyle name="Normal 179" xfId="4367"/>
    <cellStyle name="Normal 179 2" xfId="4389"/>
    <cellStyle name="Normal 18" xfId="216"/>
    <cellStyle name="Normal 18 10" xfId="2693"/>
    <cellStyle name="Normal 18 11" xfId="2694"/>
    <cellStyle name="Normal 18 12" xfId="2695"/>
    <cellStyle name="Normal 18 13" xfId="2696"/>
    <cellStyle name="Normal 18 14" xfId="2697"/>
    <cellStyle name="Normal 18 15" xfId="2698"/>
    <cellStyle name="Normal 18 16" xfId="2699"/>
    <cellStyle name="Normal 18 17" xfId="4421"/>
    <cellStyle name="Normal 18 18" xfId="2692"/>
    <cellStyle name="Normal 18 2" xfId="2700"/>
    <cellStyle name="Normal 18 2 2" xfId="2701"/>
    <cellStyle name="Normal 18 2 3" xfId="2702"/>
    <cellStyle name="Normal 18 2 4" xfId="2703"/>
    <cellStyle name="Normal 18 3" xfId="2704"/>
    <cellStyle name="Normal 18 3 2" xfId="2705"/>
    <cellStyle name="Normal 18 4" xfId="2706"/>
    <cellStyle name="Normal 18 4 2" xfId="2707"/>
    <cellStyle name="Normal 18 5" xfId="2708"/>
    <cellStyle name="Normal 18 5 2" xfId="2709"/>
    <cellStyle name="Normal 18 6" xfId="2710"/>
    <cellStyle name="Normal 18 7" xfId="2711"/>
    <cellStyle name="Normal 18 8" xfId="2712"/>
    <cellStyle name="Normal 18 9" xfId="2713"/>
    <cellStyle name="Normal 18_20110401_SAN_Rev#1_ PTP 2012" xfId="2714"/>
    <cellStyle name="Normal 180" xfId="4392"/>
    <cellStyle name="Normal 181" xfId="4394"/>
    <cellStyle name="Normal 182" xfId="4373"/>
    <cellStyle name="Normal 183" xfId="4395"/>
    <cellStyle name="Normal 184" xfId="4507"/>
    <cellStyle name="Normal 185" xfId="4508"/>
    <cellStyle name="Normal 186" xfId="4510"/>
    <cellStyle name="Normal 187" xfId="4511"/>
    <cellStyle name="Normal 188" xfId="4512"/>
    <cellStyle name="Normal 189" xfId="4513"/>
    <cellStyle name="Normal 19" xfId="217"/>
    <cellStyle name="Normal 19 2" xfId="218"/>
    <cellStyle name="Normal 19 2 2" xfId="219"/>
    <cellStyle name="Normal 19 2 2 2" xfId="220"/>
    <cellStyle name="Normal 19 2 2 3" xfId="2716"/>
    <cellStyle name="Normal 19 2 3" xfId="221"/>
    <cellStyle name="Normal 19 2 3 2" xfId="2717"/>
    <cellStyle name="Normal 19 2 4" xfId="2718"/>
    <cellStyle name="Normal 19 2 5" xfId="4500"/>
    <cellStyle name="Normal 19 2 6" xfId="2715"/>
    <cellStyle name="Normal 19 3" xfId="222"/>
    <cellStyle name="Normal 19 3 2" xfId="223"/>
    <cellStyle name="Normal 19 3 2 2" xfId="224"/>
    <cellStyle name="Normal 19 3 3" xfId="225"/>
    <cellStyle name="Normal 19 3 4" xfId="2719"/>
    <cellStyle name="Normal 19 4" xfId="226"/>
    <cellStyle name="Normal 19 4 2" xfId="227"/>
    <cellStyle name="Normal 19 5" xfId="228"/>
    <cellStyle name="Normal 19 5 2" xfId="2720"/>
    <cellStyle name="Normal 19_20110401_SAN_Rev#1_ PTP 2012" xfId="2721"/>
    <cellStyle name="Normal 190" xfId="4384"/>
    <cellStyle name="Normal 191" xfId="4374"/>
    <cellStyle name="Normal 192" xfId="4527"/>
    <cellStyle name="Normal 193" xfId="4528"/>
    <cellStyle name="Normal 194" xfId="4529"/>
    <cellStyle name="Normal 195" xfId="4530"/>
    <cellStyle name="Normal 2" xfId="1"/>
    <cellStyle name="Normal 2 10" xfId="2723"/>
    <cellStyle name="Normal 2 10 2" xfId="2724"/>
    <cellStyle name="Normal 2 11" xfId="2725"/>
    <cellStyle name="Normal 2 11 2" xfId="2726"/>
    <cellStyle name="Normal 2 12" xfId="2727"/>
    <cellStyle name="Normal 2 13" xfId="2728"/>
    <cellStyle name="Normal 2 14" xfId="2729"/>
    <cellStyle name="Normal 2 15" xfId="2730"/>
    <cellStyle name="Normal 2 16" xfId="2731"/>
    <cellStyle name="Normal 2 17" xfId="2732"/>
    <cellStyle name="Normal 2 18" xfId="4369"/>
    <cellStyle name="Normal 2 19" xfId="2722"/>
    <cellStyle name="Normal 2 2" xfId="229"/>
    <cellStyle name="Normal 2 2 2" xfId="230"/>
    <cellStyle name="Normal 2 2 2 2" xfId="231"/>
    <cellStyle name="Normal 2 2 2 2 2" xfId="2733"/>
    <cellStyle name="Normal 2 2 2 2 3" xfId="2734"/>
    <cellStyle name="Normal 2 2 2 3" xfId="2735"/>
    <cellStyle name="Normal 2 2 2 3 2" xfId="2736"/>
    <cellStyle name="Normal 2 2 2 4" xfId="2737"/>
    <cellStyle name="Normal 2 2 2 5" xfId="2738"/>
    <cellStyle name="Normal 2 2 3" xfId="2739"/>
    <cellStyle name="Normal 2 2 3 2" xfId="2740"/>
    <cellStyle name="Normal 2 2 4" xfId="2741"/>
    <cellStyle name="Normal 2 2 5" xfId="2742"/>
    <cellStyle name="Normal 2 2 6" xfId="2743"/>
    <cellStyle name="Normal 2 2_DNCR T-03 TOTAL" xfId="2744"/>
    <cellStyle name="Normal 2 20" xfId="4375"/>
    <cellStyle name="Normal 2 21" xfId="4376"/>
    <cellStyle name="Normal 2 22" xfId="371"/>
    <cellStyle name="Normal 2 3" xfId="232"/>
    <cellStyle name="Normal 2 3 2" xfId="233"/>
    <cellStyle name="Normal 2 3 2 2" xfId="2"/>
    <cellStyle name="Normal 2 3 2 2 2" xfId="234"/>
    <cellStyle name="Normal 2 3 2 2 3" xfId="4415"/>
    <cellStyle name="Normal 2 3 2 2 4" xfId="2746"/>
    <cellStyle name="Normal 2 3 2 3" xfId="235"/>
    <cellStyle name="Normal 2 3 2 3 2" xfId="4466"/>
    <cellStyle name="Normal 2 3 2 3 3" xfId="2747"/>
    <cellStyle name="Normal 2 3 2 4" xfId="4406"/>
    <cellStyle name="Normal 2 3 2 5" xfId="2745"/>
    <cellStyle name="Normal 2 3 3" xfId="236"/>
    <cellStyle name="Normal 2 3 3 2" xfId="237"/>
    <cellStyle name="Normal 2 3 3 2 2" xfId="4467"/>
    <cellStyle name="Normal 2 3 3 2 3" xfId="2748"/>
    <cellStyle name="Normal 2 3 4" xfId="238"/>
    <cellStyle name="Normal 2 3 5" xfId="239"/>
    <cellStyle name="Normal 2 3 6" xfId="2749"/>
    <cellStyle name="Normal 2 3_20110401_SAN_Rev#1_ PTP 2012" xfId="2750"/>
    <cellStyle name="Normal 2 4" xfId="240"/>
    <cellStyle name="Normal 2 4 2" xfId="2752"/>
    <cellStyle name="Normal 2 4 2 2" xfId="2753"/>
    <cellStyle name="Normal 2 4 3" xfId="2754"/>
    <cellStyle name="Normal 2 4 4" xfId="2755"/>
    <cellStyle name="Normal 2 4 5" xfId="4399"/>
    <cellStyle name="Normal 2 4 6" xfId="2751"/>
    <cellStyle name="Normal 2 5" xfId="241"/>
    <cellStyle name="Normal 2 5 2" xfId="242"/>
    <cellStyle name="Normal 2 5 2 2" xfId="243"/>
    <cellStyle name="Normal 2 5 2 3" xfId="4413"/>
    <cellStyle name="Normal 2 5 2 4" xfId="2757"/>
    <cellStyle name="Normal 2 5 3" xfId="244"/>
    <cellStyle name="Normal 2 5 3 2" xfId="4468"/>
    <cellStyle name="Normal 2 5 3 3" xfId="2758"/>
    <cellStyle name="Normal 2 5 4" xfId="4404"/>
    <cellStyle name="Normal 2 5 5" xfId="2756"/>
    <cellStyle name="Normal 2 6" xfId="245"/>
    <cellStyle name="Normal 2 6 2" xfId="246"/>
    <cellStyle name="Normal 2 6 2 2" xfId="4469"/>
    <cellStyle name="Normal 2 6 2 3" xfId="2760"/>
    <cellStyle name="Normal 2 6 3" xfId="2761"/>
    <cellStyle name="Normal 2 6 4" xfId="4410"/>
    <cellStyle name="Normal 2 6 5" xfId="2759"/>
    <cellStyle name="Normal 2 7" xfId="247"/>
    <cellStyle name="Normal 2 7 2" xfId="4470"/>
    <cellStyle name="Normal 2 7 3" xfId="2762"/>
    <cellStyle name="Normal 2 8" xfId="2763"/>
    <cellStyle name="Normal 2 8 2" xfId="2764"/>
    <cellStyle name="Normal 2 9" xfId="2765"/>
    <cellStyle name="Normal 2 9 2" xfId="2766"/>
    <cellStyle name="Normal 2_1 Revis Costos Recup NRJ-CHS-PRV ene dic-2008" xfId="2767"/>
    <cellStyle name="Normal 20" xfId="248"/>
    <cellStyle name="Normal 20 10" xfId="2768"/>
    <cellStyle name="Normal 20 11" xfId="2769"/>
    <cellStyle name="Normal 20 12" xfId="2770"/>
    <cellStyle name="Normal 20 13" xfId="2771"/>
    <cellStyle name="Normal 20 14" xfId="2772"/>
    <cellStyle name="Normal 20 15" xfId="2773"/>
    <cellStyle name="Normal 20 16" xfId="2774"/>
    <cellStyle name="Normal 20 2" xfId="249"/>
    <cellStyle name="Normal 20 2 2" xfId="250"/>
    <cellStyle name="Normal 20 2 2 2" xfId="251"/>
    <cellStyle name="Normal 20 2 2 3" xfId="2776"/>
    <cellStyle name="Normal 20 2 3" xfId="252"/>
    <cellStyle name="Normal 20 2 3 2" xfId="2777"/>
    <cellStyle name="Normal 20 2 4" xfId="2778"/>
    <cellStyle name="Normal 20 2 5" xfId="4501"/>
    <cellStyle name="Normal 20 2 6" xfId="2775"/>
    <cellStyle name="Normal 20 3" xfId="253"/>
    <cellStyle name="Normal 20 3 2" xfId="254"/>
    <cellStyle name="Normal 20 3 2 2" xfId="255"/>
    <cellStyle name="Normal 20 3 2 3" xfId="2780"/>
    <cellStyle name="Normal 20 3 3" xfId="256"/>
    <cellStyle name="Normal 20 3 4" xfId="2779"/>
    <cellStyle name="Normal 20 4" xfId="257"/>
    <cellStyle name="Normal 20 4 2" xfId="258"/>
    <cellStyle name="Normal 20 4 3" xfId="2781"/>
    <cellStyle name="Normal 20 5" xfId="259"/>
    <cellStyle name="Normal 20 5 2" xfId="2783"/>
    <cellStyle name="Normal 20 5 3" xfId="2782"/>
    <cellStyle name="Normal 20 6" xfId="2784"/>
    <cellStyle name="Normal 20 7" xfId="2785"/>
    <cellStyle name="Normal 20 8" xfId="2786"/>
    <cellStyle name="Normal 20 9" xfId="2787"/>
    <cellStyle name="Normal 20_20110401_SAN_Rev#1_ PTP 2012" xfId="2788"/>
    <cellStyle name="Normal 21" xfId="260"/>
    <cellStyle name="Normal 21 10" xfId="2789"/>
    <cellStyle name="Normal 21 11" xfId="2790"/>
    <cellStyle name="Normal 21 12" xfId="2791"/>
    <cellStyle name="Normal 21 13" xfId="2792"/>
    <cellStyle name="Normal 21 14" xfId="2793"/>
    <cellStyle name="Normal 21 15" xfId="2794"/>
    <cellStyle name="Normal 21 16" xfId="2795"/>
    <cellStyle name="Normal 21 2" xfId="261"/>
    <cellStyle name="Normal 21 2 2" xfId="262"/>
    <cellStyle name="Normal 21 2 2 2" xfId="263"/>
    <cellStyle name="Normal 21 2 2 3" xfId="2797"/>
    <cellStyle name="Normal 21 2 3" xfId="264"/>
    <cellStyle name="Normal 21 2 3 2" xfId="2798"/>
    <cellStyle name="Normal 21 2 4" xfId="4502"/>
    <cellStyle name="Normal 21 2 5" xfId="2796"/>
    <cellStyle name="Normal 21 3" xfId="265"/>
    <cellStyle name="Normal 21 3 2" xfId="266"/>
    <cellStyle name="Normal 21 3 2 2" xfId="267"/>
    <cellStyle name="Normal 21 3 2 3" xfId="2800"/>
    <cellStyle name="Normal 21 3 3" xfId="268"/>
    <cellStyle name="Normal 21 3 4" xfId="2799"/>
    <cellStyle name="Normal 21 4" xfId="269"/>
    <cellStyle name="Normal 21 4 2" xfId="270"/>
    <cellStyle name="Normal 21 4 3" xfId="2801"/>
    <cellStyle name="Normal 21 5" xfId="271"/>
    <cellStyle name="Normal 21 5 2" xfId="2803"/>
    <cellStyle name="Normal 21 5 3" xfId="2802"/>
    <cellStyle name="Normal 21 6" xfId="2804"/>
    <cellStyle name="Normal 21 7" xfId="2805"/>
    <cellStyle name="Normal 21 8" xfId="2806"/>
    <cellStyle name="Normal 21 9" xfId="2807"/>
    <cellStyle name="Normal 21_20110401_SAN_Rev#1_ PTP 2012" xfId="2808"/>
    <cellStyle name="Normal 22" xfId="272"/>
    <cellStyle name="Normal 22 2" xfId="2810"/>
    <cellStyle name="Normal 22 2 2" xfId="2811"/>
    <cellStyle name="Normal 22 2 2 2" xfId="2812"/>
    <cellStyle name="Normal 22 2 3" xfId="2813"/>
    <cellStyle name="Normal 22 2_20110401_SAN_Rev#1_ PTP 2012" xfId="2814"/>
    <cellStyle name="Normal 22 3" xfId="2815"/>
    <cellStyle name="Normal 22 4" xfId="2816"/>
    <cellStyle name="Normal 22 5" xfId="2817"/>
    <cellStyle name="Normal 22 6" xfId="4497"/>
    <cellStyle name="Normal 22 7" xfId="4506"/>
    <cellStyle name="Normal 22 8" xfId="2809"/>
    <cellStyle name="Normal 22 9" xfId="4531"/>
    <cellStyle name="Normal 22_20110401_SAL_Rev#1_ PTP 2011" xfId="2818"/>
    <cellStyle name="Normal 23" xfId="273"/>
    <cellStyle name="Normal 23 2" xfId="2820"/>
    <cellStyle name="Normal 23 2 2" xfId="2821"/>
    <cellStyle name="Normal 23 3" xfId="2822"/>
    <cellStyle name="Normal 23 4" xfId="2823"/>
    <cellStyle name="Normal 23 5" xfId="2824"/>
    <cellStyle name="Normal 23 6" xfId="4503"/>
    <cellStyle name="Normal 23 7" xfId="2819"/>
    <cellStyle name="Normal 23_20110401_SAL_Rev#1_ PTP 2011" xfId="2825"/>
    <cellStyle name="Normal 24" xfId="274"/>
    <cellStyle name="Normal 24 2" xfId="2827"/>
    <cellStyle name="Normal 24 2 2" xfId="2828"/>
    <cellStyle name="Normal 24 3" xfId="2829"/>
    <cellStyle name="Normal 24 4" xfId="2830"/>
    <cellStyle name="Normal 24 5" xfId="2831"/>
    <cellStyle name="Normal 24 6" xfId="4504"/>
    <cellStyle name="Normal 24 7" xfId="2826"/>
    <cellStyle name="Normal 24_20110401_SAL_Rev#1_ PTP 2011" xfId="2832"/>
    <cellStyle name="Normal 25" xfId="275"/>
    <cellStyle name="Normal 25 2" xfId="2834"/>
    <cellStyle name="Normal 25 3" xfId="2835"/>
    <cellStyle name="Normal 25 4" xfId="2836"/>
    <cellStyle name="Normal 25 5" xfId="4505"/>
    <cellStyle name="Normal 25 6" xfId="2833"/>
    <cellStyle name="Normal 26" xfId="4"/>
    <cellStyle name="Normal 26 2" xfId="2838"/>
    <cellStyle name="Normal 26 3" xfId="2839"/>
    <cellStyle name="Normal 26 4" xfId="2840"/>
    <cellStyle name="Normal 26 5" xfId="2837"/>
    <cellStyle name="Normal 27" xfId="276"/>
    <cellStyle name="Normal 27 2" xfId="2842"/>
    <cellStyle name="Normal 27 3" xfId="2843"/>
    <cellStyle name="Normal 27 4" xfId="2841"/>
    <cellStyle name="Normal 28" xfId="324"/>
    <cellStyle name="Normal 28 2" xfId="2845"/>
    <cellStyle name="Normal 28 3" xfId="2846"/>
    <cellStyle name="Normal 28 4" xfId="2844"/>
    <cellStyle name="Normal 29" xfId="325"/>
    <cellStyle name="Normal 29 2" xfId="2848"/>
    <cellStyle name="Normal 29 3" xfId="2849"/>
    <cellStyle name="Normal 29 4" xfId="2847"/>
    <cellStyle name="Normal 3" xfId="3"/>
    <cellStyle name="Normal 3 10" xfId="2851"/>
    <cellStyle name="Normal 3 11" xfId="2852"/>
    <cellStyle name="Normal 3 12" xfId="2853"/>
    <cellStyle name="Normal 3 13" xfId="2854"/>
    <cellStyle name="Normal 3 14" xfId="2855"/>
    <cellStyle name="Normal 3 15" xfId="2856"/>
    <cellStyle name="Normal 3 16" xfId="2857"/>
    <cellStyle name="Normal 3 17" xfId="4371"/>
    <cellStyle name="Normal 3 17 2" xfId="4383"/>
    <cellStyle name="Normal 3 18" xfId="2850"/>
    <cellStyle name="Normal 3 2" xfId="277"/>
    <cellStyle name="Normal 3 2 2" xfId="2858"/>
    <cellStyle name="Normal 3 2 3" xfId="2859"/>
    <cellStyle name="Normal 3 2 3 2" xfId="2860"/>
    <cellStyle name="Normal 3 2_DNCR T-03 TOTAL" xfId="2861"/>
    <cellStyle name="Normal 3 3" xfId="278"/>
    <cellStyle name="Normal 3 3 2" xfId="2862"/>
    <cellStyle name="Normal 3 3 2 2" xfId="2863"/>
    <cellStyle name="Normal 3 3 2 3" xfId="2864"/>
    <cellStyle name="Normal 3 3 3" xfId="2865"/>
    <cellStyle name="Normal 3 4" xfId="2866"/>
    <cellStyle name="Normal 3 4 2" xfId="2867"/>
    <cellStyle name="Normal 3 4 2 2" xfId="2868"/>
    <cellStyle name="Normal 3 4 3" xfId="2869"/>
    <cellStyle name="Normal 3 5" xfId="2870"/>
    <cellStyle name="Normal 3 5 2" xfId="2871"/>
    <cellStyle name="Normal 3 5 3" xfId="2872"/>
    <cellStyle name="Normal 3 6" xfId="2873"/>
    <cellStyle name="Normal 3 6 2" xfId="2874"/>
    <cellStyle name="Normal 3 7" xfId="2875"/>
    <cellStyle name="Normal 3 7 2" xfId="2876"/>
    <cellStyle name="Normal 3 8" xfId="2877"/>
    <cellStyle name="Normal 3 8 2" xfId="2878"/>
    <cellStyle name="Normal 3 9" xfId="2879"/>
    <cellStyle name="Normal 3 9 2" xfId="2880"/>
    <cellStyle name="Normal 3_20110401_SAN_Rev#1_ PTP 2012" xfId="2881"/>
    <cellStyle name="Normal 30" xfId="327"/>
    <cellStyle name="Normal 30 2" xfId="2883"/>
    <cellStyle name="Normal 30 3" xfId="2884"/>
    <cellStyle name="Normal 30 4" xfId="2882"/>
    <cellStyle name="Normal 31" xfId="329"/>
    <cellStyle name="Normal 31 2" xfId="2886"/>
    <cellStyle name="Normal 31 3" xfId="2887"/>
    <cellStyle name="Normal 31 4" xfId="2885"/>
    <cellStyle name="Normal 32" xfId="328"/>
    <cellStyle name="Normal 32 2" xfId="2889"/>
    <cellStyle name="Normal 32 3" xfId="2890"/>
    <cellStyle name="Normal 32 4" xfId="2888"/>
    <cellStyle name="Normal 33" xfId="2891"/>
    <cellStyle name="Normal 33 2" xfId="2892"/>
    <cellStyle name="Normal 33 3" xfId="2893"/>
    <cellStyle name="Normal 34" xfId="2894"/>
    <cellStyle name="Normal 34 2" xfId="2895"/>
    <cellStyle name="Normal 34 3" xfId="2896"/>
    <cellStyle name="Normal 35" xfId="2897"/>
    <cellStyle name="Normal 35 2" xfId="2898"/>
    <cellStyle name="Normal 35 3" xfId="2899"/>
    <cellStyle name="Normal 36" xfId="2900"/>
    <cellStyle name="Normal 36 2" xfId="2901"/>
    <cellStyle name="Normal 36 3" xfId="2902"/>
    <cellStyle name="Normal 37" xfId="2903"/>
    <cellStyle name="Normal 37 2" xfId="2904"/>
    <cellStyle name="Normal 37 3" xfId="2905"/>
    <cellStyle name="Normal 38" xfId="2906"/>
    <cellStyle name="Normal 38 2" xfId="2907"/>
    <cellStyle name="Normal 38 3" xfId="2908"/>
    <cellStyle name="Normal 39" xfId="2909"/>
    <cellStyle name="Normal 39 2" xfId="2910"/>
    <cellStyle name="Normal 39 3" xfId="2911"/>
    <cellStyle name="Normal 4" xfId="279"/>
    <cellStyle name="Normal 4 10" xfId="2913"/>
    <cellStyle name="Normal 4 11" xfId="2914"/>
    <cellStyle name="Normal 4 12" xfId="2915"/>
    <cellStyle name="Normal 4 13" xfId="2916"/>
    <cellStyle name="Normal 4 14" xfId="2917"/>
    <cellStyle name="Normal 4 15" xfId="2918"/>
    <cellStyle name="Normal 4 16" xfId="2919"/>
    <cellStyle name="Normal 4 17" xfId="2912"/>
    <cellStyle name="Normal 4 18" xfId="370"/>
    <cellStyle name="Normal 4 2" xfId="280"/>
    <cellStyle name="Normal 4 2 2" xfId="281"/>
    <cellStyle name="Normal 4 2 2 2" xfId="2920"/>
    <cellStyle name="Normal 4 2 2 2 2" xfId="2921"/>
    <cellStyle name="Normal 4 2 2 3" xfId="2922"/>
    <cellStyle name="Normal 4 2 3" xfId="2923"/>
    <cellStyle name="Normal 4 2 4" xfId="2924"/>
    <cellStyle name="Normal 4 2 5" xfId="2925"/>
    <cellStyle name="Normal 4 3" xfId="2926"/>
    <cellStyle name="Normal 4 3 2" xfId="2927"/>
    <cellStyle name="Normal 4 3 3" xfId="2928"/>
    <cellStyle name="Normal 4 4" xfId="2929"/>
    <cellStyle name="Normal 4 4 2" xfId="2930"/>
    <cellStyle name="Normal 4 5" xfId="2931"/>
    <cellStyle name="Normal 4 5 2" xfId="2932"/>
    <cellStyle name="Normal 4 6" xfId="2933"/>
    <cellStyle name="Normal 4 7" xfId="2934"/>
    <cellStyle name="Normal 4 8" xfId="2935"/>
    <cellStyle name="Normal 4 9" xfId="2936"/>
    <cellStyle name="Normal 4_20110401_SAN_Rev#1_ PTP 2012" xfId="2937"/>
    <cellStyle name="Normal 40" xfId="2938"/>
    <cellStyle name="Normal 40 2" xfId="2939"/>
    <cellStyle name="Normal 40 3" xfId="2940"/>
    <cellStyle name="Normal 41" xfId="2941"/>
    <cellStyle name="Normal 41 2" xfId="2942"/>
    <cellStyle name="Normal 41 3" xfId="2943"/>
    <cellStyle name="Normal 42" xfId="2944"/>
    <cellStyle name="Normal 42 2" xfId="2945"/>
    <cellStyle name="Normal 42 3" xfId="2946"/>
    <cellStyle name="Normal 43" xfId="2947"/>
    <cellStyle name="Normal 43 2" xfId="2948"/>
    <cellStyle name="Normal 43 3" xfId="2949"/>
    <cellStyle name="Normal 44" xfId="2950"/>
    <cellStyle name="Normal 44 2" xfId="2951"/>
    <cellStyle name="Normal 44 3" xfId="2952"/>
    <cellStyle name="Normal 45" xfId="2953"/>
    <cellStyle name="Normal 45 2" xfId="2954"/>
    <cellStyle name="Normal 45 3" xfId="2955"/>
    <cellStyle name="Normal 46" xfId="2956"/>
    <cellStyle name="Normal 46 2" xfId="2957"/>
    <cellStyle name="Normal 46 3" xfId="2958"/>
    <cellStyle name="Normal 47" xfId="2959"/>
    <cellStyle name="Normal 47 2" xfId="2960"/>
    <cellStyle name="Normal 47 3" xfId="2961"/>
    <cellStyle name="Normal 48" xfId="2962"/>
    <cellStyle name="Normal 48 2" xfId="2963"/>
    <cellStyle name="Normal 48 3" xfId="2964"/>
    <cellStyle name="Normal 49" xfId="2965"/>
    <cellStyle name="Normal 49 2" xfId="2966"/>
    <cellStyle name="Normal 49 3" xfId="2967"/>
    <cellStyle name="Normal 5" xfId="282"/>
    <cellStyle name="Normal 5 10" xfId="2968"/>
    <cellStyle name="Normal 5 11" xfId="2969"/>
    <cellStyle name="Normal 5 12" xfId="2970"/>
    <cellStyle name="Normal 5 13" xfId="2971"/>
    <cellStyle name="Normal 5 14" xfId="2972"/>
    <cellStyle name="Normal 5 15" xfId="2973"/>
    <cellStyle name="Normal 5 16" xfId="2974"/>
    <cellStyle name="Normal 5 17" xfId="2975"/>
    <cellStyle name="Normal 5 2" xfId="283"/>
    <cellStyle name="Normal 5 2 2" xfId="2976"/>
    <cellStyle name="Normal 5 2 2 2" xfId="2977"/>
    <cellStyle name="Normal 5 2 3" xfId="2978"/>
    <cellStyle name="Normal 5 2 4" xfId="2979"/>
    <cellStyle name="Normal 5 3" xfId="284"/>
    <cellStyle name="Normal 5 3 2" xfId="2981"/>
    <cellStyle name="Normal 5 3 3" xfId="2982"/>
    <cellStyle name="Normal 5 3 4" xfId="4491"/>
    <cellStyle name="Normal 5 3 5" xfId="2980"/>
    <cellStyle name="Normal 5 4" xfId="2983"/>
    <cellStyle name="Normal 5 4 2" xfId="2984"/>
    <cellStyle name="Normal 5 5" xfId="2985"/>
    <cellStyle name="Normal 5 5 2" xfId="2986"/>
    <cellStyle name="Normal 5 6" xfId="2987"/>
    <cellStyle name="Normal 5 6 2" xfId="2988"/>
    <cellStyle name="Normal 5 7" xfId="2989"/>
    <cellStyle name="Normal 5 8" xfId="2990"/>
    <cellStyle name="Normal 5 9" xfId="2991"/>
    <cellStyle name="Normal 5_20110401_SAN_Rev#1_ PTP 2012" xfId="2992"/>
    <cellStyle name="Normal 50" xfId="2993"/>
    <cellStyle name="Normal 50 2" xfId="2994"/>
    <cellStyle name="Normal 50 3" xfId="2995"/>
    <cellStyle name="Normal 51" xfId="2996"/>
    <cellStyle name="Normal 51 2" xfId="2997"/>
    <cellStyle name="Normal 51 3" xfId="2998"/>
    <cellStyle name="Normal 52" xfId="2999"/>
    <cellStyle name="Normal 52 2" xfId="3000"/>
    <cellStyle name="Normal 52 3" xfId="3001"/>
    <cellStyle name="Normal 53" xfId="3002"/>
    <cellStyle name="Normal 53 2" xfId="3003"/>
    <cellStyle name="Normal 53 3" xfId="3004"/>
    <cellStyle name="Normal 54" xfId="3005"/>
    <cellStyle name="Normal 54 2" xfId="3006"/>
    <cellStyle name="Normal 54 3" xfId="3007"/>
    <cellStyle name="Normal 55" xfId="3008"/>
    <cellStyle name="Normal 55 2" xfId="3009"/>
    <cellStyle name="Normal 56" xfId="3010"/>
    <cellStyle name="Normal 56 2" xfId="3011"/>
    <cellStyle name="Normal 57" xfId="3012"/>
    <cellStyle name="Normal 57 2" xfId="3013"/>
    <cellStyle name="Normal 58" xfId="3014"/>
    <cellStyle name="Normal 58 2" xfId="3015"/>
    <cellStyle name="Normal 59" xfId="3016"/>
    <cellStyle name="Normal 59 2" xfId="3017"/>
    <cellStyle name="Normal 6" xfId="285"/>
    <cellStyle name="Normal 6 10" xfId="3018"/>
    <cellStyle name="Normal 6 11" xfId="3019"/>
    <cellStyle name="Normal 6 12" xfId="3020"/>
    <cellStyle name="Normal 6 13" xfId="3021"/>
    <cellStyle name="Normal 6 14" xfId="3022"/>
    <cellStyle name="Normal 6 15" xfId="3023"/>
    <cellStyle name="Normal 6 16" xfId="3024"/>
    <cellStyle name="Normal 6 17" xfId="3025"/>
    <cellStyle name="Normal 6 2" xfId="286"/>
    <cellStyle name="Normal 6 2 2" xfId="3026"/>
    <cellStyle name="Normal 6 2 2 2" xfId="3027"/>
    <cellStyle name="Normal 6 2 2 3" xfId="3028"/>
    <cellStyle name="Normal 6 2 3" xfId="3029"/>
    <cellStyle name="Normal 6 2 3 2" xfId="3030"/>
    <cellStyle name="Normal 6 2 4" xfId="3031"/>
    <cellStyle name="Normal 6 3" xfId="287"/>
    <cellStyle name="Normal 6 3 2" xfId="3032"/>
    <cellStyle name="Normal 6 3 2 2" xfId="3033"/>
    <cellStyle name="Normal 6 3 3" xfId="3034"/>
    <cellStyle name="Normal 6 4" xfId="3035"/>
    <cellStyle name="Normal 6 4 2" xfId="3036"/>
    <cellStyle name="Normal 6 5" xfId="3037"/>
    <cellStyle name="Normal 6 5 2" xfId="3038"/>
    <cellStyle name="Normal 6 6" xfId="3039"/>
    <cellStyle name="Normal 6 7" xfId="3040"/>
    <cellStyle name="Normal 6 8" xfId="3041"/>
    <cellStyle name="Normal 6 9" xfId="3042"/>
    <cellStyle name="Normal 6_20110401_SAN_Rev#1_ PTP 2012" xfId="3043"/>
    <cellStyle name="Normal 60" xfId="3044"/>
    <cellStyle name="Normal 60 2" xfId="3045"/>
    <cellStyle name="Normal 61" xfId="3046"/>
    <cellStyle name="Normal 61 2" xfId="3047"/>
    <cellStyle name="Normal 62" xfId="3048"/>
    <cellStyle name="Normal 62 2" xfId="3049"/>
    <cellStyle name="Normal 63" xfId="3050"/>
    <cellStyle name="Normal 63 2" xfId="3051"/>
    <cellStyle name="Normal 64" xfId="3052"/>
    <cellStyle name="Normal 64 2" xfId="3053"/>
    <cellStyle name="Normal 64 3" xfId="3054"/>
    <cellStyle name="Normal 65" xfId="3055"/>
    <cellStyle name="Normal 65 2" xfId="3056"/>
    <cellStyle name="Normal 66" xfId="3057"/>
    <cellStyle name="Normal 66 2" xfId="3058"/>
    <cellStyle name="Normal 67" xfId="3059"/>
    <cellStyle name="Normal 67 2" xfId="3060"/>
    <cellStyle name="Normal 68" xfId="3061"/>
    <cellStyle name="Normal 68 2" xfId="3062"/>
    <cellStyle name="Normal 69" xfId="3063"/>
    <cellStyle name="Normal 69 2" xfId="3064"/>
    <cellStyle name="Normal 69 3" xfId="3065"/>
    <cellStyle name="Normal 7" xfId="288"/>
    <cellStyle name="Normal 7 10" xfId="3066"/>
    <cellStyle name="Normal 7 11" xfId="3067"/>
    <cellStyle name="Normal 7 12" xfId="3068"/>
    <cellStyle name="Normal 7 13" xfId="3069"/>
    <cellStyle name="Normal 7 14" xfId="3070"/>
    <cellStyle name="Normal 7 15" xfId="3071"/>
    <cellStyle name="Normal 7 16" xfId="3072"/>
    <cellStyle name="Normal 7 2" xfId="289"/>
    <cellStyle name="Normal 7 2 2" xfId="3074"/>
    <cellStyle name="Normal 7 2 3" xfId="3075"/>
    <cellStyle name="Normal 7 2 4" xfId="3076"/>
    <cellStyle name="Normal 7 2 5" xfId="4495"/>
    <cellStyle name="Normal 7 2 6" xfId="3073"/>
    <cellStyle name="Normal 7 3" xfId="3077"/>
    <cellStyle name="Normal 7 3 2" xfId="3078"/>
    <cellStyle name="Normal 7 4" xfId="3079"/>
    <cellStyle name="Normal 7 4 2" xfId="3080"/>
    <cellStyle name="Normal 7 5" xfId="3081"/>
    <cellStyle name="Normal 7 5 2" xfId="3082"/>
    <cellStyle name="Normal 7 6" xfId="3083"/>
    <cellStyle name="Normal 7 7" xfId="3084"/>
    <cellStyle name="Normal 7 8" xfId="3085"/>
    <cellStyle name="Normal 7 9" xfId="3086"/>
    <cellStyle name="Normal 7_20110401_SAN_Rev#1_ PTP 2012" xfId="3087"/>
    <cellStyle name="Normal 70" xfId="3088"/>
    <cellStyle name="Normal 70 2" xfId="3089"/>
    <cellStyle name="Normal 70 3" xfId="3090"/>
    <cellStyle name="Normal 71" xfId="3091"/>
    <cellStyle name="Normal 71 2" xfId="3092"/>
    <cellStyle name="Normal 71 3" xfId="3093"/>
    <cellStyle name="Normal 72" xfId="3094"/>
    <cellStyle name="Normal 72 2" xfId="3095"/>
    <cellStyle name="Normal 72 3" xfId="3096"/>
    <cellStyle name="Normal 73" xfId="3097"/>
    <cellStyle name="Normal 73 2" xfId="3098"/>
    <cellStyle name="Normal 73 3" xfId="3099"/>
    <cellStyle name="Normal 74" xfId="3100"/>
    <cellStyle name="Normal 74 2" xfId="3101"/>
    <cellStyle name="Normal 74 3" xfId="3102"/>
    <cellStyle name="Normal 75" xfId="3103"/>
    <cellStyle name="Normal 75 2" xfId="3104"/>
    <cellStyle name="Normal 75 3" xfId="3105"/>
    <cellStyle name="Normal 76" xfId="3106"/>
    <cellStyle name="Normal 76 2" xfId="3107"/>
    <cellStyle name="Normal 76 3" xfId="3108"/>
    <cellStyle name="Normal 77" xfId="3109"/>
    <cellStyle name="Normal 77 2" xfId="3110"/>
    <cellStyle name="Normal 77 3" xfId="3111"/>
    <cellStyle name="Normal 78" xfId="3112"/>
    <cellStyle name="Normal 78 2" xfId="3113"/>
    <cellStyle name="Normal 78 3" xfId="3114"/>
    <cellStyle name="Normal 79" xfId="3115"/>
    <cellStyle name="Normal 79 2" xfId="3116"/>
    <cellStyle name="Normal 79 3" xfId="3117"/>
    <cellStyle name="Normal 8" xfId="290"/>
    <cellStyle name="Normal 8 10" xfId="3118"/>
    <cellStyle name="Normal 8 11" xfId="3119"/>
    <cellStyle name="Normal 8 12" xfId="3120"/>
    <cellStyle name="Normal 8 13" xfId="3121"/>
    <cellStyle name="Normal 8 14" xfId="3122"/>
    <cellStyle name="Normal 8 15" xfId="3123"/>
    <cellStyle name="Normal 8 16" xfId="4402"/>
    <cellStyle name="Normal 8 2" xfId="291"/>
    <cellStyle name="Normal 8 2 2" xfId="3125"/>
    <cellStyle name="Normal 8 2 3" xfId="3126"/>
    <cellStyle name="Normal 8 2 4" xfId="3127"/>
    <cellStyle name="Normal 8 2 5" xfId="3124"/>
    <cellStyle name="Normal 8 3" xfId="3128"/>
    <cellStyle name="Normal 8 3 2" xfId="3129"/>
    <cellStyle name="Normal 8 4" xfId="3130"/>
    <cellStyle name="Normal 8 5" xfId="3131"/>
    <cellStyle name="Normal 8 6" xfId="3132"/>
    <cellStyle name="Normal 8 7" xfId="3133"/>
    <cellStyle name="Normal 8 8" xfId="3134"/>
    <cellStyle name="Normal 8 9" xfId="3135"/>
    <cellStyle name="Normal 8_20110401_SAN_Rev#1_ PTP 2012" xfId="3136"/>
    <cellStyle name="Normal 80" xfId="3137"/>
    <cellStyle name="Normal 80 2" xfId="3138"/>
    <cellStyle name="Normal 80 3" xfId="3139"/>
    <cellStyle name="Normal 81" xfId="3140"/>
    <cellStyle name="Normal 81 2" xfId="3141"/>
    <cellStyle name="Normal 81 3" xfId="3142"/>
    <cellStyle name="Normal 82" xfId="3143"/>
    <cellStyle name="Normal 82 2" xfId="3144"/>
    <cellStyle name="Normal 82 3" xfId="3145"/>
    <cellStyle name="Normal 83" xfId="3146"/>
    <cellStyle name="Normal 83 2" xfId="3147"/>
    <cellStyle name="Normal 83 3" xfId="3148"/>
    <cellStyle name="Normal 84" xfId="3149"/>
    <cellStyle name="Normal 84 2" xfId="3150"/>
    <cellStyle name="Normal 84 3" xfId="3151"/>
    <cellStyle name="Normal 85" xfId="3152"/>
    <cellStyle name="Normal 85 2" xfId="3153"/>
    <cellStyle name="Normal 85 3" xfId="3154"/>
    <cellStyle name="Normal 86" xfId="3155"/>
    <cellStyle name="Normal 86 2" xfId="3156"/>
    <cellStyle name="Normal 86 3" xfId="3157"/>
    <cellStyle name="Normal 87" xfId="3158"/>
    <cellStyle name="Normal 87 2" xfId="3159"/>
    <cellStyle name="Normal 87 3" xfId="3160"/>
    <cellStyle name="Normal 88" xfId="3161"/>
    <cellStyle name="Normal 88 2" xfId="3162"/>
    <cellStyle name="Normal 88 3" xfId="3163"/>
    <cellStyle name="Normal 89" xfId="3164"/>
    <cellStyle name="Normal 89 2" xfId="3165"/>
    <cellStyle name="Normal 89 3" xfId="3166"/>
    <cellStyle name="Normal 9" xfId="292"/>
    <cellStyle name="Normal 9 10" xfId="3167"/>
    <cellStyle name="Normal 9 11" xfId="3168"/>
    <cellStyle name="Normal 9 12" xfId="3169"/>
    <cellStyle name="Normal 9 13" xfId="3170"/>
    <cellStyle name="Normal 9 14" xfId="3171"/>
    <cellStyle name="Normal 9 15" xfId="3172"/>
    <cellStyle name="Normal 9 16" xfId="3173"/>
    <cellStyle name="Normal 9 17" xfId="4398"/>
    <cellStyle name="Normal 9 2" xfId="293"/>
    <cellStyle name="Normal 9 2 2" xfId="3175"/>
    <cellStyle name="Normal 9 2 3" xfId="3176"/>
    <cellStyle name="Normal 9 2 4" xfId="3177"/>
    <cellStyle name="Normal 9 2 5" xfId="4496"/>
    <cellStyle name="Normal 9 2 6" xfId="3174"/>
    <cellStyle name="Normal 9 3" xfId="3178"/>
    <cellStyle name="Normal 9 3 2" xfId="3179"/>
    <cellStyle name="Normal 9 4" xfId="3180"/>
    <cellStyle name="Normal 9 4 2" xfId="3181"/>
    <cellStyle name="Normal 9 5" xfId="3182"/>
    <cellStyle name="Normal 9 5 2" xfId="3183"/>
    <cellStyle name="Normal 9 6" xfId="3184"/>
    <cellStyle name="Normal 9 7" xfId="3185"/>
    <cellStyle name="Normal 9 8" xfId="3186"/>
    <cellStyle name="Normal 9 9" xfId="3187"/>
    <cellStyle name="Normal 9_20110401_SAN_Rev#1_ PTP 2012" xfId="3188"/>
    <cellStyle name="Normal 90" xfId="3189"/>
    <cellStyle name="Normal 90 2" xfId="3190"/>
    <cellStyle name="Normal 91" xfId="3191"/>
    <cellStyle name="Normal 91 2" xfId="3192"/>
    <cellStyle name="Normal 92" xfId="3193"/>
    <cellStyle name="Normal 92 2" xfId="3194"/>
    <cellStyle name="Normal 93" xfId="3195"/>
    <cellStyle name="Normal 93 2" xfId="3196"/>
    <cellStyle name="Normal 94" xfId="3197"/>
    <cellStyle name="Normal 94 2" xfId="3198"/>
    <cellStyle name="Normal 95" xfId="3199"/>
    <cellStyle name="Normal 95 2" xfId="3200"/>
    <cellStyle name="Normal 96" xfId="3201"/>
    <cellStyle name="Normal 96 2" xfId="3202"/>
    <cellStyle name="Normal 97" xfId="3203"/>
    <cellStyle name="Normal 97 2" xfId="3204"/>
    <cellStyle name="Normal 98" xfId="3205"/>
    <cellStyle name="Normal 98 2" xfId="3206"/>
    <cellStyle name="Normal 99" xfId="3207"/>
    <cellStyle name="Normal 99 2" xfId="3208"/>
    <cellStyle name="Normal_Data" xfId="5"/>
    <cellStyle name="NormalMultiple" xfId="3209"/>
    <cellStyle name="NormalX" xfId="3210"/>
    <cellStyle name="Nota" xfId="3211"/>
    <cellStyle name="Notas" xfId="294"/>
    <cellStyle name="Notas 10" xfId="3212"/>
    <cellStyle name="Notas 11" xfId="3213"/>
    <cellStyle name="Notas 12" xfId="3214"/>
    <cellStyle name="Notas 13" xfId="3215"/>
    <cellStyle name="Notas 14" xfId="3216"/>
    <cellStyle name="Notas 2" xfId="3217"/>
    <cellStyle name="Notas 2 2" xfId="3218"/>
    <cellStyle name="Notas 2 2 2" xfId="3219"/>
    <cellStyle name="Notas 2 3" xfId="3220"/>
    <cellStyle name="Notas 2 4" xfId="3221"/>
    <cellStyle name="Notas 2_1.400 Inversiones Oper ITAÚ" xfId="3222"/>
    <cellStyle name="Notas 3" xfId="3223"/>
    <cellStyle name="Notas 3 2" xfId="3224"/>
    <cellStyle name="Notas 3 2 2" xfId="3225"/>
    <cellStyle name="Notas 3 3" xfId="3226"/>
    <cellStyle name="Notas 3_1.400 Inversiones Oper ITAÚ" xfId="3227"/>
    <cellStyle name="Notas 4" xfId="3228"/>
    <cellStyle name="Notas 4 2" xfId="3229"/>
    <cellStyle name="Notas 5" xfId="3230"/>
    <cellStyle name="Notas 5 2" xfId="3231"/>
    <cellStyle name="Notas 6" xfId="3232"/>
    <cellStyle name="Notas 6 2" xfId="3233"/>
    <cellStyle name="Notas 6 3" xfId="3234"/>
    <cellStyle name="Notas 7" xfId="3235"/>
    <cellStyle name="Notas 8" xfId="3236"/>
    <cellStyle name="Notas 9" xfId="3237"/>
    <cellStyle name="Note 2" xfId="295"/>
    <cellStyle name="Note 2 2" xfId="296"/>
    <cellStyle name="Note 2 2 2" xfId="3239"/>
    <cellStyle name="Note 2 2 3" xfId="3240"/>
    <cellStyle name="Note 2 2 4" xfId="3241"/>
    <cellStyle name="Note 2 2 5" xfId="4488"/>
    <cellStyle name="Note 2 2 6" xfId="3238"/>
    <cellStyle name="Note 2 3" xfId="3242"/>
    <cellStyle name="Note 2 4" xfId="3243"/>
    <cellStyle name="Note 2 5" xfId="3244"/>
    <cellStyle name="Note 2 6" xfId="3245"/>
    <cellStyle name="Note 2 7" xfId="3246"/>
    <cellStyle name="Note 2 8" xfId="4372"/>
    <cellStyle name="Note 2_1.400 Inversiones Oper ITAÚ" xfId="3247"/>
    <cellStyle name="Note 3" xfId="297"/>
    <cellStyle name="Note 3 2" xfId="3248"/>
    <cellStyle name="Note 3 3" xfId="3249"/>
    <cellStyle name="Note 3 4" xfId="3250"/>
    <cellStyle name="Note 3 5" xfId="3251"/>
    <cellStyle name="Note 4" xfId="3252"/>
    <cellStyle name="Note 5" xfId="3253"/>
    <cellStyle name="Note 6" xfId="3254"/>
    <cellStyle name="Note 7" xfId="4509"/>
    <cellStyle name="Note 8" xfId="4514"/>
    <cellStyle name="Numero" xfId="3255"/>
    <cellStyle name="Numero 2" xfId="3256"/>
    <cellStyle name="Output" xfId="339" builtinId="21" customBuiltin="1"/>
    <cellStyle name="Output 2" xfId="298"/>
    <cellStyle name="Output 2 2" xfId="299"/>
    <cellStyle name="Output 2 2 2" xfId="3258"/>
    <cellStyle name="Output 2 2 3" xfId="3259"/>
    <cellStyle name="Output 2 2 4" xfId="4489"/>
    <cellStyle name="Output 2 2 5" xfId="3257"/>
    <cellStyle name="Output 2 3" xfId="3260"/>
    <cellStyle name="Output 2 4" xfId="3261"/>
    <cellStyle name="Output 2 5" xfId="3262"/>
    <cellStyle name="Output 2 6" xfId="3263"/>
    <cellStyle name="Output 2 7" xfId="3264"/>
    <cellStyle name="Output 2 8" xfId="3265"/>
    <cellStyle name="Output 2 9" xfId="4431"/>
    <cellStyle name="Output 3" xfId="300"/>
    <cellStyle name="Output 3 2" xfId="3266"/>
    <cellStyle name="Output 3 3" xfId="3267"/>
    <cellStyle name="Output 3 4" xfId="3268"/>
    <cellStyle name="Output 3 5" xfId="3269"/>
    <cellStyle name="Output 4" xfId="3270"/>
    <cellStyle name="Output 5" xfId="3271"/>
    <cellStyle name="Output 6" xfId="3363"/>
    <cellStyle name="PAGE" xfId="301"/>
    <cellStyle name="PAGE 2" xfId="3272"/>
    <cellStyle name="PAGE2" xfId="302"/>
    <cellStyle name="PAGE2 2" xfId="3273"/>
    <cellStyle name="Percent" xfId="326" builtinId="5"/>
    <cellStyle name="Percent 2" xfId="303"/>
    <cellStyle name="Percent 2 2" xfId="3274"/>
    <cellStyle name="Percent 2 2 2" xfId="3275"/>
    <cellStyle name="Percent 2 2 3" xfId="3276"/>
    <cellStyle name="Percent 2 3" xfId="3277"/>
    <cellStyle name="Percent 2 4" xfId="3278"/>
    <cellStyle name="Percent 3" xfId="3279"/>
    <cellStyle name="Percent 3 2" xfId="3280"/>
    <cellStyle name="Percent 3 3" xfId="3281"/>
    <cellStyle name="Percent 4" xfId="3282"/>
    <cellStyle name="Percent 4 2" xfId="3283"/>
    <cellStyle name="PillarData" xfId="3284"/>
    <cellStyle name="PillarData 2" xfId="3285"/>
    <cellStyle name="PillarData 2 2" xfId="3286"/>
    <cellStyle name="PillarData 3" xfId="3287"/>
    <cellStyle name="PillarData_20110401_SAN_Rev#1_ PTP 2012" xfId="3288"/>
    <cellStyle name="PillarHeading" xfId="3289"/>
    <cellStyle name="PillarHeading 2" xfId="3290"/>
    <cellStyle name="PillarText" xfId="3291"/>
    <cellStyle name="PillarText 2" xfId="3292"/>
    <cellStyle name="PillarText 2 2" xfId="3293"/>
    <cellStyle name="PillarText 3" xfId="3294"/>
    <cellStyle name="PillarText_20110401_SAN_Rev#1_ PTP 2012" xfId="3295"/>
    <cellStyle name="PillarTotal" xfId="3296"/>
    <cellStyle name="PillarTotal 2" xfId="3297"/>
    <cellStyle name="Porcentaje" xfId="3298"/>
    <cellStyle name="Porcentaje 2" xfId="3299"/>
    <cellStyle name="Porcentaje 2 2" xfId="3300"/>
    <cellStyle name="Porcentaje 2 2 2" xfId="3301"/>
    <cellStyle name="Porcentaje 2 3" xfId="3302"/>
    <cellStyle name="Porcentaje 2 3 2" xfId="3303"/>
    <cellStyle name="Porcentaje 2 4" xfId="3304"/>
    <cellStyle name="Porcentaje 2 5" xfId="3305"/>
    <cellStyle name="Porcentaje 2_20110401_SAL_Rev#1_ PTP 2011" xfId="3306"/>
    <cellStyle name="Porcentaje 3" xfId="3307"/>
    <cellStyle name="Porcentaje 3 2" xfId="3308"/>
    <cellStyle name="Porcentaje_20110401_SAL_Rev#1_ PTP 2011" xfId="3309"/>
    <cellStyle name="Porcentual 10" xfId="3310"/>
    <cellStyle name="Porcentual 11" xfId="3311"/>
    <cellStyle name="Porcentual 12" xfId="3312"/>
    <cellStyle name="Porcentual 13" xfId="3313"/>
    <cellStyle name="Porcentual 2" xfId="3314"/>
    <cellStyle name="Porcentual 2 10" xfId="3315"/>
    <cellStyle name="Porcentual 2 11" xfId="3316"/>
    <cellStyle name="Porcentual 2 12" xfId="3317"/>
    <cellStyle name="Porcentual 2 13" xfId="3318"/>
    <cellStyle name="Porcentual 2 14" xfId="3319"/>
    <cellStyle name="Porcentual 2 2" xfId="3320"/>
    <cellStyle name="Porcentual 2 2 2" xfId="3321"/>
    <cellStyle name="Porcentual 2 3" xfId="3322"/>
    <cellStyle name="Porcentual 2 3 2" xfId="3323"/>
    <cellStyle name="Porcentual 2 4" xfId="3324"/>
    <cellStyle name="Porcentual 2 5" xfId="3325"/>
    <cellStyle name="Porcentual 2 6" xfId="3326"/>
    <cellStyle name="Porcentual 2 7" xfId="3327"/>
    <cellStyle name="Porcentual 2 8" xfId="3328"/>
    <cellStyle name="Porcentual 2 9" xfId="3329"/>
    <cellStyle name="Porcentual 3" xfId="3330"/>
    <cellStyle name="Porcentual 3 10" xfId="3331"/>
    <cellStyle name="Porcentual 3 11" xfId="3332"/>
    <cellStyle name="Porcentual 3 12" xfId="3333"/>
    <cellStyle name="Porcentual 3 13" xfId="3334"/>
    <cellStyle name="Porcentual 3 14" xfId="3335"/>
    <cellStyle name="Porcentual 3 2" xfId="3336"/>
    <cellStyle name="Porcentual 3 2 2" xfId="3337"/>
    <cellStyle name="Porcentual 3 3" xfId="3338"/>
    <cellStyle name="Porcentual 3 4" xfId="3339"/>
    <cellStyle name="Porcentual 3 5" xfId="3340"/>
    <cellStyle name="Porcentual 3 6" xfId="3341"/>
    <cellStyle name="Porcentual 3 7" xfId="3342"/>
    <cellStyle name="Porcentual 3 8" xfId="3343"/>
    <cellStyle name="Porcentual 3 9" xfId="3344"/>
    <cellStyle name="Porcentual 4" xfId="3345"/>
    <cellStyle name="Porcentual 4 2" xfId="3346"/>
    <cellStyle name="Porcentual 5" xfId="3347"/>
    <cellStyle name="Porcentual 5 2" xfId="3348"/>
    <cellStyle name="Porcentual 5 3" xfId="3349"/>
    <cellStyle name="Porcentual 6" xfId="3350"/>
    <cellStyle name="Porcentual 7" xfId="3351"/>
    <cellStyle name="Porcentual 8" xfId="3352"/>
    <cellStyle name="Porcentual 8 2" xfId="3353"/>
    <cellStyle name="Porcentual 8 2 2" xfId="3354"/>
    <cellStyle name="Porcentual 9" xfId="3355"/>
    <cellStyle name="Porcentual 9 2" xfId="3356"/>
    <cellStyle name="Ratio" xfId="3357"/>
    <cellStyle name="Ratio 2" xfId="3358"/>
    <cellStyle name="Red Font" xfId="3359"/>
    <cellStyle name="Results" xfId="3360"/>
    <cellStyle name="Results 2" xfId="3361"/>
    <cellStyle name="Saída" xfId="3362"/>
    <cellStyle name="Salida" xfId="304"/>
    <cellStyle name="Salida 10" xfId="3364"/>
    <cellStyle name="Salida 11" xfId="3365"/>
    <cellStyle name="Salida 12" xfId="3366"/>
    <cellStyle name="Salida 13" xfId="3367"/>
    <cellStyle name="Salida 14" xfId="3368"/>
    <cellStyle name="Salida 2" xfId="3369"/>
    <cellStyle name="Salida 2 2" xfId="3370"/>
    <cellStyle name="Salida 3" xfId="3371"/>
    <cellStyle name="Salida 3 2" xfId="3372"/>
    <cellStyle name="Salida 4" xfId="3373"/>
    <cellStyle name="Salida 5" xfId="3374"/>
    <cellStyle name="Salida 6" xfId="3375"/>
    <cellStyle name="Salida 7" xfId="3376"/>
    <cellStyle name="Salida 8" xfId="3377"/>
    <cellStyle name="Salida 9" xfId="3378"/>
    <cellStyle name="SAPBEXaggData" xfId="3379"/>
    <cellStyle name="SAPBEXaggData 10" xfId="3380"/>
    <cellStyle name="SAPBEXaggData 11" xfId="3381"/>
    <cellStyle name="SAPBEXaggData 12" xfId="3382"/>
    <cellStyle name="SAPBEXaggData 2" xfId="3383"/>
    <cellStyle name="SAPBEXaggData 2 2" xfId="3384"/>
    <cellStyle name="SAPBEXaggData 2 2 2" xfId="3385"/>
    <cellStyle name="SAPBEXaggData 2 3" xfId="3386"/>
    <cellStyle name="SAPBEXaggData 2_20110401_SAL_Rev#1_ PTP 2011" xfId="3387"/>
    <cellStyle name="SAPBEXaggData 3" xfId="3388"/>
    <cellStyle name="SAPBEXaggData 3 2" xfId="3389"/>
    <cellStyle name="SAPBEXaggData 4" xfId="3390"/>
    <cellStyle name="SAPBEXaggData 5" xfId="3391"/>
    <cellStyle name="SAPBEXaggData 6" xfId="3392"/>
    <cellStyle name="SAPBEXaggData 7" xfId="3393"/>
    <cellStyle name="SAPBEXaggData 8" xfId="3394"/>
    <cellStyle name="SAPBEXaggData 9" xfId="3395"/>
    <cellStyle name="SAPBEXaggData_1.400 Inversiones Oper ITAÚ" xfId="3396"/>
    <cellStyle name="SAPBEXaggDataEmph" xfId="3397"/>
    <cellStyle name="SAPBEXaggDataEmph 10" xfId="3398"/>
    <cellStyle name="SAPBEXaggDataEmph 11" xfId="3399"/>
    <cellStyle name="SAPBEXaggDataEmph 12" xfId="3400"/>
    <cellStyle name="SAPBEXaggDataEmph 2" xfId="3401"/>
    <cellStyle name="SAPBEXaggDataEmph 2 2" xfId="3402"/>
    <cellStyle name="SAPBEXaggDataEmph 2 2 2" xfId="3403"/>
    <cellStyle name="SAPBEXaggDataEmph 2 3" xfId="3404"/>
    <cellStyle name="SAPBEXaggDataEmph 2_20110401_SAL_Rev#1_ PTP 2011" xfId="3405"/>
    <cellStyle name="SAPBEXaggDataEmph 3" xfId="3406"/>
    <cellStyle name="SAPBEXaggDataEmph 3 2" xfId="3407"/>
    <cellStyle name="SAPBEXaggDataEmph 4" xfId="3408"/>
    <cellStyle name="SAPBEXaggDataEmph 5" xfId="3409"/>
    <cellStyle name="SAPBEXaggDataEmph 6" xfId="3410"/>
    <cellStyle name="SAPBEXaggDataEmph 7" xfId="3411"/>
    <cellStyle name="SAPBEXaggDataEmph 8" xfId="3412"/>
    <cellStyle name="SAPBEXaggDataEmph 9" xfId="3413"/>
    <cellStyle name="SAPBEXaggDataEmph_1.400 Inversiones Oper ITAÚ" xfId="3414"/>
    <cellStyle name="SAPBEXaggItem" xfId="3415"/>
    <cellStyle name="SAPBEXaggItem 10" xfId="3416"/>
    <cellStyle name="SAPBEXaggItem 11" xfId="3417"/>
    <cellStyle name="SAPBEXaggItem 12" xfId="3418"/>
    <cellStyle name="SAPBEXaggItem 2" xfId="3419"/>
    <cellStyle name="SAPBEXaggItem 2 2" xfId="3420"/>
    <cellStyle name="SAPBEXaggItem 2 2 2" xfId="3421"/>
    <cellStyle name="SAPBEXaggItem 2 3" xfId="3422"/>
    <cellStyle name="SAPBEXaggItem 2_20110401_SAL_Rev#1_ PTP 2011" xfId="3423"/>
    <cellStyle name="SAPBEXaggItem 3" xfId="3424"/>
    <cellStyle name="SAPBEXaggItem 3 2" xfId="3425"/>
    <cellStyle name="SAPBEXaggItem 4" xfId="3426"/>
    <cellStyle name="SAPBEXaggItem 5" xfId="3427"/>
    <cellStyle name="SAPBEXaggItem 6" xfId="3428"/>
    <cellStyle name="SAPBEXaggItem 7" xfId="3429"/>
    <cellStyle name="SAPBEXaggItem 8" xfId="3430"/>
    <cellStyle name="SAPBEXaggItem 9" xfId="3431"/>
    <cellStyle name="SAPBEXaggItem_1.400 Inversiones Oper ITAÚ" xfId="3432"/>
    <cellStyle name="SAPBEXaggItemX" xfId="3433"/>
    <cellStyle name="SAPBEXaggItemX 10" xfId="3434"/>
    <cellStyle name="SAPBEXaggItemX 11" xfId="3435"/>
    <cellStyle name="SAPBEXaggItemX 12" xfId="3436"/>
    <cellStyle name="SAPBEXaggItemX 2" xfId="3437"/>
    <cellStyle name="SAPBEXaggItemX 2 2" xfId="3438"/>
    <cellStyle name="SAPBEXaggItemX 2 2 2" xfId="3439"/>
    <cellStyle name="SAPBEXaggItemX 2 3" xfId="3440"/>
    <cellStyle name="SAPBEXaggItemX 2_20110401_SAL_Rev#1_ PTP 2011" xfId="3441"/>
    <cellStyle name="SAPBEXaggItemX 3" xfId="3442"/>
    <cellStyle name="SAPBEXaggItemX 3 2" xfId="3443"/>
    <cellStyle name="SAPBEXaggItemX 3 3" xfId="3444"/>
    <cellStyle name="SAPBEXaggItemX 4" xfId="3445"/>
    <cellStyle name="SAPBEXaggItemX 5" xfId="3446"/>
    <cellStyle name="SAPBEXaggItemX 6" xfId="3447"/>
    <cellStyle name="SAPBEXaggItemX 7" xfId="3448"/>
    <cellStyle name="SAPBEXaggItemX 8" xfId="3449"/>
    <cellStyle name="SAPBEXaggItemX 9" xfId="3450"/>
    <cellStyle name="SAPBEXaggItemX_1.400 Inversiones Oper ITAÚ" xfId="3451"/>
    <cellStyle name="SAPBEXchaText" xfId="3452"/>
    <cellStyle name="SAPBEXchaText 10" xfId="3453"/>
    <cellStyle name="SAPBEXchaText 11" xfId="3454"/>
    <cellStyle name="SAPBEXchaText 12" xfId="3455"/>
    <cellStyle name="SAPBEXchaText 2" xfId="3456"/>
    <cellStyle name="SAPBEXchaText 2 2" xfId="3457"/>
    <cellStyle name="SAPBEXchaText 2 2 2" xfId="3458"/>
    <cellStyle name="SAPBEXchaText 2 3" xfId="3459"/>
    <cellStyle name="SAPBEXchaText 2_20110401_SAL_Rev#1_ PTP 2011" xfId="3460"/>
    <cellStyle name="SAPBEXchaText 3" xfId="3461"/>
    <cellStyle name="SAPBEXchaText 3 2" xfId="3462"/>
    <cellStyle name="SAPBEXchaText 4" xfId="3463"/>
    <cellStyle name="SAPBEXchaText 5" xfId="3464"/>
    <cellStyle name="SAPBEXchaText 6" xfId="3465"/>
    <cellStyle name="SAPBEXchaText 7" xfId="3466"/>
    <cellStyle name="SAPBEXchaText 8" xfId="3467"/>
    <cellStyle name="SAPBEXchaText 9" xfId="3468"/>
    <cellStyle name="SAPBEXchaText_1.400 Inversiones Oper ITAÚ" xfId="3469"/>
    <cellStyle name="SAPBEXexcBad7" xfId="3470"/>
    <cellStyle name="SAPBEXexcBad7 10" xfId="3471"/>
    <cellStyle name="SAPBEXexcBad7 11" xfId="3472"/>
    <cellStyle name="SAPBEXexcBad7 12" xfId="3473"/>
    <cellStyle name="SAPBEXexcBad7 13" xfId="3474"/>
    <cellStyle name="SAPBEXexcBad7 14" xfId="3475"/>
    <cellStyle name="SAPBEXexcBad7 2" xfId="3476"/>
    <cellStyle name="SAPBEXexcBad7 2 2" xfId="3477"/>
    <cellStyle name="SAPBEXexcBad7 2 2 2" xfId="3478"/>
    <cellStyle name="SAPBEXexcBad7 2 3" xfId="3479"/>
    <cellStyle name="SAPBEXexcBad7 2_20110401_SAL_Rev#1_ PTP 2011" xfId="3480"/>
    <cellStyle name="SAPBEXexcBad7 3" xfId="3481"/>
    <cellStyle name="SAPBEXexcBad7 3 2" xfId="3482"/>
    <cellStyle name="SAPBEXexcBad7 4" xfId="3483"/>
    <cellStyle name="SAPBEXexcBad7 5" xfId="3484"/>
    <cellStyle name="SAPBEXexcBad7 6" xfId="3485"/>
    <cellStyle name="SAPBEXexcBad7 7" xfId="3486"/>
    <cellStyle name="SAPBEXexcBad7 8" xfId="3487"/>
    <cellStyle name="SAPBEXexcBad7 9" xfId="3488"/>
    <cellStyle name="SAPBEXexcBad7_1.400 Inversiones Oper ITAÚ" xfId="3489"/>
    <cellStyle name="SAPBEXexcBad8" xfId="3490"/>
    <cellStyle name="SAPBEXexcBad8 10" xfId="3491"/>
    <cellStyle name="SAPBEXexcBad8 11" xfId="3492"/>
    <cellStyle name="SAPBEXexcBad8 12" xfId="3493"/>
    <cellStyle name="SAPBEXexcBad8 13" xfId="3494"/>
    <cellStyle name="SAPBEXexcBad8 14" xfId="3495"/>
    <cellStyle name="SAPBEXexcBad8 2" xfId="3496"/>
    <cellStyle name="SAPBEXexcBad8 2 2" xfId="3497"/>
    <cellStyle name="SAPBEXexcBad8 2 2 2" xfId="3498"/>
    <cellStyle name="SAPBEXexcBad8 2 3" xfId="3499"/>
    <cellStyle name="SAPBEXexcBad8 2_20110401_SAL_Rev#1_ PTP 2011" xfId="3500"/>
    <cellStyle name="SAPBEXexcBad8 3" xfId="3501"/>
    <cellStyle name="SAPBEXexcBad8 3 2" xfId="3502"/>
    <cellStyle name="SAPBEXexcBad8 4" xfId="3503"/>
    <cellStyle name="SAPBEXexcBad8 5" xfId="3504"/>
    <cellStyle name="SAPBEXexcBad8 6" xfId="3505"/>
    <cellStyle name="SAPBEXexcBad8 7" xfId="3506"/>
    <cellStyle name="SAPBEXexcBad8 8" xfId="3507"/>
    <cellStyle name="SAPBEXexcBad8 9" xfId="3508"/>
    <cellStyle name="SAPBEXexcBad8_1.400 Inversiones Oper ITAÚ" xfId="3509"/>
    <cellStyle name="SAPBEXexcBad9" xfId="3510"/>
    <cellStyle name="SAPBEXexcBad9 10" xfId="3511"/>
    <cellStyle name="SAPBEXexcBad9 11" xfId="3512"/>
    <cellStyle name="SAPBEXexcBad9 12" xfId="3513"/>
    <cellStyle name="SAPBEXexcBad9 13" xfId="3514"/>
    <cellStyle name="SAPBEXexcBad9 14" xfId="3515"/>
    <cellStyle name="SAPBEXexcBad9 2" xfId="3516"/>
    <cellStyle name="SAPBEXexcBad9 2 2" xfId="3517"/>
    <cellStyle name="SAPBEXexcBad9 2 2 2" xfId="3518"/>
    <cellStyle name="SAPBEXexcBad9 2 3" xfId="3519"/>
    <cellStyle name="SAPBEXexcBad9 2_20110401_SAL_Rev#1_ PTP 2011" xfId="3520"/>
    <cellStyle name="SAPBEXexcBad9 3" xfId="3521"/>
    <cellStyle name="SAPBEXexcBad9 3 2" xfId="3522"/>
    <cellStyle name="SAPBEXexcBad9 4" xfId="3523"/>
    <cellStyle name="SAPBEXexcBad9 5" xfId="3524"/>
    <cellStyle name="SAPBEXexcBad9 6" xfId="3525"/>
    <cellStyle name="SAPBEXexcBad9 7" xfId="3526"/>
    <cellStyle name="SAPBEXexcBad9 8" xfId="3527"/>
    <cellStyle name="SAPBEXexcBad9 9" xfId="3528"/>
    <cellStyle name="SAPBEXexcBad9_1.400 Inversiones Oper ITAÚ" xfId="3529"/>
    <cellStyle name="SAPBEXexcCritical4" xfId="3530"/>
    <cellStyle name="SAPBEXexcCritical4 10" xfId="3531"/>
    <cellStyle name="SAPBEXexcCritical4 11" xfId="3532"/>
    <cellStyle name="SAPBEXexcCritical4 12" xfId="3533"/>
    <cellStyle name="SAPBEXexcCritical4 13" xfId="3534"/>
    <cellStyle name="SAPBEXexcCritical4 14" xfId="3535"/>
    <cellStyle name="SAPBEXexcCritical4 2" xfId="3536"/>
    <cellStyle name="SAPBEXexcCritical4 2 2" xfId="3537"/>
    <cellStyle name="SAPBEXexcCritical4 2 2 2" xfId="3538"/>
    <cellStyle name="SAPBEXexcCritical4 2 3" xfId="3539"/>
    <cellStyle name="SAPBEXexcCritical4 2_20110401_SAL_Rev#1_ PTP 2011" xfId="3540"/>
    <cellStyle name="SAPBEXexcCritical4 3" xfId="3541"/>
    <cellStyle name="SAPBEXexcCritical4 3 2" xfId="3542"/>
    <cellStyle name="SAPBEXexcCritical4 4" xfId="3543"/>
    <cellStyle name="SAPBEXexcCritical4 5" xfId="3544"/>
    <cellStyle name="SAPBEXexcCritical4 6" xfId="3545"/>
    <cellStyle name="SAPBEXexcCritical4 7" xfId="3546"/>
    <cellStyle name="SAPBEXexcCritical4 8" xfId="3547"/>
    <cellStyle name="SAPBEXexcCritical4 9" xfId="3548"/>
    <cellStyle name="SAPBEXexcCritical4_1.400 Inversiones Oper ITAÚ" xfId="3549"/>
    <cellStyle name="SAPBEXexcCritical5" xfId="3550"/>
    <cellStyle name="SAPBEXexcCritical5 10" xfId="3551"/>
    <cellStyle name="SAPBEXexcCritical5 11" xfId="3552"/>
    <cellStyle name="SAPBEXexcCritical5 12" xfId="3553"/>
    <cellStyle name="SAPBEXexcCritical5 13" xfId="3554"/>
    <cellStyle name="SAPBEXexcCritical5 14" xfId="3555"/>
    <cellStyle name="SAPBEXexcCritical5 2" xfId="3556"/>
    <cellStyle name="SAPBEXexcCritical5 2 2" xfId="3557"/>
    <cellStyle name="SAPBEXexcCritical5 2 2 2" xfId="3558"/>
    <cellStyle name="SAPBEXexcCritical5 2 3" xfId="3559"/>
    <cellStyle name="SAPBEXexcCritical5 2_20110401_SAL_Rev#1_ PTP 2011" xfId="3560"/>
    <cellStyle name="SAPBEXexcCritical5 3" xfId="3561"/>
    <cellStyle name="SAPBEXexcCritical5 3 2" xfId="3562"/>
    <cellStyle name="SAPBEXexcCritical5 4" xfId="3563"/>
    <cellStyle name="SAPBEXexcCritical5 5" xfId="3564"/>
    <cellStyle name="SAPBEXexcCritical5 6" xfId="3565"/>
    <cellStyle name="SAPBEXexcCritical5 7" xfId="3566"/>
    <cellStyle name="SAPBEXexcCritical5 8" xfId="3567"/>
    <cellStyle name="SAPBEXexcCritical5 9" xfId="3568"/>
    <cellStyle name="SAPBEXexcCritical5_1.400 Inversiones Oper ITAÚ" xfId="3569"/>
    <cellStyle name="SAPBEXexcCritical6" xfId="3570"/>
    <cellStyle name="SAPBEXexcCritical6 10" xfId="3571"/>
    <cellStyle name="SAPBEXexcCritical6 11" xfId="3572"/>
    <cellStyle name="SAPBEXexcCritical6 12" xfId="3573"/>
    <cellStyle name="SAPBEXexcCritical6 13" xfId="3574"/>
    <cellStyle name="SAPBEXexcCritical6 14" xfId="3575"/>
    <cellStyle name="SAPBEXexcCritical6 2" xfId="3576"/>
    <cellStyle name="SAPBEXexcCritical6 2 2" xfId="3577"/>
    <cellStyle name="SAPBEXexcCritical6 2 2 2" xfId="3578"/>
    <cellStyle name="SAPBEXexcCritical6 2 3" xfId="3579"/>
    <cellStyle name="SAPBEXexcCritical6 2_20110401_SAL_Rev#1_ PTP 2011" xfId="3580"/>
    <cellStyle name="SAPBEXexcCritical6 3" xfId="3581"/>
    <cellStyle name="SAPBEXexcCritical6 3 2" xfId="3582"/>
    <cellStyle name="SAPBEXexcCritical6 4" xfId="3583"/>
    <cellStyle name="SAPBEXexcCritical6 5" xfId="3584"/>
    <cellStyle name="SAPBEXexcCritical6 6" xfId="3585"/>
    <cellStyle name="SAPBEXexcCritical6 7" xfId="3586"/>
    <cellStyle name="SAPBEXexcCritical6 8" xfId="3587"/>
    <cellStyle name="SAPBEXexcCritical6 9" xfId="3588"/>
    <cellStyle name="SAPBEXexcCritical6_1.400 Inversiones Oper ITAÚ" xfId="3589"/>
    <cellStyle name="SAPBEXexcGood1" xfId="3590"/>
    <cellStyle name="SAPBEXexcGood1 10" xfId="3591"/>
    <cellStyle name="SAPBEXexcGood1 11" xfId="3592"/>
    <cellStyle name="SAPBEXexcGood1 12" xfId="3593"/>
    <cellStyle name="SAPBEXexcGood1 13" xfId="3594"/>
    <cellStyle name="SAPBEXexcGood1 14" xfId="3595"/>
    <cellStyle name="SAPBEXexcGood1 2" xfId="3596"/>
    <cellStyle name="SAPBEXexcGood1 2 2" xfId="3597"/>
    <cellStyle name="SAPBEXexcGood1 2 2 2" xfId="3598"/>
    <cellStyle name="SAPBEXexcGood1 2 3" xfId="3599"/>
    <cellStyle name="SAPBEXexcGood1 2_20110401_SAL_Rev#1_ PTP 2011" xfId="3600"/>
    <cellStyle name="SAPBEXexcGood1 3" xfId="3601"/>
    <cellStyle name="SAPBEXexcGood1 3 2" xfId="3602"/>
    <cellStyle name="SAPBEXexcGood1 4" xfId="3603"/>
    <cellStyle name="SAPBEXexcGood1 5" xfId="3604"/>
    <cellStyle name="SAPBEXexcGood1 6" xfId="3605"/>
    <cellStyle name="SAPBEXexcGood1 7" xfId="3606"/>
    <cellStyle name="SAPBEXexcGood1 8" xfId="3607"/>
    <cellStyle name="SAPBEXexcGood1 9" xfId="3608"/>
    <cellStyle name="SAPBEXexcGood1_1.400 Inversiones Oper ITAÚ" xfId="3609"/>
    <cellStyle name="SAPBEXexcGood2" xfId="3610"/>
    <cellStyle name="SAPBEXexcGood2 10" xfId="3611"/>
    <cellStyle name="SAPBEXexcGood2 11" xfId="3612"/>
    <cellStyle name="SAPBEXexcGood2 12" xfId="3613"/>
    <cellStyle name="SAPBEXexcGood2 13" xfId="3614"/>
    <cellStyle name="SAPBEXexcGood2 14" xfId="3615"/>
    <cellStyle name="SAPBEXexcGood2 2" xfId="3616"/>
    <cellStyle name="SAPBEXexcGood2 2 2" xfId="3617"/>
    <cellStyle name="SAPBEXexcGood2 2 2 2" xfId="3618"/>
    <cellStyle name="SAPBEXexcGood2 2 3" xfId="3619"/>
    <cellStyle name="SAPBEXexcGood2 2_20110401_SAL_Rev#1_ PTP 2011" xfId="3620"/>
    <cellStyle name="SAPBEXexcGood2 3" xfId="3621"/>
    <cellStyle name="SAPBEXexcGood2 3 2" xfId="3622"/>
    <cellStyle name="SAPBEXexcGood2 4" xfId="3623"/>
    <cellStyle name="SAPBEXexcGood2 5" xfId="3624"/>
    <cellStyle name="SAPBEXexcGood2 6" xfId="3625"/>
    <cellStyle name="SAPBEXexcGood2 7" xfId="3626"/>
    <cellStyle name="SAPBEXexcGood2 8" xfId="3627"/>
    <cellStyle name="SAPBEXexcGood2 9" xfId="3628"/>
    <cellStyle name="SAPBEXexcGood2_1.400 Inversiones Oper ITAÚ" xfId="3629"/>
    <cellStyle name="SAPBEXexcGood3" xfId="3630"/>
    <cellStyle name="SAPBEXexcGood3 10" xfId="3631"/>
    <cellStyle name="SAPBEXexcGood3 11" xfId="3632"/>
    <cellStyle name="SAPBEXexcGood3 12" xfId="3633"/>
    <cellStyle name="SAPBEXexcGood3 13" xfId="3634"/>
    <cellStyle name="SAPBEXexcGood3 14" xfId="3635"/>
    <cellStyle name="SAPBEXexcGood3 2" xfId="3636"/>
    <cellStyle name="SAPBEXexcGood3 2 2" xfId="3637"/>
    <cellStyle name="SAPBEXexcGood3 2 2 2" xfId="3638"/>
    <cellStyle name="SAPBEXexcGood3 2 3" xfId="3639"/>
    <cellStyle name="SAPBEXexcGood3 2_20110401_SAL_Rev#1_ PTP 2011" xfId="3640"/>
    <cellStyle name="SAPBEXexcGood3 3" xfId="3641"/>
    <cellStyle name="SAPBEXexcGood3 3 2" xfId="3642"/>
    <cellStyle name="SAPBEXexcGood3 4" xfId="3643"/>
    <cellStyle name="SAPBEXexcGood3 5" xfId="3644"/>
    <cellStyle name="SAPBEXexcGood3 6" xfId="3645"/>
    <cellStyle name="SAPBEXexcGood3 7" xfId="3646"/>
    <cellStyle name="SAPBEXexcGood3 8" xfId="3647"/>
    <cellStyle name="SAPBEXexcGood3 9" xfId="3648"/>
    <cellStyle name="SAPBEXexcGood3_1.400 Inversiones Oper ITAÚ" xfId="3649"/>
    <cellStyle name="SAPBEXfilterDrill" xfId="3650"/>
    <cellStyle name="SAPBEXfilterDrill 10" xfId="3651"/>
    <cellStyle name="SAPBEXfilterDrill 11" xfId="3652"/>
    <cellStyle name="SAPBEXfilterDrill 12" xfId="3653"/>
    <cellStyle name="SAPBEXfilterDrill 2" xfId="3654"/>
    <cellStyle name="SAPBEXfilterDrill 2 2" xfId="3655"/>
    <cellStyle name="SAPBEXfilterDrill 2 2 2" xfId="3656"/>
    <cellStyle name="SAPBEXfilterDrill 2 3" xfId="3657"/>
    <cellStyle name="SAPBEXfilterDrill 2_20110401_SAL_Rev#1_ PTP 2011" xfId="3658"/>
    <cellStyle name="SAPBEXfilterDrill 3" xfId="3659"/>
    <cellStyle name="SAPBEXfilterDrill 3 2" xfId="3660"/>
    <cellStyle name="SAPBEXfilterDrill 4" xfId="3661"/>
    <cellStyle name="SAPBEXfilterDrill 5" xfId="3662"/>
    <cellStyle name="SAPBEXfilterDrill 6" xfId="3663"/>
    <cellStyle name="SAPBEXfilterDrill 7" xfId="3664"/>
    <cellStyle name="SAPBEXfilterDrill 8" xfId="3665"/>
    <cellStyle name="SAPBEXfilterDrill 9" xfId="3666"/>
    <cellStyle name="SAPBEXfilterDrill_1.400 Inversiones Oper ITAÚ" xfId="3667"/>
    <cellStyle name="SAPBEXfilterItem" xfId="3668"/>
    <cellStyle name="SAPBEXfilterItem 10" xfId="3669"/>
    <cellStyle name="SAPBEXfilterItem 11" xfId="3670"/>
    <cellStyle name="SAPBEXfilterItem 12" xfId="3671"/>
    <cellStyle name="SAPBEXfilterItem 13" xfId="3672"/>
    <cellStyle name="SAPBEXfilterItem 14" xfId="3673"/>
    <cellStyle name="SAPBEXfilterItem 2" xfId="3674"/>
    <cellStyle name="SAPBEXfilterItem 2 2" xfId="3675"/>
    <cellStyle name="SAPBEXfilterItem 2 2 2" xfId="3676"/>
    <cellStyle name="SAPBEXfilterItem 2 3" xfId="3677"/>
    <cellStyle name="SAPBEXfilterItem 2_20110401_SAL_Rev#1_ PTP 2011" xfId="3678"/>
    <cellStyle name="SAPBEXfilterItem 3" xfId="3679"/>
    <cellStyle name="SAPBEXfilterItem 3 2" xfId="3680"/>
    <cellStyle name="SAPBEXfilterItem 4" xfId="3681"/>
    <cellStyle name="SAPBEXfilterItem 5" xfId="3682"/>
    <cellStyle name="SAPBEXfilterItem 6" xfId="3683"/>
    <cellStyle name="SAPBEXfilterItem 7" xfId="3684"/>
    <cellStyle name="SAPBEXfilterItem 8" xfId="3685"/>
    <cellStyle name="SAPBEXfilterItem 9" xfId="3686"/>
    <cellStyle name="SAPBEXfilterItem_1.400 Inversiones Oper ITAÚ" xfId="3687"/>
    <cellStyle name="SAPBEXfilterText" xfId="3688"/>
    <cellStyle name="SAPBEXfilterText 10" xfId="3689"/>
    <cellStyle name="SAPBEXfilterText 11" xfId="3690"/>
    <cellStyle name="SAPBEXfilterText 12" xfId="3691"/>
    <cellStyle name="SAPBEXfilterText 2" xfId="3692"/>
    <cellStyle name="SAPBEXfilterText 2 2" xfId="3693"/>
    <cellStyle name="SAPBEXfilterText 2 2 2" xfId="3694"/>
    <cellStyle name="SAPBEXfilterText 2 3" xfId="3695"/>
    <cellStyle name="SAPBEXfilterText 2_20110401_SAL_Rev#1_ PTP 2011" xfId="3696"/>
    <cellStyle name="SAPBEXfilterText 3" xfId="3697"/>
    <cellStyle name="SAPBEXfilterText 3 2" xfId="3698"/>
    <cellStyle name="SAPBEXfilterText 4" xfId="3699"/>
    <cellStyle name="SAPBEXfilterText 5" xfId="3700"/>
    <cellStyle name="SAPBEXfilterText 6" xfId="3701"/>
    <cellStyle name="SAPBEXfilterText 7" xfId="3702"/>
    <cellStyle name="SAPBEXfilterText 8" xfId="3703"/>
    <cellStyle name="SAPBEXfilterText 9" xfId="3704"/>
    <cellStyle name="SAPBEXfilterText_1.400 Inversiones Oper ITAÚ" xfId="3705"/>
    <cellStyle name="SAPBEXformats" xfId="3706"/>
    <cellStyle name="SAPBEXformats 10" xfId="3707"/>
    <cellStyle name="SAPBEXformats 11" xfId="3708"/>
    <cellStyle name="SAPBEXformats 12" xfId="3709"/>
    <cellStyle name="SAPBEXformats 13" xfId="3710"/>
    <cellStyle name="SAPBEXformats 14" xfId="3711"/>
    <cellStyle name="SAPBEXformats 2" xfId="3712"/>
    <cellStyle name="SAPBEXformats 2 2" xfId="3713"/>
    <cellStyle name="SAPBEXformats 2 2 2" xfId="3714"/>
    <cellStyle name="SAPBEXformats 2 3" xfId="3715"/>
    <cellStyle name="SAPBEXformats 2_20110401_SAL_Rev#1_ PTP 2011" xfId="3716"/>
    <cellStyle name="SAPBEXformats 3" xfId="3717"/>
    <cellStyle name="SAPBEXformats 3 2" xfId="3718"/>
    <cellStyle name="SAPBEXformats 4" xfId="3719"/>
    <cellStyle name="SAPBEXformats 5" xfId="3720"/>
    <cellStyle name="SAPBEXformats 6" xfId="3721"/>
    <cellStyle name="SAPBEXformats 7" xfId="3722"/>
    <cellStyle name="SAPBEXformats 8" xfId="3723"/>
    <cellStyle name="SAPBEXformats 9" xfId="3724"/>
    <cellStyle name="SAPBEXformats_1.400 Inversiones Oper ITAÚ" xfId="3725"/>
    <cellStyle name="SAPBEXheaderItem" xfId="3726"/>
    <cellStyle name="SAPBEXheaderItem 2" xfId="3727"/>
    <cellStyle name="SAPBEXheaderItem 2 2" xfId="3728"/>
    <cellStyle name="SAPBEXheaderItem 2 2 2" xfId="3729"/>
    <cellStyle name="SAPBEXheaderItem 2 3" xfId="3730"/>
    <cellStyle name="SAPBEXheaderItem 2_20110401_SAL_Rev#1_ PTP 2011" xfId="3731"/>
    <cellStyle name="SAPBEXheaderItem 3" xfId="3732"/>
    <cellStyle name="SAPBEXheaderItem 3 2" xfId="3733"/>
    <cellStyle name="SAPBEXheaderItem 4" xfId="3734"/>
    <cellStyle name="SAPBEXheaderItem 5" xfId="3735"/>
    <cellStyle name="SAPBEXheaderItem 6" xfId="3736"/>
    <cellStyle name="SAPBEXheaderItem 7" xfId="3737"/>
    <cellStyle name="SAPBEXheaderItem 8" xfId="3738"/>
    <cellStyle name="SAPBEXheaderItem_1.400 Inversiones Oper ITAÚ" xfId="3739"/>
    <cellStyle name="SAPBEXheaderText" xfId="3740"/>
    <cellStyle name="SAPBEXheaderText 10" xfId="3741"/>
    <cellStyle name="SAPBEXheaderText 11" xfId="3742"/>
    <cellStyle name="SAPBEXheaderText 12" xfId="3743"/>
    <cellStyle name="SAPBEXheaderText 13" xfId="3744"/>
    <cellStyle name="SAPBEXheaderText 2" xfId="3745"/>
    <cellStyle name="SAPBEXheaderText 2 2" xfId="3746"/>
    <cellStyle name="SAPBEXheaderText 2 2 2" xfId="3747"/>
    <cellStyle name="SAPBEXheaderText 2 3" xfId="3748"/>
    <cellStyle name="SAPBEXheaderText 2_20110401_SAL_Rev#1_ PTP 2011" xfId="3749"/>
    <cellStyle name="SAPBEXheaderText 3" xfId="3750"/>
    <cellStyle name="SAPBEXheaderText 3 2" xfId="3751"/>
    <cellStyle name="SAPBEXheaderText 4" xfId="3752"/>
    <cellStyle name="SAPBEXheaderText 5" xfId="3753"/>
    <cellStyle name="SAPBEXheaderText 6" xfId="3754"/>
    <cellStyle name="SAPBEXheaderText 7" xfId="3755"/>
    <cellStyle name="SAPBEXheaderText 8" xfId="3756"/>
    <cellStyle name="SAPBEXheaderText 9" xfId="3757"/>
    <cellStyle name="SAPBEXheaderText_1.400 Inversiones Oper ITAÚ" xfId="3758"/>
    <cellStyle name="SAPBEXHLevel0" xfId="3759"/>
    <cellStyle name="SAPBEXHLevel0 10" xfId="3760"/>
    <cellStyle name="SAPBEXHLevel0 11" xfId="3761"/>
    <cellStyle name="SAPBEXHLevel0 12" xfId="3762"/>
    <cellStyle name="SAPBEXHLevel0 2" xfId="3763"/>
    <cellStyle name="SAPBEXHLevel0 2 2" xfId="3764"/>
    <cellStyle name="SAPBEXHLevel0 2 2 2" xfId="3765"/>
    <cellStyle name="SAPBEXHLevel0 2 3" xfId="3766"/>
    <cellStyle name="SAPBEXHLevel0 2_1.400 Inversiones Oper ITAÚ" xfId="3767"/>
    <cellStyle name="SAPBEXHLevel0 3" xfId="3768"/>
    <cellStyle name="SAPBEXHLevel0 3 2" xfId="3769"/>
    <cellStyle name="SAPBEXHLevel0 3 3" xfId="3770"/>
    <cellStyle name="SAPBEXHLevel0 4" xfId="3771"/>
    <cellStyle name="SAPBEXHLevel0 5" xfId="3772"/>
    <cellStyle name="SAPBEXHLevel0 6" xfId="3773"/>
    <cellStyle name="SAPBEXHLevel0 7" xfId="3774"/>
    <cellStyle name="SAPBEXHLevel0 8" xfId="3775"/>
    <cellStyle name="SAPBEXHLevel0 9" xfId="3776"/>
    <cellStyle name="SAPBEXHLevel0_1.400 Inversiones Oper ITAÚ" xfId="3777"/>
    <cellStyle name="SAPBEXHLevel0X" xfId="3778"/>
    <cellStyle name="SAPBEXHLevel0X 10" xfId="3779"/>
    <cellStyle name="SAPBEXHLevel0X 11" xfId="3780"/>
    <cellStyle name="SAPBEXHLevel0X 12" xfId="3781"/>
    <cellStyle name="SAPBEXHLevel0X 2" xfId="3782"/>
    <cellStyle name="SAPBEXHLevel0X 2 2" xfId="3783"/>
    <cellStyle name="SAPBEXHLevel0X 2 2 2" xfId="3784"/>
    <cellStyle name="SAPBEXHLevel0X 2 3" xfId="3785"/>
    <cellStyle name="SAPBEXHLevel0X 2_1.400 Inversiones Oper ITAÚ" xfId="3786"/>
    <cellStyle name="SAPBEXHLevel0X 3" xfId="3787"/>
    <cellStyle name="SAPBEXHLevel0X 3 2" xfId="3788"/>
    <cellStyle name="SAPBEXHLevel0X 3 3" xfId="3789"/>
    <cellStyle name="SAPBEXHLevel0X 4" xfId="3790"/>
    <cellStyle name="SAPBEXHLevel0X 5" xfId="3791"/>
    <cellStyle name="SAPBEXHLevel0X 6" xfId="3792"/>
    <cellStyle name="SAPBEXHLevel0X 7" xfId="3793"/>
    <cellStyle name="SAPBEXHLevel0X 8" xfId="3794"/>
    <cellStyle name="SAPBEXHLevel0X 9" xfId="3795"/>
    <cellStyle name="SAPBEXHLevel0X_1.400 Inversiones Oper ITAÚ" xfId="3796"/>
    <cellStyle name="SAPBEXHLevel1" xfId="3797"/>
    <cellStyle name="SAPBEXHLevel1 10" xfId="3798"/>
    <cellStyle name="SAPBEXHLevel1 11" xfId="3799"/>
    <cellStyle name="SAPBEXHLevel1 12" xfId="3800"/>
    <cellStyle name="SAPBEXHLevel1 2" xfId="3801"/>
    <cellStyle name="SAPBEXHLevel1 2 2" xfId="3802"/>
    <cellStyle name="SAPBEXHLevel1 2 2 2" xfId="3803"/>
    <cellStyle name="SAPBEXHLevel1 2 3" xfId="3804"/>
    <cellStyle name="SAPBEXHLevel1 2_1.400 Inversiones Oper ITAÚ" xfId="3805"/>
    <cellStyle name="SAPBEXHLevel1 3" xfId="3806"/>
    <cellStyle name="SAPBEXHLevel1 3 2" xfId="3807"/>
    <cellStyle name="SAPBEXHLevel1 3 3" xfId="3808"/>
    <cellStyle name="SAPBEXHLevel1 4" xfId="3809"/>
    <cellStyle name="SAPBEXHLevel1 5" xfId="3810"/>
    <cellStyle name="SAPBEXHLevel1 6" xfId="3811"/>
    <cellStyle name="SAPBEXHLevel1 7" xfId="3812"/>
    <cellStyle name="SAPBEXHLevel1 8" xfId="3813"/>
    <cellStyle name="SAPBEXHLevel1 9" xfId="3814"/>
    <cellStyle name="SAPBEXHLevel1_1.400 Inversiones Oper ITAÚ" xfId="3815"/>
    <cellStyle name="SAPBEXHLevel1X" xfId="3816"/>
    <cellStyle name="SAPBEXHLevel1X 10" xfId="3817"/>
    <cellStyle name="SAPBEXHLevel1X 11" xfId="3818"/>
    <cellStyle name="SAPBEXHLevel1X 12" xfId="3819"/>
    <cellStyle name="SAPBEXHLevel1X 2" xfId="3820"/>
    <cellStyle name="SAPBEXHLevel1X 2 2" xfId="3821"/>
    <cellStyle name="SAPBEXHLevel1X 2 2 2" xfId="3822"/>
    <cellStyle name="SAPBEXHLevel1X 2 3" xfId="3823"/>
    <cellStyle name="SAPBEXHLevel1X 2_1.400 Inversiones Oper ITAÚ" xfId="3824"/>
    <cellStyle name="SAPBEXHLevel1X 3" xfId="3825"/>
    <cellStyle name="SAPBEXHLevel1X 3 2" xfId="3826"/>
    <cellStyle name="SAPBEXHLevel1X 3 3" xfId="3827"/>
    <cellStyle name="SAPBEXHLevel1X 4" xfId="3828"/>
    <cellStyle name="SAPBEXHLevel1X 5" xfId="3829"/>
    <cellStyle name="SAPBEXHLevel1X 6" xfId="3830"/>
    <cellStyle name="SAPBEXHLevel1X 7" xfId="3831"/>
    <cellStyle name="SAPBEXHLevel1X 8" xfId="3832"/>
    <cellStyle name="SAPBEXHLevel1X 9" xfId="3833"/>
    <cellStyle name="SAPBEXHLevel1X_1.400 Inversiones Oper ITAÚ" xfId="3834"/>
    <cellStyle name="SAPBEXHLevel2" xfId="3835"/>
    <cellStyle name="SAPBEXHLevel2 10" xfId="3836"/>
    <cellStyle name="SAPBEXHLevel2 11" xfId="3837"/>
    <cellStyle name="SAPBEXHLevel2 12" xfId="3838"/>
    <cellStyle name="SAPBEXHLevel2 2" xfId="3839"/>
    <cellStyle name="SAPBEXHLevel2 2 2" xfId="3840"/>
    <cellStyle name="SAPBEXHLevel2 2 2 2" xfId="3841"/>
    <cellStyle name="SAPBEXHLevel2 2 3" xfId="3842"/>
    <cellStyle name="SAPBEXHLevel2 2_1.400 Inversiones Oper ITAÚ" xfId="3843"/>
    <cellStyle name="SAPBEXHLevel2 3" xfId="3844"/>
    <cellStyle name="SAPBEXHLevel2 3 2" xfId="3845"/>
    <cellStyle name="SAPBEXHLevel2 3 3" xfId="3846"/>
    <cellStyle name="SAPBEXHLevel2 4" xfId="3847"/>
    <cellStyle name="SAPBEXHLevel2 5" xfId="3848"/>
    <cellStyle name="SAPBEXHLevel2 6" xfId="3849"/>
    <cellStyle name="SAPBEXHLevel2 7" xfId="3850"/>
    <cellStyle name="SAPBEXHLevel2 8" xfId="3851"/>
    <cellStyle name="SAPBEXHLevel2 9" xfId="3852"/>
    <cellStyle name="SAPBEXHLevel2_1.400 Inversiones Oper ITAÚ" xfId="3853"/>
    <cellStyle name="SAPBEXHLevel2X" xfId="3854"/>
    <cellStyle name="SAPBEXHLevel2X 10" xfId="3855"/>
    <cellStyle name="SAPBEXHLevel2X 11" xfId="3856"/>
    <cellStyle name="SAPBEXHLevel2X 12" xfId="3857"/>
    <cellStyle name="SAPBEXHLevel2X 2" xfId="3858"/>
    <cellStyle name="SAPBEXHLevel2X 2 2" xfId="3859"/>
    <cellStyle name="SAPBEXHLevel2X 2 2 2" xfId="3860"/>
    <cellStyle name="SAPBEXHLevel2X 2 3" xfId="3861"/>
    <cellStyle name="SAPBEXHLevel2X 2_1.400 Inversiones Oper ITAÚ" xfId="3862"/>
    <cellStyle name="SAPBEXHLevel2X 3" xfId="3863"/>
    <cellStyle name="SAPBEXHLevel2X 3 2" xfId="3864"/>
    <cellStyle name="SAPBEXHLevel2X 3 3" xfId="3865"/>
    <cellStyle name="SAPBEXHLevel2X 4" xfId="3866"/>
    <cellStyle name="SAPBEXHLevel2X 5" xfId="3867"/>
    <cellStyle name="SAPBEXHLevel2X 6" xfId="3868"/>
    <cellStyle name="SAPBEXHLevel2X 7" xfId="3869"/>
    <cellStyle name="SAPBEXHLevel2X 8" xfId="3870"/>
    <cellStyle name="SAPBEXHLevel2X 9" xfId="3871"/>
    <cellStyle name="SAPBEXHLevel2X_1.400 Inversiones Oper ITAÚ" xfId="3872"/>
    <cellStyle name="SAPBEXHLevel3" xfId="3873"/>
    <cellStyle name="SAPBEXHLevel3 10" xfId="3874"/>
    <cellStyle name="SAPBEXHLevel3 11" xfId="3875"/>
    <cellStyle name="SAPBEXHLevel3 12" xfId="3876"/>
    <cellStyle name="SAPBEXHLevel3 2" xfId="3877"/>
    <cellStyle name="SAPBEXHLevel3 2 2" xfId="3878"/>
    <cellStyle name="SAPBEXHLevel3 2 2 2" xfId="3879"/>
    <cellStyle name="SAPBEXHLevel3 2 3" xfId="3880"/>
    <cellStyle name="SAPBEXHLevel3 2_1.400 Inversiones Oper ITAÚ" xfId="3881"/>
    <cellStyle name="SAPBEXHLevel3 3" xfId="3882"/>
    <cellStyle name="SAPBEXHLevel3 3 2" xfId="3883"/>
    <cellStyle name="SAPBEXHLevel3 3 3" xfId="3884"/>
    <cellStyle name="SAPBEXHLevel3 4" xfId="3885"/>
    <cellStyle name="SAPBEXHLevel3 5" xfId="3886"/>
    <cellStyle name="SAPBEXHLevel3 6" xfId="3887"/>
    <cellStyle name="SAPBEXHLevel3 7" xfId="3888"/>
    <cellStyle name="SAPBEXHLevel3 8" xfId="3889"/>
    <cellStyle name="SAPBEXHLevel3 9" xfId="3890"/>
    <cellStyle name="SAPBEXHLevel3_1.400 Inversiones Oper ITAÚ" xfId="3891"/>
    <cellStyle name="SAPBEXHLevel3X" xfId="3892"/>
    <cellStyle name="SAPBEXHLevel3X 10" xfId="3893"/>
    <cellStyle name="SAPBEXHLevel3X 11" xfId="3894"/>
    <cellStyle name="SAPBEXHLevel3X 12" xfId="3895"/>
    <cellStyle name="SAPBEXHLevel3X 2" xfId="3896"/>
    <cellStyle name="SAPBEXHLevel3X 2 2" xfId="3897"/>
    <cellStyle name="SAPBEXHLevel3X 2 2 2" xfId="3898"/>
    <cellStyle name="SAPBEXHLevel3X 2 3" xfId="3899"/>
    <cellStyle name="SAPBEXHLevel3X 2_1.400 Inversiones Oper ITAÚ" xfId="3900"/>
    <cellStyle name="SAPBEXHLevel3X 3" xfId="3901"/>
    <cellStyle name="SAPBEXHLevel3X 3 2" xfId="3902"/>
    <cellStyle name="SAPBEXHLevel3X 3 3" xfId="3903"/>
    <cellStyle name="SAPBEXHLevel3X 4" xfId="3904"/>
    <cellStyle name="SAPBEXHLevel3X 5" xfId="3905"/>
    <cellStyle name="SAPBEXHLevel3X 6" xfId="3906"/>
    <cellStyle name="SAPBEXHLevel3X 7" xfId="3907"/>
    <cellStyle name="SAPBEXHLevel3X 8" xfId="3908"/>
    <cellStyle name="SAPBEXHLevel3X 9" xfId="3909"/>
    <cellStyle name="SAPBEXHLevel3X_1.400 Inversiones Oper ITAÚ" xfId="3910"/>
    <cellStyle name="SAPBEXinputData" xfId="3911"/>
    <cellStyle name="SAPBEXinputData 10" xfId="3912"/>
    <cellStyle name="SAPBEXinputData 11" xfId="3913"/>
    <cellStyle name="SAPBEXinputData 12" xfId="3914"/>
    <cellStyle name="SAPBEXinputData 2" xfId="3915"/>
    <cellStyle name="SAPBEXinputData 2 2" xfId="3916"/>
    <cellStyle name="SAPBEXinputData 2 2 2" xfId="3917"/>
    <cellStyle name="SAPBEXinputData 2 3" xfId="3918"/>
    <cellStyle name="SAPBEXinputData 2_1.400 Inversiones Oper ITAÚ" xfId="3919"/>
    <cellStyle name="SAPBEXinputData 3" xfId="3920"/>
    <cellStyle name="SAPBEXinputData 3 2" xfId="3921"/>
    <cellStyle name="SAPBEXinputData 3 3" xfId="3922"/>
    <cellStyle name="SAPBEXinputData 4" xfId="3923"/>
    <cellStyle name="SAPBEXinputData 5" xfId="3924"/>
    <cellStyle name="SAPBEXinputData 6" xfId="3925"/>
    <cellStyle name="SAPBEXinputData 7" xfId="3926"/>
    <cellStyle name="SAPBEXinputData 8" xfId="3927"/>
    <cellStyle name="SAPBEXinputData 9" xfId="3928"/>
    <cellStyle name="SAPBEXinputData_1.400 Inversiones Oper ITAÚ" xfId="3929"/>
    <cellStyle name="SAPBEXItemHeader" xfId="3930"/>
    <cellStyle name="SAPBEXresData" xfId="3931"/>
    <cellStyle name="SAPBEXresData 10" xfId="3932"/>
    <cellStyle name="SAPBEXresData 11" xfId="3933"/>
    <cellStyle name="SAPBEXresData 12" xfId="3934"/>
    <cellStyle name="SAPBEXresData 13" xfId="3935"/>
    <cellStyle name="SAPBEXresData 14" xfId="3936"/>
    <cellStyle name="SAPBEXresData 2" xfId="3937"/>
    <cellStyle name="SAPBEXresData 2 2" xfId="3938"/>
    <cellStyle name="SAPBEXresData 2 2 2" xfId="3939"/>
    <cellStyle name="SAPBEXresData 2 3" xfId="3940"/>
    <cellStyle name="SAPBEXresData 2_20110401_SAL_Rev#1_ PTP 2011" xfId="3941"/>
    <cellStyle name="SAPBEXresData 3" xfId="3942"/>
    <cellStyle name="SAPBEXresData 3 2" xfId="3943"/>
    <cellStyle name="SAPBEXresData 4" xfId="3944"/>
    <cellStyle name="SAPBEXresData 5" xfId="3945"/>
    <cellStyle name="SAPBEXresData 6" xfId="3946"/>
    <cellStyle name="SAPBEXresData 7" xfId="3947"/>
    <cellStyle name="SAPBEXresData 8" xfId="3948"/>
    <cellStyle name="SAPBEXresData 9" xfId="3949"/>
    <cellStyle name="SAPBEXresData_1.400 Inversiones Oper ITAÚ" xfId="3950"/>
    <cellStyle name="SAPBEXresDataEmph" xfId="3951"/>
    <cellStyle name="SAPBEXresDataEmph 10" xfId="3952"/>
    <cellStyle name="SAPBEXresDataEmph 11" xfId="3953"/>
    <cellStyle name="SAPBEXresDataEmph 12" xfId="3954"/>
    <cellStyle name="SAPBEXresDataEmph 2" xfId="3955"/>
    <cellStyle name="SAPBEXresDataEmph 2 2" xfId="3956"/>
    <cellStyle name="SAPBEXresDataEmph 2 2 2" xfId="3957"/>
    <cellStyle name="SAPBEXresDataEmph 2 3" xfId="3958"/>
    <cellStyle name="SAPBEXresDataEmph 2_20110401_SAL_Rev#1_ PTP 2011" xfId="3959"/>
    <cellStyle name="SAPBEXresDataEmph 3" xfId="3960"/>
    <cellStyle name="SAPBEXresDataEmph 3 2" xfId="3961"/>
    <cellStyle name="SAPBEXresDataEmph 4" xfId="3962"/>
    <cellStyle name="SAPBEXresDataEmph 5" xfId="3963"/>
    <cellStyle name="SAPBEXresDataEmph 6" xfId="3964"/>
    <cellStyle name="SAPBEXresDataEmph 7" xfId="3965"/>
    <cellStyle name="SAPBEXresDataEmph 8" xfId="3966"/>
    <cellStyle name="SAPBEXresDataEmph 9" xfId="3967"/>
    <cellStyle name="SAPBEXresDataEmph_1.400 Inversiones Oper ITAÚ" xfId="3968"/>
    <cellStyle name="SAPBEXresItem" xfId="3969"/>
    <cellStyle name="SAPBEXresItem 10" xfId="3970"/>
    <cellStyle name="SAPBEXresItem 11" xfId="3971"/>
    <cellStyle name="SAPBEXresItem 12" xfId="3972"/>
    <cellStyle name="SAPBEXresItem 13" xfId="3973"/>
    <cellStyle name="SAPBEXresItem 14" xfId="3974"/>
    <cellStyle name="SAPBEXresItem 2" xfId="3975"/>
    <cellStyle name="SAPBEXresItem 2 2" xfId="3976"/>
    <cellStyle name="SAPBEXresItem 2 2 2" xfId="3977"/>
    <cellStyle name="SAPBEXresItem 2 3" xfId="3978"/>
    <cellStyle name="SAPBEXresItem 2_20110401_SAL_Rev#1_ PTP 2011" xfId="3979"/>
    <cellStyle name="SAPBEXresItem 3" xfId="3980"/>
    <cellStyle name="SAPBEXresItem 3 2" xfId="3981"/>
    <cellStyle name="SAPBEXresItem 4" xfId="3982"/>
    <cellStyle name="SAPBEXresItem 5" xfId="3983"/>
    <cellStyle name="SAPBEXresItem 6" xfId="3984"/>
    <cellStyle name="SAPBEXresItem 7" xfId="3985"/>
    <cellStyle name="SAPBEXresItem 8" xfId="3986"/>
    <cellStyle name="SAPBEXresItem 9" xfId="3987"/>
    <cellStyle name="SAPBEXresItem_1.400 Inversiones Oper ITAÚ" xfId="3988"/>
    <cellStyle name="SAPBEXresItemX" xfId="3989"/>
    <cellStyle name="SAPBEXresItemX 10" xfId="3990"/>
    <cellStyle name="SAPBEXresItemX 11" xfId="3991"/>
    <cellStyle name="SAPBEXresItemX 12" xfId="3992"/>
    <cellStyle name="SAPBEXresItemX 13" xfId="3993"/>
    <cellStyle name="SAPBEXresItemX 14" xfId="3994"/>
    <cellStyle name="SAPBEXresItemX 2" xfId="3995"/>
    <cellStyle name="SAPBEXresItemX 2 2" xfId="3996"/>
    <cellStyle name="SAPBEXresItemX 2 2 2" xfId="3997"/>
    <cellStyle name="SAPBEXresItemX 2 3" xfId="3998"/>
    <cellStyle name="SAPBEXresItemX 2_20110401_SAL_Rev#1_ PTP 2011" xfId="3999"/>
    <cellStyle name="SAPBEXresItemX 3" xfId="4000"/>
    <cellStyle name="SAPBEXresItemX 3 2" xfId="4001"/>
    <cellStyle name="SAPBEXresItemX 3 3" xfId="4002"/>
    <cellStyle name="SAPBEXresItemX 4" xfId="4003"/>
    <cellStyle name="SAPBEXresItemX 5" xfId="4004"/>
    <cellStyle name="SAPBEXresItemX 6" xfId="4005"/>
    <cellStyle name="SAPBEXresItemX 7" xfId="4006"/>
    <cellStyle name="SAPBEXresItemX 8" xfId="4007"/>
    <cellStyle name="SAPBEXresItemX 9" xfId="4008"/>
    <cellStyle name="SAPBEXresItemX_1.400 Inversiones Oper ITAÚ" xfId="4009"/>
    <cellStyle name="SAPBEXstdData" xfId="4010"/>
    <cellStyle name="SAPBEXstdData 10" xfId="4011"/>
    <cellStyle name="SAPBEXstdData 11" xfId="4012"/>
    <cellStyle name="SAPBEXstdData 12" xfId="4013"/>
    <cellStyle name="SAPBEXstdData 13" xfId="4014"/>
    <cellStyle name="SAPBEXstdData 2" xfId="4015"/>
    <cellStyle name="SAPBEXstdData 2 2" xfId="4016"/>
    <cellStyle name="SAPBEXstdData 3" xfId="4017"/>
    <cellStyle name="SAPBEXstdData 4" xfId="4018"/>
    <cellStyle name="SAPBEXstdData 5" xfId="4019"/>
    <cellStyle name="SAPBEXstdData 6" xfId="4020"/>
    <cellStyle name="SAPBEXstdData 7" xfId="4021"/>
    <cellStyle name="SAPBEXstdData 8" xfId="4022"/>
    <cellStyle name="SAPBEXstdData 9" xfId="4023"/>
    <cellStyle name="SAPBEXstdData_1.400 Inversiones Oper ITAÚ" xfId="4024"/>
    <cellStyle name="SAPBEXstdDataEmph" xfId="4025"/>
    <cellStyle name="SAPBEXstdDataEmph 10" xfId="4026"/>
    <cellStyle name="SAPBEXstdDataEmph 11" xfId="4027"/>
    <cellStyle name="SAPBEXstdDataEmph 2" xfId="4028"/>
    <cellStyle name="SAPBEXstdDataEmph 2 2" xfId="4029"/>
    <cellStyle name="SAPBEXstdDataEmph 3" xfId="4030"/>
    <cellStyle name="SAPBEXstdDataEmph 4" xfId="4031"/>
    <cellStyle name="SAPBEXstdDataEmph 5" xfId="4032"/>
    <cellStyle name="SAPBEXstdDataEmph 6" xfId="4033"/>
    <cellStyle name="SAPBEXstdDataEmph 7" xfId="4034"/>
    <cellStyle name="SAPBEXstdDataEmph 8" xfId="4035"/>
    <cellStyle name="SAPBEXstdDataEmph 9" xfId="4036"/>
    <cellStyle name="SAPBEXstdDataEmph_1.400 Inversiones Oper ITAÚ" xfId="4037"/>
    <cellStyle name="SAPBEXstdItem" xfId="4038"/>
    <cellStyle name="SAPBEXstdItem 10" xfId="4039"/>
    <cellStyle name="SAPBEXstdItem 11" xfId="4040"/>
    <cellStyle name="SAPBEXstdItem 12" xfId="4041"/>
    <cellStyle name="SAPBEXstdItem 13" xfId="4042"/>
    <cellStyle name="SAPBEXstdItem 2" xfId="4043"/>
    <cellStyle name="SAPBEXstdItem 2 2" xfId="4044"/>
    <cellStyle name="SAPBEXstdItem 3" xfId="4045"/>
    <cellStyle name="SAPBEXstdItem 4" xfId="4046"/>
    <cellStyle name="SAPBEXstdItem 5" xfId="4047"/>
    <cellStyle name="SAPBEXstdItem 6" xfId="4048"/>
    <cellStyle name="SAPBEXstdItem 7" xfId="4049"/>
    <cellStyle name="SAPBEXstdItem 8" xfId="4050"/>
    <cellStyle name="SAPBEXstdItem 9" xfId="4051"/>
    <cellStyle name="SAPBEXstdItem_1.400 Inversiones Oper ITAÚ" xfId="4052"/>
    <cellStyle name="SAPBEXstdItemX" xfId="4053"/>
    <cellStyle name="SAPBEXstdItemX 10" xfId="4054"/>
    <cellStyle name="SAPBEXstdItemX 11" xfId="4055"/>
    <cellStyle name="SAPBEXstdItemX 12" xfId="4056"/>
    <cellStyle name="SAPBEXstdItemX 13" xfId="4057"/>
    <cellStyle name="SAPBEXstdItemX 14" xfId="4058"/>
    <cellStyle name="SAPBEXstdItemX 2" xfId="4059"/>
    <cellStyle name="SAPBEXstdItemX 2 2" xfId="4060"/>
    <cellStyle name="SAPBEXstdItemX 2 2 2" xfId="4061"/>
    <cellStyle name="SAPBEXstdItemX 2 3" xfId="4062"/>
    <cellStyle name="SAPBEXstdItemX 2_20110401_SAL_Rev#1_ PTP 2011" xfId="4063"/>
    <cellStyle name="SAPBEXstdItemX 3" xfId="4064"/>
    <cellStyle name="SAPBEXstdItemX 3 2" xfId="4065"/>
    <cellStyle name="SAPBEXstdItemX 3 3" xfId="4066"/>
    <cellStyle name="SAPBEXstdItemX 4" xfId="4067"/>
    <cellStyle name="SAPBEXstdItemX 5" xfId="4068"/>
    <cellStyle name="SAPBEXstdItemX 6" xfId="4069"/>
    <cellStyle name="SAPBEXstdItemX 7" xfId="4070"/>
    <cellStyle name="SAPBEXstdItemX 8" xfId="4071"/>
    <cellStyle name="SAPBEXstdItemX 9" xfId="4072"/>
    <cellStyle name="SAPBEXstdItemX_1.400 Inversiones Oper ITAÚ" xfId="4073"/>
    <cellStyle name="SAPBEXtitle" xfId="4074"/>
    <cellStyle name="SAPBEXtitle 10" xfId="4075"/>
    <cellStyle name="SAPBEXtitle 11" xfId="4076"/>
    <cellStyle name="SAPBEXtitle 12" xfId="4077"/>
    <cellStyle name="SAPBEXtitle 2" xfId="4078"/>
    <cellStyle name="SAPBEXtitle 2 2" xfId="4079"/>
    <cellStyle name="SAPBEXtitle 2 2 2" xfId="4080"/>
    <cellStyle name="SAPBEXtitle 2 3" xfId="4081"/>
    <cellStyle name="SAPBEXtitle 2_20110401_SAL_Rev#1_ PTP 2011" xfId="4082"/>
    <cellStyle name="SAPBEXtitle 3" xfId="4083"/>
    <cellStyle name="SAPBEXtitle 3 2" xfId="4084"/>
    <cellStyle name="SAPBEXtitle 4" xfId="4085"/>
    <cellStyle name="SAPBEXtitle 5" xfId="4086"/>
    <cellStyle name="SAPBEXtitle 6" xfId="4087"/>
    <cellStyle name="SAPBEXtitle 7" xfId="4088"/>
    <cellStyle name="SAPBEXtitle 8" xfId="4089"/>
    <cellStyle name="SAPBEXtitle 9" xfId="4090"/>
    <cellStyle name="SAPBEXtitle_1.400 Inversiones Oper ITAÚ" xfId="4091"/>
    <cellStyle name="SAPBEXunassignedItem" xfId="4092"/>
    <cellStyle name="SAPBEXundefined" xfId="4093"/>
    <cellStyle name="SAPBEXundefined 10" xfId="4094"/>
    <cellStyle name="SAPBEXundefined 11" xfId="4095"/>
    <cellStyle name="SAPBEXundefined 12" xfId="4096"/>
    <cellStyle name="SAPBEXundefined 2" xfId="4097"/>
    <cellStyle name="SAPBEXundefined 2 2" xfId="4098"/>
    <cellStyle name="SAPBEXundefined 2 2 2" xfId="4099"/>
    <cellStyle name="SAPBEXundefined 2 3" xfId="4100"/>
    <cellStyle name="SAPBEXundefined 2_20110401_SAL_Rev#1_ PTP 2011" xfId="4101"/>
    <cellStyle name="SAPBEXundefined 3" xfId="4102"/>
    <cellStyle name="SAPBEXundefined 3 2" xfId="4103"/>
    <cellStyle name="SAPBEXundefined 4" xfId="4104"/>
    <cellStyle name="SAPBEXundefined 5" xfId="4105"/>
    <cellStyle name="SAPBEXundefined 6" xfId="4106"/>
    <cellStyle name="SAPBEXundefined 7" xfId="4107"/>
    <cellStyle name="SAPBEXundefined 8" xfId="4108"/>
    <cellStyle name="SAPBEXundefined 9" xfId="4109"/>
    <cellStyle name="SAPBEXundefined_1.400 Inversiones Oper ITAÚ" xfId="4110"/>
    <cellStyle name="Separador de milhares 2" xfId="4111"/>
    <cellStyle name="Separador de milhares_Flujo PBR-06" xfId="4112"/>
    <cellStyle name="Sheet Title" xfId="4113"/>
    <cellStyle name="Sheet Title 2" xfId="4114"/>
    <cellStyle name="Shell" xfId="305"/>
    <cellStyle name="Shell 2" xfId="4115"/>
    <cellStyle name="Style 1" xfId="4116"/>
    <cellStyle name="Style 1 2" xfId="4117"/>
    <cellStyle name="Style 1 3" xfId="4118"/>
    <cellStyle name="Style 1 4" xfId="4119"/>
    <cellStyle name="Style 1 5" xfId="4120"/>
    <cellStyle name="STYLE1" xfId="4121"/>
    <cellStyle name="STYLE1 2" xfId="4122"/>
    <cellStyle name="STYLE10" xfId="4123"/>
    <cellStyle name="STYLE10 2" xfId="4124"/>
    <cellStyle name="STYLE11" xfId="4125"/>
    <cellStyle name="STYLE11 2" xfId="4126"/>
    <cellStyle name="STYLE12" xfId="4127"/>
    <cellStyle name="STYLE12 2" xfId="4128"/>
    <cellStyle name="STYLE2" xfId="4129"/>
    <cellStyle name="STYLE2 2" xfId="4130"/>
    <cellStyle name="STYLE3" xfId="4131"/>
    <cellStyle name="STYLE3 2" xfId="4132"/>
    <cellStyle name="STYLE4" xfId="4133"/>
    <cellStyle name="STYLE4 2" xfId="4134"/>
    <cellStyle name="STYLE5" xfId="4135"/>
    <cellStyle name="STYLE5 2" xfId="4136"/>
    <cellStyle name="STYLE6" xfId="4137"/>
    <cellStyle name="STYLE6 2" xfId="4138"/>
    <cellStyle name="STYLE7" xfId="4139"/>
    <cellStyle name="STYLE7 2" xfId="4140"/>
    <cellStyle name="STYLE8" xfId="4141"/>
    <cellStyle name="STYLE8 2" xfId="4142"/>
    <cellStyle name="STYLE9" xfId="4143"/>
    <cellStyle name="STYLE9 2" xfId="4144"/>
    <cellStyle name="Sum" xfId="306"/>
    <cellStyle name="Summary to GL" xfId="307"/>
    <cellStyle name="Summary to GL 2" xfId="4145"/>
    <cellStyle name="Summary to GL 2 2" xfId="4146"/>
    <cellStyle name="Summary to GL 3" xfId="4147"/>
    <cellStyle name="Summary to GL 4" xfId="4148"/>
    <cellStyle name="Tag" xfId="4149"/>
    <cellStyle name="Texto de advertencia" xfId="308"/>
    <cellStyle name="Texto de advertencia 10" xfId="4150"/>
    <cellStyle name="Texto de advertencia 11" xfId="4151"/>
    <cellStyle name="Texto de advertencia 12" xfId="4152"/>
    <cellStyle name="Texto de advertencia 13" xfId="4153"/>
    <cellStyle name="Texto de advertencia 14" xfId="4154"/>
    <cellStyle name="Texto de advertencia 15" xfId="4366"/>
    <cellStyle name="Texto de advertencia 2" xfId="4155"/>
    <cellStyle name="Texto de advertencia 2 2" xfId="4156"/>
    <cellStyle name="Texto de advertencia 3" xfId="4157"/>
    <cellStyle name="Texto de advertencia 3 2" xfId="4158"/>
    <cellStyle name="Texto de advertencia 4" xfId="4159"/>
    <cellStyle name="Texto de advertencia 5" xfId="4160"/>
    <cellStyle name="Texto de advertencia 6" xfId="4161"/>
    <cellStyle name="Texto de advertencia 7" xfId="4162"/>
    <cellStyle name="Texto de advertencia 8" xfId="4163"/>
    <cellStyle name="Texto de advertencia 9" xfId="4164"/>
    <cellStyle name="Texto de Aviso" xfId="4165"/>
    <cellStyle name="Texto explicativo" xfId="309"/>
    <cellStyle name="Texto explicativo 10" xfId="4167"/>
    <cellStyle name="Texto explicativo 11" xfId="4168"/>
    <cellStyle name="Texto explicativo 12" xfId="4169"/>
    <cellStyle name="Texto explicativo 13" xfId="4170"/>
    <cellStyle name="Texto explicativo 14" xfId="4171"/>
    <cellStyle name="Texto explicativo 2" xfId="4172"/>
    <cellStyle name="Texto explicativo 2 2" xfId="4173"/>
    <cellStyle name="Texto explicativo 3" xfId="4174"/>
    <cellStyle name="Texto explicativo 3 2" xfId="4175"/>
    <cellStyle name="Texto explicativo 4" xfId="4176"/>
    <cellStyle name="Texto explicativo 5" xfId="4177"/>
    <cellStyle name="Texto explicativo 6" xfId="4178"/>
    <cellStyle name="Texto explicativo 7" xfId="4179"/>
    <cellStyle name="Texto explicativo 8" xfId="4180"/>
    <cellStyle name="Texto explicativo 9" xfId="4181"/>
    <cellStyle name="Title" xfId="330" builtinId="15" customBuiltin="1"/>
    <cellStyle name="Title 2" xfId="310"/>
    <cellStyle name="Title 2 2" xfId="311"/>
    <cellStyle name="Title 2 3" xfId="4422"/>
    <cellStyle name="Title 3" xfId="312"/>
    <cellStyle name="Title 4" xfId="4182"/>
    <cellStyle name="Título" xfId="313"/>
    <cellStyle name="Título 1" xfId="314"/>
    <cellStyle name="Título 1 10" xfId="4184"/>
    <cellStyle name="Título 1 11" xfId="4185"/>
    <cellStyle name="Título 1 12" xfId="4186"/>
    <cellStyle name="Título 1 13" xfId="4187"/>
    <cellStyle name="Título 1 14" xfId="4188"/>
    <cellStyle name="Título 1 2" xfId="4189"/>
    <cellStyle name="Título 1 2 2" xfId="4190"/>
    <cellStyle name="Título 1 3" xfId="4191"/>
    <cellStyle name="Título 1 3 2" xfId="4192"/>
    <cellStyle name="Título 1 4" xfId="4193"/>
    <cellStyle name="Título 1 5" xfId="4194"/>
    <cellStyle name="Título 1 6" xfId="4195"/>
    <cellStyle name="Título 1 7" xfId="4196"/>
    <cellStyle name="Título 1 8" xfId="4197"/>
    <cellStyle name="Título 1 9" xfId="4198"/>
    <cellStyle name="Título 10" xfId="4199"/>
    <cellStyle name="Título 11" xfId="4200"/>
    <cellStyle name="Título 12" xfId="4201"/>
    <cellStyle name="Título 13" xfId="4202"/>
    <cellStyle name="Título 14" xfId="4203"/>
    <cellStyle name="Título 15" xfId="4204"/>
    <cellStyle name="Título 16" xfId="4205"/>
    <cellStyle name="Título 17" xfId="4206"/>
    <cellStyle name="Título 18" xfId="4207"/>
    <cellStyle name="Título 19" xfId="4208"/>
    <cellStyle name="Título 2" xfId="315"/>
    <cellStyle name="Título 2 10" xfId="4210"/>
    <cellStyle name="Título 2 11" xfId="4211"/>
    <cellStyle name="Título 2 12" xfId="4212"/>
    <cellStyle name="Título 2 13" xfId="4213"/>
    <cellStyle name="Título 2 14" xfId="4214"/>
    <cellStyle name="Título 2 2" xfId="4215"/>
    <cellStyle name="Título 2 2 2" xfId="4216"/>
    <cellStyle name="Título 2 3" xfId="4217"/>
    <cellStyle name="Título 2 3 2" xfId="4218"/>
    <cellStyle name="Título 2 4" xfId="4219"/>
    <cellStyle name="Título 2 5" xfId="4220"/>
    <cellStyle name="Título 2 6" xfId="4221"/>
    <cellStyle name="Título 2 7" xfId="4222"/>
    <cellStyle name="Título 2 8" xfId="4223"/>
    <cellStyle name="Título 2 9" xfId="4224"/>
    <cellStyle name="Título 20" xfId="4225"/>
    <cellStyle name="Título 21" xfId="4226"/>
    <cellStyle name="Título 22" xfId="4227"/>
    <cellStyle name="Título 23" xfId="4228"/>
    <cellStyle name="Título 24" xfId="4229"/>
    <cellStyle name="Título 25" xfId="4230"/>
    <cellStyle name="Título 26" xfId="4231"/>
    <cellStyle name="Título 27" xfId="4232"/>
    <cellStyle name="Título 28" xfId="4233"/>
    <cellStyle name="Título 29" xfId="4234"/>
    <cellStyle name="Título 3" xfId="316"/>
    <cellStyle name="Título 3 10" xfId="4236"/>
    <cellStyle name="Título 3 11" xfId="4237"/>
    <cellStyle name="Título 3 12" xfId="4238"/>
    <cellStyle name="Título 3 13" xfId="4239"/>
    <cellStyle name="Título 3 14" xfId="4240"/>
    <cellStyle name="Título 3 2" xfId="4241"/>
    <cellStyle name="Título 3 2 2" xfId="4242"/>
    <cellStyle name="Título 3 3" xfId="4243"/>
    <cellStyle name="Título 3 3 2" xfId="4244"/>
    <cellStyle name="Título 3 4" xfId="4245"/>
    <cellStyle name="Título 3 5" xfId="4246"/>
    <cellStyle name="Título 3 6" xfId="4247"/>
    <cellStyle name="Título 3 7" xfId="4248"/>
    <cellStyle name="Título 3 8" xfId="4249"/>
    <cellStyle name="Título 3 9" xfId="4250"/>
    <cellStyle name="Título 30" xfId="4251"/>
    <cellStyle name="Título 31" xfId="4252"/>
    <cellStyle name="Título 32" xfId="4253"/>
    <cellStyle name="Título 33" xfId="4254"/>
    <cellStyle name="Título 34" xfId="4255"/>
    <cellStyle name="Título 35" xfId="4256"/>
    <cellStyle name="Título 36" xfId="4257"/>
    <cellStyle name="Título 37" xfId="4258"/>
    <cellStyle name="Título 38" xfId="4259"/>
    <cellStyle name="Título 39" xfId="4260"/>
    <cellStyle name="Título 4" xfId="4261"/>
    <cellStyle name="Título 4 2" xfId="4262"/>
    <cellStyle name="Título 40" xfId="4263"/>
    <cellStyle name="Título 41" xfId="4264"/>
    <cellStyle name="Título 42" xfId="4265"/>
    <cellStyle name="Título 43" xfId="4266"/>
    <cellStyle name="Título 44" xfId="4267"/>
    <cellStyle name="Título 45" xfId="4268"/>
    <cellStyle name="Título 5" xfId="4269"/>
    <cellStyle name="Título 6" xfId="4270"/>
    <cellStyle name="Título 7" xfId="4271"/>
    <cellStyle name="Título 8" xfId="4272"/>
    <cellStyle name="Título 9" xfId="4273"/>
    <cellStyle name="Total" xfId="345" builtinId="25" customBuiltin="1"/>
    <cellStyle name="Total 10" xfId="4274"/>
    <cellStyle name="Total 11" xfId="4275"/>
    <cellStyle name="total 11 2" xfId="4276"/>
    <cellStyle name="Total 12" xfId="4277"/>
    <cellStyle name="total 12 2" xfId="4278"/>
    <cellStyle name="Total 13" xfId="4279"/>
    <cellStyle name="total 13 2" xfId="4280"/>
    <cellStyle name="Total 14" xfId="4281"/>
    <cellStyle name="total 14 2" xfId="4282"/>
    <cellStyle name="total 15" xfId="4283"/>
    <cellStyle name="total 16" xfId="4284"/>
    <cellStyle name="total 17" xfId="4285"/>
    <cellStyle name="total 18" xfId="4286"/>
    <cellStyle name="total 19" xfId="4287"/>
    <cellStyle name="Total 2" xfId="317"/>
    <cellStyle name="Total 2 2" xfId="318"/>
    <cellStyle name="Total 2 2 10" xfId="4289"/>
    <cellStyle name="Total 2 2 11" xfId="4490"/>
    <cellStyle name="Total 2 2 12" xfId="4288"/>
    <cellStyle name="total 2 2 2" xfId="4290"/>
    <cellStyle name="Total 2 2 3" xfId="4291"/>
    <cellStyle name="Total 2 2 4" xfId="4292"/>
    <cellStyle name="Total 2 2 5" xfId="4293"/>
    <cellStyle name="Total 2 2 6" xfId="4294"/>
    <cellStyle name="Total 2 2 7" xfId="4295"/>
    <cellStyle name="Total 2 2 8" xfId="4296"/>
    <cellStyle name="Total 2 2 9" xfId="4297"/>
    <cellStyle name="Total 2 3" xfId="4298"/>
    <cellStyle name="total 2 4" xfId="4299"/>
    <cellStyle name="Total 2 5" xfId="4437"/>
    <cellStyle name="Total 2 6" xfId="4492"/>
    <cellStyle name="total 2_1.400 Inversiones Oper ITAÚ" xfId="4300"/>
    <cellStyle name="total 20" xfId="4301"/>
    <cellStyle name="total 21" xfId="4302"/>
    <cellStyle name="total 22" xfId="4303"/>
    <cellStyle name="total 23" xfId="4304"/>
    <cellStyle name="total 24" xfId="4305"/>
    <cellStyle name="total 25" xfId="4306"/>
    <cellStyle name="total 26" xfId="4307"/>
    <cellStyle name="total 27" xfId="4308"/>
    <cellStyle name="total 28" xfId="4309"/>
    <cellStyle name="total 29" xfId="4310"/>
    <cellStyle name="Total 3" xfId="319"/>
    <cellStyle name="Total 3 2" xfId="4311"/>
    <cellStyle name="total 30" xfId="4312"/>
    <cellStyle name="total 31" xfId="4313"/>
    <cellStyle name="total 32" xfId="4314"/>
    <cellStyle name="total 33" xfId="4315"/>
    <cellStyle name="total 34" xfId="4316"/>
    <cellStyle name="total 35" xfId="4317"/>
    <cellStyle name="total 36" xfId="4318"/>
    <cellStyle name="total 37" xfId="4319"/>
    <cellStyle name="total 38" xfId="4320"/>
    <cellStyle name="total 39" xfId="4321"/>
    <cellStyle name="Total 4" xfId="4322"/>
    <cellStyle name="Total 4 2" xfId="4323"/>
    <cellStyle name="total 40" xfId="4324"/>
    <cellStyle name="total 41" xfId="4325"/>
    <cellStyle name="total 42" xfId="4326"/>
    <cellStyle name="total 43" xfId="4327"/>
    <cellStyle name="total 44" xfId="4328"/>
    <cellStyle name="total 45" xfId="4329"/>
    <cellStyle name="total 46" xfId="4330"/>
    <cellStyle name="Total 5" xfId="4331"/>
    <cellStyle name="Total 5 2" xfId="4332"/>
    <cellStyle name="Total 6" xfId="4333"/>
    <cellStyle name="Total 6 2" xfId="4334"/>
    <cellStyle name="Total 7" xfId="4335"/>
    <cellStyle name="Total 7 2" xfId="4336"/>
    <cellStyle name="Total 8" xfId="4337"/>
    <cellStyle name="Total 8 2" xfId="4338"/>
    <cellStyle name="Total 9" xfId="4339"/>
    <cellStyle name="Total 9 2" xfId="4340"/>
    <cellStyle name="Total1 - Style1" xfId="4341"/>
    <cellStyle name="Total1 - Style1 2" xfId="4342"/>
    <cellStyle name="Unit Price" xfId="320"/>
    <cellStyle name="Unit Price 2" xfId="4343"/>
    <cellStyle name="Unit Price 2 2" xfId="4344"/>
    <cellStyle name="Unit Price 3" xfId="4345"/>
    <cellStyle name="Unit Price 4" xfId="4346"/>
    <cellStyle name="Warning Text" xfId="343" builtinId="11" customBuiltin="1"/>
    <cellStyle name="Warning Text 2" xfId="321"/>
    <cellStyle name="Warning Text 2 2" xfId="322"/>
    <cellStyle name="Warning Text 2 2 2" xfId="4348"/>
    <cellStyle name="Warning Text 2 2 3" xfId="4349"/>
    <cellStyle name="Warning Text 2 2 4" xfId="4350"/>
    <cellStyle name="Warning Text 2 2 5" xfId="4351"/>
    <cellStyle name="Warning Text 2 2 6" xfId="4347"/>
    <cellStyle name="Warning Text 2 3" xfId="4352"/>
    <cellStyle name="Warning Text 2 4" xfId="4353"/>
    <cellStyle name="Warning Text 2 5" xfId="4354"/>
    <cellStyle name="Warning Text 2 6" xfId="4435"/>
    <cellStyle name="Warning Text 3" xfId="323"/>
    <cellStyle name="Warning Text 3 2" xfId="4355"/>
    <cellStyle name="Warning Text 3 3" xfId="4356"/>
    <cellStyle name="Warning Text 3 4" xfId="4357"/>
    <cellStyle name="Warning Text 3 5" xfId="4358"/>
    <cellStyle name="Warning Text 4" xfId="4359"/>
    <cellStyle name="Warning Text 5" xfId="436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86420365810566"/>
          <c:y val="4.0970835587845839E-2"/>
          <c:w val="0.80567966601831853"/>
          <c:h val="0.79707086576731589"/>
        </c:manualLayout>
      </c:layout>
      <c:scatterChart>
        <c:scatterStyle val="lineMarker"/>
        <c:varyColors val="0"/>
        <c:ser>
          <c:idx val="0"/>
          <c:order val="0"/>
          <c:tx>
            <c:v>Dummy</c:v>
          </c:tx>
          <c:spPr>
            <a:ln w="28575">
              <a:noFill/>
            </a:ln>
          </c:spPr>
          <c:marker>
            <c:symbol val="dash"/>
            <c:size val="5"/>
            <c:spPr>
              <a:solidFill>
                <a:schemeClr val="tx1"/>
              </a:solidFill>
              <a:ln>
                <a:solidFill>
                  <a:schemeClr val="tx1"/>
                </a:solidFill>
              </a:ln>
            </c:spPr>
          </c:marker>
          <c:dLbls>
            <c:dLbl>
              <c:idx val="0"/>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6D70-4C81-8E48-BAE979D60176}"/>
                </c:ext>
                <c:ext xmlns:c15="http://schemas.microsoft.com/office/drawing/2012/chart" uri="{CE6537A1-D6FC-4f65-9D91-7224C49458BB}"/>
              </c:extLst>
            </c:dLbl>
            <c:dLbl>
              <c:idx val="1"/>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6D70-4C81-8E48-BAE979D60176}"/>
                </c:ext>
                <c:ext xmlns:c15="http://schemas.microsoft.com/office/drawing/2012/chart" uri="{CE6537A1-D6FC-4f65-9D91-7224C49458BB}"/>
              </c:extLst>
            </c:dLbl>
            <c:dLbl>
              <c:idx val="2"/>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6D70-4C81-8E48-BAE979D60176}"/>
                </c:ext>
                <c:ext xmlns:c15="http://schemas.microsoft.com/office/drawing/2012/chart" uri="{CE6537A1-D6FC-4f65-9D91-7224C49458BB}"/>
              </c:extLst>
            </c:dLbl>
            <c:dLbl>
              <c:idx val="3"/>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6D70-4C81-8E48-BAE979D60176}"/>
                </c:ext>
                <c:ext xmlns:c15="http://schemas.microsoft.com/office/drawing/2012/chart" uri="{CE6537A1-D6FC-4f65-9D91-7224C49458BB}"/>
              </c:extLst>
            </c:dLbl>
            <c:dLbl>
              <c:idx val="4"/>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6D70-4C81-8E48-BAE979D60176}"/>
                </c:ext>
                <c:ext xmlns:c15="http://schemas.microsoft.com/office/drawing/2012/chart" uri="{CE6537A1-D6FC-4f65-9D91-7224C49458BB}"/>
              </c:extLst>
            </c:dLbl>
            <c:dLbl>
              <c:idx val="5"/>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6D70-4C81-8E48-BAE979D60176}"/>
                </c:ext>
                <c:ext xmlns:c15="http://schemas.microsoft.com/office/drawing/2012/chart" uri="{CE6537A1-D6FC-4f65-9D91-7224C49458BB}"/>
              </c:extLst>
            </c:dLbl>
            <c:dLbl>
              <c:idx val="6"/>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6D70-4C81-8E48-BAE979D60176}"/>
                </c:ext>
                <c:ext xmlns:c15="http://schemas.microsoft.com/office/drawing/2012/chart" uri="{CE6537A1-D6FC-4f65-9D91-7224C49458BB}"/>
              </c:extLst>
            </c:dLbl>
            <c:dLbl>
              <c:idx val="7"/>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6D70-4C81-8E48-BAE979D60176}"/>
                </c:ext>
                <c:ext xmlns:c15="http://schemas.microsoft.com/office/drawing/2012/chart" uri="{CE6537A1-D6FC-4f65-9D91-7224C49458BB}"/>
              </c:extLst>
            </c:dLbl>
            <c:dLbl>
              <c:idx val="8"/>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6D70-4C81-8E48-BAE979D60176}"/>
                </c:ext>
                <c:ext xmlns:c15="http://schemas.microsoft.com/office/drawing/2012/chart" uri="{CE6537A1-D6FC-4f65-9D91-7224C49458BB}"/>
              </c:extLst>
            </c:dLbl>
            <c:dLbl>
              <c:idx val="9"/>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6D70-4C81-8E48-BAE979D60176}"/>
                </c:ext>
                <c:ext xmlns:c15="http://schemas.microsoft.com/office/drawing/2012/chart" uri="{CE6537A1-D6FC-4f65-9D91-7224C49458BB}"/>
              </c:extLst>
            </c:dLbl>
            <c:dLbl>
              <c:idx val="10"/>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6D70-4C81-8E48-BAE979D60176}"/>
                </c:ext>
                <c:ext xmlns:c15="http://schemas.microsoft.com/office/drawing/2012/chart" uri="{CE6537A1-D6FC-4f65-9D91-7224C49458BB}"/>
              </c:extLst>
            </c:dLbl>
            <c:dLbl>
              <c:idx val="11"/>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6D70-4C81-8E48-BAE979D60176}"/>
                </c:ext>
                <c:ext xmlns:c15="http://schemas.microsoft.com/office/drawing/2012/chart" uri="{CE6537A1-D6FC-4f65-9D91-7224C49458BB}"/>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Probability_Scale_Data_HIDE!$C$5:$C$16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Probability_Scale_Data_HIDE!$D$5:$D$16</c:f>
              <c:numCache>
                <c:formatCode>General</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6D70-4C81-8E48-BAE979D60176}"/>
            </c:ext>
          </c:extLst>
        </c:ser>
        <c:dLbls>
          <c:showLegendKey val="0"/>
          <c:showVal val="0"/>
          <c:showCatName val="0"/>
          <c:showSerName val="0"/>
          <c:showPercent val="0"/>
          <c:showBubbleSize val="0"/>
        </c:dLbls>
        <c:axId val="931546064"/>
        <c:axId val="931546624"/>
      </c:scatterChart>
      <c:scatterChart>
        <c:scatterStyle val="lineMarker"/>
        <c:varyColors val="0"/>
        <c:ser>
          <c:idx val="1"/>
          <c:order val="1"/>
          <c:tx>
            <c:strRef>
              <c:f>Probability_Scale_Data_HIDE!$J$26</c:f>
              <c:strCache>
                <c:ptCount val="1"/>
                <c:pt idx="0">
                  <c:v>Rock Vol.</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Probability_Scale_Data_HIDE!$J$27:$J$28</c:f>
              <c:numCache>
                <c:formatCode>"P10: "#,##0.00;\-0.00;"--"</c:formatCode>
                <c:ptCount val="2"/>
                <c:pt idx="0" formatCode="&quot;P90: &quot;#,##0.00;\-0.00;&quot;--&quot;">
                  <c:v>500</c:v>
                </c:pt>
                <c:pt idx="1">
                  <c:v>10723</c:v>
                </c:pt>
              </c:numCache>
            </c:numRef>
          </c:xVal>
          <c:yVal>
            <c:numRef>
              <c:f>Probability_Scale_Data_HIDE!$I$27:$I$28</c:f>
              <c:numCache>
                <c:formatCode>General</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6D70-4C81-8E48-BAE979D60176}"/>
            </c:ext>
          </c:extLst>
        </c:ser>
        <c:ser>
          <c:idx val="2"/>
          <c:order val="2"/>
          <c:tx>
            <c:v>P1-P50-P99</c:v>
          </c:tx>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dLblPos val="l"/>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Probability_Scale_Data_HIDE!$J$34:$J$36</c:f>
              <c:numCache>
                <c:formatCode>"P50: "#,##0.0;\-0.00;"--"</c:formatCode>
                <c:ptCount val="3"/>
                <c:pt idx="0" formatCode="&quot;P1: &quot;#,##0.0;\-0.00;&quot;--&quot;">
                  <c:v>37412.1</c:v>
                </c:pt>
                <c:pt idx="1">
                  <c:v>2315.5</c:v>
                </c:pt>
                <c:pt idx="2" formatCode="&quot;P99: &quot;#,##0.0;\-0.00;&quot;--&quot;">
                  <c:v>143.30000000000001</c:v>
                </c:pt>
              </c:numCache>
            </c:numRef>
          </c:xVal>
          <c:yVal>
            <c:numRef>
              <c:f>Probability_Scale_Data_HIDE!$I$34:$I$36</c:f>
              <c:numCache>
                <c:formatCode>General</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6D70-4C81-8E48-BAE979D60176}"/>
            </c:ext>
          </c:extLst>
        </c:ser>
        <c:dLbls>
          <c:showLegendKey val="0"/>
          <c:showVal val="0"/>
          <c:showCatName val="0"/>
          <c:showSerName val="0"/>
          <c:showPercent val="0"/>
          <c:showBubbleSize val="0"/>
        </c:dLbls>
        <c:axId val="1002553600"/>
        <c:axId val="931547184"/>
      </c:scatterChart>
      <c:valAx>
        <c:axId val="931546064"/>
        <c:scaling>
          <c:orientation val="minMax"/>
          <c:max val="10000"/>
        </c:scaling>
        <c:delete val="0"/>
        <c:axPos val="t"/>
        <c:title>
          <c:tx>
            <c:rich>
              <a:bodyPr/>
              <a:lstStyle/>
              <a:p>
                <a:pPr>
                  <a:defRPr sz="1000"/>
                </a:pPr>
                <a:r>
                  <a:rPr lang="es-BO" sz="1000"/>
                  <a:t>Rock Volume, MM m</a:t>
                </a:r>
                <a:r>
                  <a:rPr lang="es-BO" sz="1000" baseline="30000"/>
                  <a:t>3</a:t>
                </a:r>
              </a:p>
            </c:rich>
          </c:tx>
          <c:layout>
            <c:manualLayout>
              <c:xMode val="edge"/>
              <c:yMode val="edge"/>
              <c:x val="0.43932312274443991"/>
              <c:y val="0.91835207055323553"/>
            </c:manualLayout>
          </c:layout>
          <c:overlay val="0"/>
        </c:title>
        <c:numFmt formatCode="General" sourceLinked="1"/>
        <c:majorTickMark val="none"/>
        <c:minorTickMark val="none"/>
        <c:tickLblPos val="none"/>
        <c:spPr>
          <a:ln>
            <a:solidFill>
              <a:schemeClr val="tx1"/>
            </a:solidFill>
          </a:ln>
        </c:spPr>
        <c:crossAx val="931546624"/>
        <c:crossesAt val="2.5"/>
        <c:crossBetween val="midCat"/>
      </c:valAx>
      <c:valAx>
        <c:axId val="931546624"/>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2827823766898297E-2"/>
              <c:y val="0.29598850819323252"/>
            </c:manualLayout>
          </c:layout>
          <c:overlay val="0"/>
        </c:title>
        <c:numFmt formatCode="General" sourceLinked="1"/>
        <c:majorTickMark val="none"/>
        <c:minorTickMark val="none"/>
        <c:tickLblPos val="none"/>
        <c:spPr>
          <a:ln>
            <a:solidFill>
              <a:schemeClr val="tx1"/>
            </a:solidFill>
          </a:ln>
        </c:spPr>
        <c:crossAx val="931546064"/>
        <c:crosses val="autoZero"/>
        <c:crossBetween val="midCat"/>
      </c:valAx>
      <c:valAx>
        <c:axId val="931547184"/>
        <c:scaling>
          <c:orientation val="maxMin"/>
          <c:max val="2.5"/>
          <c:min val="-2.5"/>
        </c:scaling>
        <c:delete val="0"/>
        <c:axPos val="r"/>
        <c:numFmt formatCode="General" sourceLinked="1"/>
        <c:majorTickMark val="none"/>
        <c:minorTickMark val="none"/>
        <c:tickLblPos val="none"/>
        <c:spPr>
          <a:ln>
            <a:solidFill>
              <a:schemeClr val="tx1"/>
            </a:solidFill>
          </a:ln>
        </c:spPr>
        <c:crossAx val="1002553600"/>
        <c:crosses val="max"/>
        <c:crossBetween val="midCat"/>
      </c:valAx>
      <c:valAx>
        <c:axId val="1002553600"/>
        <c:scaling>
          <c:logBase val="10"/>
          <c:orientation val="minMax"/>
        </c:scaling>
        <c:delete val="0"/>
        <c:axPos val="b"/>
        <c:majorGridlines/>
        <c:minorGridlines>
          <c:spPr>
            <a:ln>
              <a:solidFill>
                <a:schemeClr val="bg1">
                  <a:lumMod val="75000"/>
                </a:schemeClr>
              </a:solidFill>
              <a:prstDash val="dash"/>
            </a:ln>
          </c:spPr>
        </c:minorGridlines>
        <c:numFmt formatCode="#,##0" sourceLinked="0"/>
        <c:majorTickMark val="out"/>
        <c:minorTickMark val="in"/>
        <c:tickLblPos val="nextTo"/>
        <c:spPr>
          <a:ln w="12700">
            <a:solidFill>
              <a:schemeClr val="tx1"/>
            </a:solidFill>
          </a:ln>
        </c:spPr>
        <c:txPr>
          <a:bodyPr/>
          <a:lstStyle/>
          <a:p>
            <a:pPr>
              <a:defRPr sz="800"/>
            </a:pPr>
            <a:endParaRPr lang="es-BO"/>
          </a:p>
        </c:txPr>
        <c:crossAx val="931547184"/>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1654251634339"/>
          <c:y val="3.009472212070791E-2"/>
          <c:w val="0.81974508025844928"/>
          <c:h val="0.81005570739028876"/>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DABD-4F68-B5BE-A11D79715203}"/>
                </c:ext>
                <c:ext xmlns:c15="http://schemas.microsoft.com/office/drawing/2012/chart" uri="{CE6537A1-D6FC-4f65-9D91-7224C49458BB}"/>
              </c:extLst>
            </c:dLbl>
            <c:dLbl>
              <c:idx val="1"/>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DABD-4F68-B5BE-A11D79715203}"/>
                </c:ext>
                <c:ext xmlns:c15="http://schemas.microsoft.com/office/drawing/2012/chart" uri="{CE6537A1-D6FC-4f65-9D91-7224C49458BB}"/>
              </c:extLst>
            </c:dLbl>
            <c:dLbl>
              <c:idx val="2"/>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DABD-4F68-B5BE-A11D79715203}"/>
                </c:ext>
                <c:ext xmlns:c15="http://schemas.microsoft.com/office/drawing/2012/chart" uri="{CE6537A1-D6FC-4f65-9D91-7224C49458BB}"/>
              </c:extLst>
            </c:dLbl>
            <c:dLbl>
              <c:idx val="3"/>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DABD-4F68-B5BE-A11D79715203}"/>
                </c:ext>
                <c:ext xmlns:c15="http://schemas.microsoft.com/office/drawing/2012/chart" uri="{CE6537A1-D6FC-4f65-9D91-7224C49458BB}"/>
              </c:extLst>
            </c:dLbl>
            <c:dLbl>
              <c:idx val="4"/>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DABD-4F68-B5BE-A11D79715203}"/>
                </c:ext>
                <c:ext xmlns:c15="http://schemas.microsoft.com/office/drawing/2012/chart" uri="{CE6537A1-D6FC-4f65-9D91-7224C49458BB}"/>
              </c:extLst>
            </c:dLbl>
            <c:dLbl>
              <c:idx val="5"/>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DABD-4F68-B5BE-A11D79715203}"/>
                </c:ext>
                <c:ext xmlns:c15="http://schemas.microsoft.com/office/drawing/2012/chart" uri="{CE6537A1-D6FC-4f65-9D91-7224C49458BB}"/>
              </c:extLst>
            </c:dLbl>
            <c:dLbl>
              <c:idx val="6"/>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DABD-4F68-B5BE-A11D79715203}"/>
                </c:ext>
                <c:ext xmlns:c15="http://schemas.microsoft.com/office/drawing/2012/chart" uri="{CE6537A1-D6FC-4f65-9D91-7224C49458BB}"/>
              </c:extLst>
            </c:dLbl>
            <c:dLbl>
              <c:idx val="7"/>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DABD-4F68-B5BE-A11D79715203}"/>
                </c:ext>
                <c:ext xmlns:c15="http://schemas.microsoft.com/office/drawing/2012/chart" uri="{CE6537A1-D6FC-4f65-9D91-7224C49458BB}"/>
              </c:extLst>
            </c:dLbl>
            <c:dLbl>
              <c:idx val="8"/>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DABD-4F68-B5BE-A11D79715203}"/>
                </c:ext>
                <c:ext xmlns:c15="http://schemas.microsoft.com/office/drawing/2012/chart" uri="{CE6537A1-D6FC-4f65-9D91-7224C49458BB}"/>
              </c:extLst>
            </c:dLbl>
            <c:dLbl>
              <c:idx val="9"/>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DABD-4F68-B5BE-A11D79715203}"/>
                </c:ext>
                <c:ext xmlns:c15="http://schemas.microsoft.com/office/drawing/2012/chart" uri="{CE6537A1-D6FC-4f65-9D91-7224C49458BB}"/>
              </c:extLst>
            </c:dLbl>
            <c:dLbl>
              <c:idx val="10"/>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DABD-4F68-B5BE-A11D79715203}"/>
                </c:ext>
                <c:ext xmlns:c15="http://schemas.microsoft.com/office/drawing/2012/chart" uri="{CE6537A1-D6FC-4f65-9D91-7224C49458BB}"/>
              </c:extLst>
            </c:dLbl>
            <c:dLbl>
              <c:idx val="11"/>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DABD-4F68-B5BE-A11D79715203}"/>
                </c:ext>
                <c:ext xmlns:c15="http://schemas.microsoft.com/office/drawing/2012/chart" uri="{CE6537A1-D6FC-4f65-9D91-7224C49458BB}"/>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Probability_Scale_Data_HIDE!$C$5:$C$16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Probability_Scale_Data_HIDE!$D$5:$D$16</c:f>
              <c:numCache>
                <c:formatCode>General</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DABD-4F68-B5BE-A11D79715203}"/>
            </c:ext>
          </c:extLst>
        </c:ser>
        <c:dLbls>
          <c:showLegendKey val="0"/>
          <c:showVal val="0"/>
          <c:showCatName val="0"/>
          <c:showSerName val="0"/>
          <c:showPercent val="0"/>
          <c:showBubbleSize val="0"/>
        </c:dLbls>
        <c:axId val="1070967536"/>
        <c:axId val="1070968096"/>
      </c:scatterChart>
      <c:scatterChart>
        <c:scatterStyle val="lineMarker"/>
        <c:varyColors val="0"/>
        <c:ser>
          <c:idx val="1"/>
          <c:order val="1"/>
          <c:tx>
            <c:strRef>
              <c:f>Probability_Scale_Data_HIDE!$K$26</c:f>
              <c:strCache>
                <c:ptCount val="1"/>
                <c:pt idx="0">
                  <c:v>Porosity</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Probability_Scale_Data_HIDE!$K$27:$K$28</c:f>
              <c:numCache>
                <c:formatCode>"P10: "0.000</c:formatCode>
                <c:ptCount val="2"/>
                <c:pt idx="0" formatCode="&quot;P90: &quot;0.000">
                  <c:v>0.05</c:v>
                </c:pt>
                <c:pt idx="1">
                  <c:v>0.06</c:v>
                </c:pt>
              </c:numCache>
            </c:numRef>
          </c:xVal>
          <c:yVal>
            <c:numRef>
              <c:f>Probability_Scale_Data_HIDE!$I$27:$I$28</c:f>
              <c:numCache>
                <c:formatCode>General</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DABD-4F68-B5BE-A11D79715203}"/>
            </c:ext>
          </c:extLst>
        </c:ser>
        <c:ser>
          <c:idx val="2"/>
          <c:order val="2"/>
          <c:tx>
            <c:v>P1-P50-P99</c:v>
          </c:tx>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dLblPos val="b"/>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Probability_Scale_Data_HIDE!$K$34:$K$36</c:f>
              <c:numCache>
                <c:formatCode>"P50: "General</c:formatCode>
                <c:ptCount val="3"/>
                <c:pt idx="0" formatCode="&quot;P1: &quot;General">
                  <c:v>6.5000000000000002E-2</c:v>
                </c:pt>
                <c:pt idx="1">
                  <c:v>5.5E-2</c:v>
                </c:pt>
                <c:pt idx="2" formatCode="&quot;P99: &quot;General">
                  <c:v>4.5999999999999999E-2</c:v>
                </c:pt>
              </c:numCache>
            </c:numRef>
          </c:xVal>
          <c:yVal>
            <c:numRef>
              <c:f>Probability_Scale_Data_HIDE!$I$34:$I$36</c:f>
              <c:numCache>
                <c:formatCode>General</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DABD-4F68-B5BE-A11D79715203}"/>
            </c:ext>
          </c:extLst>
        </c:ser>
        <c:dLbls>
          <c:showLegendKey val="0"/>
          <c:showVal val="0"/>
          <c:showCatName val="0"/>
          <c:showSerName val="0"/>
          <c:showPercent val="0"/>
          <c:showBubbleSize val="0"/>
        </c:dLbls>
        <c:axId val="1070969216"/>
        <c:axId val="1070968656"/>
      </c:scatterChart>
      <c:valAx>
        <c:axId val="1070967536"/>
        <c:scaling>
          <c:orientation val="minMax"/>
          <c:max val="10000"/>
        </c:scaling>
        <c:delete val="0"/>
        <c:axPos val="t"/>
        <c:title>
          <c:tx>
            <c:rich>
              <a:bodyPr/>
              <a:lstStyle/>
              <a:p>
                <a:pPr>
                  <a:defRPr sz="1000"/>
                </a:pPr>
                <a:r>
                  <a:rPr lang="es-BO" sz="1000"/>
                  <a:t>Porosity, decimal</a:t>
                </a:r>
              </a:p>
            </c:rich>
          </c:tx>
          <c:layout>
            <c:manualLayout>
              <c:xMode val="edge"/>
              <c:yMode val="edge"/>
              <c:x val="0.47599397730022586"/>
              <c:y val="0.91835207055323553"/>
            </c:manualLayout>
          </c:layout>
          <c:overlay val="0"/>
        </c:title>
        <c:numFmt formatCode="General" sourceLinked="1"/>
        <c:majorTickMark val="none"/>
        <c:minorTickMark val="none"/>
        <c:tickLblPos val="none"/>
        <c:spPr>
          <a:ln>
            <a:solidFill>
              <a:schemeClr val="tx1"/>
            </a:solidFill>
          </a:ln>
        </c:spPr>
        <c:crossAx val="1070968096"/>
        <c:crossesAt val="2.5"/>
        <c:crossBetween val="midCat"/>
      </c:valAx>
      <c:valAx>
        <c:axId val="1070968096"/>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465075700131924E-2"/>
              <c:y val="0.15084404730085479"/>
            </c:manualLayout>
          </c:layout>
          <c:overlay val="0"/>
        </c:title>
        <c:numFmt formatCode="General" sourceLinked="1"/>
        <c:majorTickMark val="none"/>
        <c:minorTickMark val="none"/>
        <c:tickLblPos val="none"/>
        <c:spPr>
          <a:ln>
            <a:solidFill>
              <a:schemeClr val="tx1"/>
            </a:solidFill>
          </a:ln>
        </c:spPr>
        <c:crossAx val="1070967536"/>
        <c:crosses val="autoZero"/>
        <c:crossBetween val="midCat"/>
      </c:valAx>
      <c:valAx>
        <c:axId val="1070968656"/>
        <c:scaling>
          <c:orientation val="maxMin"/>
          <c:max val="2.5"/>
          <c:min val="-2.5"/>
        </c:scaling>
        <c:delete val="0"/>
        <c:axPos val="r"/>
        <c:numFmt formatCode="General" sourceLinked="1"/>
        <c:majorTickMark val="none"/>
        <c:minorTickMark val="none"/>
        <c:tickLblPos val="none"/>
        <c:spPr>
          <a:ln>
            <a:solidFill>
              <a:schemeClr val="tx1"/>
            </a:solidFill>
          </a:ln>
        </c:spPr>
        <c:crossAx val="1070969216"/>
        <c:crosses val="max"/>
        <c:crossBetween val="midCat"/>
      </c:valAx>
      <c:valAx>
        <c:axId val="1070969216"/>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1070968656"/>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70660246617496"/>
          <c:y val="6.6052588021091943E-2"/>
          <c:w val="0.82809277799012915"/>
          <c:h val="0.76922752444364506"/>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BCC0-40A2-9C17-4498F5E8DF2D}"/>
                </c:ext>
                <c:ext xmlns:c15="http://schemas.microsoft.com/office/drawing/2012/chart" uri="{CE6537A1-D6FC-4f65-9D91-7224C49458BB}"/>
              </c:extLst>
            </c:dLbl>
            <c:dLbl>
              <c:idx val="1"/>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BCC0-40A2-9C17-4498F5E8DF2D}"/>
                </c:ext>
                <c:ext xmlns:c15="http://schemas.microsoft.com/office/drawing/2012/chart" uri="{CE6537A1-D6FC-4f65-9D91-7224C49458BB}"/>
              </c:extLst>
            </c:dLbl>
            <c:dLbl>
              <c:idx val="2"/>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BCC0-40A2-9C17-4498F5E8DF2D}"/>
                </c:ext>
                <c:ext xmlns:c15="http://schemas.microsoft.com/office/drawing/2012/chart" uri="{CE6537A1-D6FC-4f65-9D91-7224C49458BB}"/>
              </c:extLst>
            </c:dLbl>
            <c:dLbl>
              <c:idx val="3"/>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BCC0-40A2-9C17-4498F5E8DF2D}"/>
                </c:ext>
                <c:ext xmlns:c15="http://schemas.microsoft.com/office/drawing/2012/chart" uri="{CE6537A1-D6FC-4f65-9D91-7224C49458BB}"/>
              </c:extLst>
            </c:dLbl>
            <c:dLbl>
              <c:idx val="4"/>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BCC0-40A2-9C17-4498F5E8DF2D}"/>
                </c:ext>
                <c:ext xmlns:c15="http://schemas.microsoft.com/office/drawing/2012/chart" uri="{CE6537A1-D6FC-4f65-9D91-7224C49458BB}"/>
              </c:extLst>
            </c:dLbl>
            <c:dLbl>
              <c:idx val="5"/>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BCC0-40A2-9C17-4498F5E8DF2D}"/>
                </c:ext>
                <c:ext xmlns:c15="http://schemas.microsoft.com/office/drawing/2012/chart" uri="{CE6537A1-D6FC-4f65-9D91-7224C49458BB}"/>
              </c:extLst>
            </c:dLbl>
            <c:dLbl>
              <c:idx val="6"/>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BCC0-40A2-9C17-4498F5E8DF2D}"/>
                </c:ext>
                <c:ext xmlns:c15="http://schemas.microsoft.com/office/drawing/2012/chart" uri="{CE6537A1-D6FC-4f65-9D91-7224C49458BB}"/>
              </c:extLst>
            </c:dLbl>
            <c:dLbl>
              <c:idx val="7"/>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BCC0-40A2-9C17-4498F5E8DF2D}"/>
                </c:ext>
                <c:ext xmlns:c15="http://schemas.microsoft.com/office/drawing/2012/chart" uri="{CE6537A1-D6FC-4f65-9D91-7224C49458BB}"/>
              </c:extLst>
            </c:dLbl>
            <c:dLbl>
              <c:idx val="8"/>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BCC0-40A2-9C17-4498F5E8DF2D}"/>
                </c:ext>
                <c:ext xmlns:c15="http://schemas.microsoft.com/office/drawing/2012/chart" uri="{CE6537A1-D6FC-4f65-9D91-7224C49458BB}"/>
              </c:extLst>
            </c:dLbl>
            <c:dLbl>
              <c:idx val="9"/>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BCC0-40A2-9C17-4498F5E8DF2D}"/>
                </c:ext>
                <c:ext xmlns:c15="http://schemas.microsoft.com/office/drawing/2012/chart" uri="{CE6537A1-D6FC-4f65-9D91-7224C49458BB}"/>
              </c:extLst>
            </c:dLbl>
            <c:dLbl>
              <c:idx val="10"/>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BCC0-40A2-9C17-4498F5E8DF2D}"/>
                </c:ext>
                <c:ext xmlns:c15="http://schemas.microsoft.com/office/drawing/2012/chart" uri="{CE6537A1-D6FC-4f65-9D91-7224C49458BB}"/>
              </c:extLst>
            </c:dLbl>
            <c:dLbl>
              <c:idx val="11"/>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BCC0-40A2-9C17-4498F5E8DF2D}"/>
                </c:ext>
                <c:ext xmlns:c15="http://schemas.microsoft.com/office/drawing/2012/chart" uri="{CE6537A1-D6FC-4f65-9D91-7224C49458BB}"/>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Probability_Scale_Data_HIDE!$C$5:$C$16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Probability_Scale_Data_HIDE!$D$5:$D$16</c:f>
              <c:numCache>
                <c:formatCode>General</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BCC0-40A2-9C17-4498F5E8DF2D}"/>
            </c:ext>
          </c:extLst>
        </c:ser>
        <c:dLbls>
          <c:showLegendKey val="0"/>
          <c:showVal val="0"/>
          <c:showCatName val="0"/>
          <c:showSerName val="0"/>
          <c:showPercent val="0"/>
          <c:showBubbleSize val="0"/>
        </c:dLbls>
        <c:axId val="1071098256"/>
        <c:axId val="1071098816"/>
      </c:scatterChart>
      <c:scatterChart>
        <c:scatterStyle val="lineMarker"/>
        <c:varyColors val="0"/>
        <c:ser>
          <c:idx val="1"/>
          <c:order val="1"/>
          <c:tx>
            <c:strRef>
              <c:f>Probability_Scale_Data_HIDE!$L$26</c:f>
              <c:strCache>
                <c:ptCount val="1"/>
                <c:pt idx="0">
                  <c:v>Sw</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Probability_Scale_Data_HIDE!$L$27:$L$28</c:f>
              <c:numCache>
                <c:formatCode>"P10: "#,##0.000;\-0.00;"--"</c:formatCode>
                <c:ptCount val="2"/>
                <c:pt idx="0" formatCode="&quot;P90: &quot;#,##0.000;\-0.00;&quot;--&quot;">
                  <c:v>0.6</c:v>
                </c:pt>
                <c:pt idx="1">
                  <c:v>0.4</c:v>
                </c:pt>
              </c:numCache>
            </c:numRef>
          </c:xVal>
          <c:yVal>
            <c:numRef>
              <c:f>Probability_Scale_Data_HIDE!$I$27:$I$28</c:f>
              <c:numCache>
                <c:formatCode>General</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BCC0-40A2-9C17-4498F5E8DF2D}"/>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Probability_Scale_Data_HIDE!$L$34:$L$36</c:f>
              <c:numCache>
                <c:formatCode>"P50: "General</c:formatCode>
                <c:ptCount val="3"/>
                <c:pt idx="0" formatCode="&quot;P1: &quot;General">
                  <c:v>0.33900000000000002</c:v>
                </c:pt>
                <c:pt idx="1">
                  <c:v>0.49</c:v>
                </c:pt>
                <c:pt idx="2" formatCode="&quot;P99: &quot;General">
                  <c:v>0.70799999999999996</c:v>
                </c:pt>
              </c:numCache>
            </c:numRef>
          </c:xVal>
          <c:yVal>
            <c:numRef>
              <c:f>Probability_Scale_Data_HIDE!$I$34:$I$36</c:f>
              <c:numCache>
                <c:formatCode>General</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BCC0-40A2-9C17-4498F5E8DF2D}"/>
            </c:ext>
          </c:extLst>
        </c:ser>
        <c:dLbls>
          <c:showLegendKey val="0"/>
          <c:showVal val="0"/>
          <c:showCatName val="0"/>
          <c:showSerName val="0"/>
          <c:showPercent val="0"/>
          <c:showBubbleSize val="0"/>
        </c:dLbls>
        <c:axId val="1071099936"/>
        <c:axId val="1071099376"/>
      </c:scatterChart>
      <c:valAx>
        <c:axId val="1071098256"/>
        <c:scaling>
          <c:orientation val="minMax"/>
          <c:max val="10000"/>
        </c:scaling>
        <c:delete val="0"/>
        <c:axPos val="t"/>
        <c:title>
          <c:tx>
            <c:rich>
              <a:bodyPr/>
              <a:lstStyle/>
              <a:p>
                <a:pPr>
                  <a:defRPr sz="1000"/>
                </a:pPr>
                <a:r>
                  <a:rPr lang="es-BO" sz="1000"/>
                  <a:t>Water Saturation, decimal</a:t>
                </a:r>
              </a:p>
            </c:rich>
          </c:tx>
          <c:layout>
            <c:manualLayout>
              <c:xMode val="edge"/>
              <c:yMode val="edge"/>
              <c:x val="0.45804297030209784"/>
              <c:y val="0.90861180956792753"/>
            </c:manualLayout>
          </c:layout>
          <c:overlay val="0"/>
        </c:title>
        <c:numFmt formatCode="General" sourceLinked="1"/>
        <c:majorTickMark val="none"/>
        <c:minorTickMark val="none"/>
        <c:tickLblPos val="none"/>
        <c:spPr>
          <a:ln>
            <a:solidFill>
              <a:schemeClr val="tx1"/>
            </a:solidFill>
          </a:ln>
        </c:spPr>
        <c:crossAx val="1071098816"/>
        <c:crossesAt val="2.5"/>
        <c:crossBetween val="midCat"/>
      </c:valAx>
      <c:valAx>
        <c:axId val="1071098816"/>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9936501596271156E-2"/>
              <c:y val="0.1893886375637383"/>
            </c:manualLayout>
          </c:layout>
          <c:overlay val="0"/>
        </c:title>
        <c:numFmt formatCode="General" sourceLinked="1"/>
        <c:majorTickMark val="none"/>
        <c:minorTickMark val="none"/>
        <c:tickLblPos val="none"/>
        <c:spPr>
          <a:ln>
            <a:solidFill>
              <a:schemeClr val="tx1"/>
            </a:solidFill>
          </a:ln>
        </c:spPr>
        <c:crossAx val="1071098256"/>
        <c:crosses val="autoZero"/>
        <c:crossBetween val="midCat"/>
      </c:valAx>
      <c:valAx>
        <c:axId val="1071099376"/>
        <c:scaling>
          <c:orientation val="maxMin"/>
          <c:max val="2.5"/>
          <c:min val="-2.5"/>
        </c:scaling>
        <c:delete val="0"/>
        <c:axPos val="r"/>
        <c:numFmt formatCode="General" sourceLinked="1"/>
        <c:majorTickMark val="none"/>
        <c:minorTickMark val="none"/>
        <c:tickLblPos val="none"/>
        <c:spPr>
          <a:ln>
            <a:solidFill>
              <a:schemeClr val="tx1"/>
            </a:solidFill>
          </a:ln>
        </c:spPr>
        <c:crossAx val="1071099936"/>
        <c:crosses val="max"/>
        <c:crossBetween val="midCat"/>
      </c:valAx>
      <c:valAx>
        <c:axId val="1071099936"/>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1071099376"/>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06836321564443"/>
          <c:y val="6.6052588021091943E-2"/>
          <c:w val="0.82750878099420189"/>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F53C-4BE5-AC42-3B4731818738}"/>
                </c:ext>
                <c:ext xmlns:c15="http://schemas.microsoft.com/office/drawing/2012/chart" uri="{CE6537A1-D6FC-4f65-9D91-7224C49458BB}"/>
              </c:extLst>
            </c:dLbl>
            <c:dLbl>
              <c:idx val="1"/>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F53C-4BE5-AC42-3B4731818738}"/>
                </c:ext>
                <c:ext xmlns:c15="http://schemas.microsoft.com/office/drawing/2012/chart" uri="{CE6537A1-D6FC-4f65-9D91-7224C49458BB}"/>
              </c:extLst>
            </c:dLbl>
            <c:dLbl>
              <c:idx val="2"/>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F53C-4BE5-AC42-3B4731818738}"/>
                </c:ext>
                <c:ext xmlns:c15="http://schemas.microsoft.com/office/drawing/2012/chart" uri="{CE6537A1-D6FC-4f65-9D91-7224C49458BB}"/>
              </c:extLst>
            </c:dLbl>
            <c:dLbl>
              <c:idx val="3"/>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F53C-4BE5-AC42-3B4731818738}"/>
                </c:ext>
                <c:ext xmlns:c15="http://schemas.microsoft.com/office/drawing/2012/chart" uri="{CE6537A1-D6FC-4f65-9D91-7224C49458BB}"/>
              </c:extLst>
            </c:dLbl>
            <c:dLbl>
              <c:idx val="4"/>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F53C-4BE5-AC42-3B4731818738}"/>
                </c:ext>
                <c:ext xmlns:c15="http://schemas.microsoft.com/office/drawing/2012/chart" uri="{CE6537A1-D6FC-4f65-9D91-7224C49458BB}"/>
              </c:extLst>
            </c:dLbl>
            <c:dLbl>
              <c:idx val="5"/>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F53C-4BE5-AC42-3B4731818738}"/>
                </c:ext>
                <c:ext xmlns:c15="http://schemas.microsoft.com/office/drawing/2012/chart" uri="{CE6537A1-D6FC-4f65-9D91-7224C49458BB}"/>
              </c:extLst>
            </c:dLbl>
            <c:dLbl>
              <c:idx val="6"/>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F53C-4BE5-AC42-3B4731818738}"/>
                </c:ext>
                <c:ext xmlns:c15="http://schemas.microsoft.com/office/drawing/2012/chart" uri="{CE6537A1-D6FC-4f65-9D91-7224C49458BB}"/>
              </c:extLst>
            </c:dLbl>
            <c:dLbl>
              <c:idx val="7"/>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F53C-4BE5-AC42-3B4731818738}"/>
                </c:ext>
                <c:ext xmlns:c15="http://schemas.microsoft.com/office/drawing/2012/chart" uri="{CE6537A1-D6FC-4f65-9D91-7224C49458BB}"/>
              </c:extLst>
            </c:dLbl>
            <c:dLbl>
              <c:idx val="8"/>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F53C-4BE5-AC42-3B4731818738}"/>
                </c:ext>
                <c:ext xmlns:c15="http://schemas.microsoft.com/office/drawing/2012/chart" uri="{CE6537A1-D6FC-4f65-9D91-7224C49458BB}"/>
              </c:extLst>
            </c:dLbl>
            <c:dLbl>
              <c:idx val="9"/>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F53C-4BE5-AC42-3B4731818738}"/>
                </c:ext>
                <c:ext xmlns:c15="http://schemas.microsoft.com/office/drawing/2012/chart" uri="{CE6537A1-D6FC-4f65-9D91-7224C49458BB}"/>
              </c:extLst>
            </c:dLbl>
            <c:dLbl>
              <c:idx val="10"/>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F53C-4BE5-AC42-3B4731818738}"/>
                </c:ext>
                <c:ext xmlns:c15="http://schemas.microsoft.com/office/drawing/2012/chart" uri="{CE6537A1-D6FC-4f65-9D91-7224C49458BB}"/>
              </c:extLst>
            </c:dLbl>
            <c:dLbl>
              <c:idx val="11"/>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F53C-4BE5-AC42-3B4731818738}"/>
                </c:ext>
                <c:ext xmlns:c15="http://schemas.microsoft.com/office/drawing/2012/chart" uri="{CE6537A1-D6FC-4f65-9D91-7224C49458BB}"/>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Probability_Scale_Data_HIDE!$C$5:$C$16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Probability_Scale_Data_HIDE!$D$5:$D$16</c:f>
              <c:numCache>
                <c:formatCode>General</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F53C-4BE5-AC42-3B4731818738}"/>
            </c:ext>
          </c:extLst>
        </c:ser>
        <c:dLbls>
          <c:showLegendKey val="0"/>
          <c:showVal val="0"/>
          <c:showCatName val="0"/>
          <c:showSerName val="0"/>
          <c:showPercent val="0"/>
          <c:showBubbleSize val="0"/>
        </c:dLbls>
        <c:axId val="1071030304"/>
        <c:axId val="1284370512"/>
      </c:scatterChart>
      <c:scatterChart>
        <c:scatterStyle val="lineMarker"/>
        <c:varyColors val="0"/>
        <c:ser>
          <c:idx val="1"/>
          <c:order val="1"/>
          <c:tx>
            <c:strRef>
              <c:f>Probability_Scale_Data_HIDE!$M$25:$M$26</c:f>
              <c:strCache>
                <c:ptCount val="2"/>
                <c:pt idx="0">
                  <c:v>Net to </c:v>
                </c:pt>
                <c:pt idx="1">
                  <c:v>Gross</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Probability_Scale_Data_HIDE!$M$27:$M$28</c:f>
              <c:numCache>
                <c:formatCode>"P10: "General</c:formatCode>
                <c:ptCount val="2"/>
                <c:pt idx="0" formatCode="&quot;P90: &quot;0.000">
                  <c:v>0.57999999999999996</c:v>
                </c:pt>
                <c:pt idx="1">
                  <c:v>0.62</c:v>
                </c:pt>
              </c:numCache>
            </c:numRef>
          </c:xVal>
          <c:yVal>
            <c:numRef>
              <c:f>Probability_Scale_Data_HIDE!$I$27:$I$28</c:f>
              <c:numCache>
                <c:formatCode>General</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F53C-4BE5-AC42-3B4731818738}"/>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Probability_Scale_Data_HIDE!$M$34:$M$36</c:f>
              <c:numCache>
                <c:formatCode>"P50: "General</c:formatCode>
                <c:ptCount val="3"/>
                <c:pt idx="0" formatCode="&quot;P1: &quot;General">
                  <c:v>0.63700000000000001</c:v>
                </c:pt>
                <c:pt idx="1">
                  <c:v>0.6</c:v>
                </c:pt>
                <c:pt idx="2" formatCode="&quot;P99: &quot;General">
                  <c:v>0.56399999999999995</c:v>
                </c:pt>
              </c:numCache>
            </c:numRef>
          </c:xVal>
          <c:yVal>
            <c:numRef>
              <c:f>Probability_Scale_Data_HIDE!$I$34:$I$36</c:f>
              <c:numCache>
                <c:formatCode>General</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F53C-4BE5-AC42-3B4731818738}"/>
            </c:ext>
          </c:extLst>
        </c:ser>
        <c:dLbls>
          <c:showLegendKey val="0"/>
          <c:showVal val="0"/>
          <c:showCatName val="0"/>
          <c:showSerName val="0"/>
          <c:showPercent val="0"/>
          <c:showBubbleSize val="0"/>
        </c:dLbls>
        <c:axId val="1284371632"/>
        <c:axId val="1284371072"/>
      </c:scatterChart>
      <c:valAx>
        <c:axId val="1071030304"/>
        <c:scaling>
          <c:orientation val="minMax"/>
          <c:max val="10000"/>
        </c:scaling>
        <c:delete val="0"/>
        <c:axPos val="t"/>
        <c:title>
          <c:tx>
            <c:rich>
              <a:bodyPr/>
              <a:lstStyle/>
              <a:p>
                <a:pPr>
                  <a:defRPr sz="1000"/>
                </a:pPr>
                <a:r>
                  <a:rPr lang="es-BO" sz="1000"/>
                  <a:t>Net to Gross, decimal</a:t>
                </a:r>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1284370512"/>
        <c:crossesAt val="2.5"/>
        <c:crossBetween val="midCat"/>
      </c:valAx>
      <c:valAx>
        <c:axId val="1284370512"/>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General" sourceLinked="1"/>
        <c:majorTickMark val="none"/>
        <c:minorTickMark val="none"/>
        <c:tickLblPos val="none"/>
        <c:spPr>
          <a:ln>
            <a:solidFill>
              <a:schemeClr val="tx1"/>
            </a:solidFill>
          </a:ln>
        </c:spPr>
        <c:crossAx val="1071030304"/>
        <c:crosses val="autoZero"/>
        <c:crossBetween val="midCat"/>
      </c:valAx>
      <c:valAx>
        <c:axId val="1284371072"/>
        <c:scaling>
          <c:orientation val="maxMin"/>
          <c:max val="2.5"/>
          <c:min val="-2.5"/>
        </c:scaling>
        <c:delete val="0"/>
        <c:axPos val="r"/>
        <c:numFmt formatCode="General" sourceLinked="1"/>
        <c:majorTickMark val="none"/>
        <c:minorTickMark val="none"/>
        <c:tickLblPos val="none"/>
        <c:spPr>
          <a:ln>
            <a:solidFill>
              <a:schemeClr val="tx1"/>
            </a:solidFill>
          </a:ln>
        </c:spPr>
        <c:crossAx val="1284371632"/>
        <c:crosses val="max"/>
        <c:crossBetween val="midCat"/>
      </c:valAx>
      <c:valAx>
        <c:axId val="1284371632"/>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1284371072"/>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8"/>
    </mc:Choice>
    <mc:Fallback>
      <c:style val="38"/>
    </mc:Fallback>
  </mc:AlternateContent>
  <c:chart>
    <c:autoTitleDeleted val="0"/>
    <c:plotArea>
      <c:layout>
        <c:manualLayout>
          <c:layoutTarget val="inner"/>
          <c:xMode val="edge"/>
          <c:yMode val="edge"/>
          <c:x val="0.11420413569799104"/>
          <c:y val="0.10019750656167978"/>
          <c:w val="0.83955110751342998"/>
          <c:h val="0.71674462914357928"/>
        </c:manualLayout>
      </c:layout>
      <c:areaChart>
        <c:grouping val="standard"/>
        <c:varyColors val="0"/>
        <c:ser>
          <c:idx val="0"/>
          <c:order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f>Input_Data!$Y$90:$AD$90</c:f>
              <c:numCache>
                <c:formatCode>0.0</c:formatCode>
                <c:ptCount val="6"/>
                <c:pt idx="0">
                  <c:v>43</c:v>
                </c:pt>
                <c:pt idx="1">
                  <c:v>45</c:v>
                </c:pt>
                <c:pt idx="2">
                  <c:v>45</c:v>
                </c:pt>
                <c:pt idx="3">
                  <c:v>55.000000000000007</c:v>
                </c:pt>
                <c:pt idx="4">
                  <c:v>55.000000000000007</c:v>
                </c:pt>
                <c:pt idx="5">
                  <c:v>57.000000000000007</c:v>
                </c:pt>
              </c:numCache>
            </c:numRef>
          </c:cat>
          <c:val>
            <c:numRef>
              <c:f>Input_Data!$Y$89:$AD$89</c:f>
              <c:numCache>
                <c:formatCode>General</c:formatCode>
                <c:ptCount val="6"/>
                <c:pt idx="0">
                  <c:v>0</c:v>
                </c:pt>
                <c:pt idx="1">
                  <c:v>0</c:v>
                </c:pt>
                <c:pt idx="2">
                  <c:v>9.9999999999999922E-2</c:v>
                </c:pt>
                <c:pt idx="3">
                  <c:v>9.9999999999999922E-2</c:v>
                </c:pt>
                <c:pt idx="4">
                  <c:v>0</c:v>
                </c:pt>
                <c:pt idx="5">
                  <c:v>0</c:v>
                </c:pt>
              </c:numCache>
            </c:numRef>
          </c:val>
        </c:ser>
        <c:dLbls>
          <c:showLegendKey val="0"/>
          <c:showVal val="0"/>
          <c:showCatName val="0"/>
          <c:showSerName val="0"/>
          <c:showPercent val="0"/>
          <c:showBubbleSize val="0"/>
        </c:dLbls>
        <c:axId val="1284433568"/>
        <c:axId val="1284434128"/>
      </c:areaChart>
      <c:lineChart>
        <c:grouping val="standard"/>
        <c:varyColors val="0"/>
        <c:ser>
          <c:idx val="1"/>
          <c:order val="1"/>
          <c:tx>
            <c:v>2</c:v>
          </c:tx>
          <c:spPr>
            <a:ln>
              <a:noFill/>
            </a:ln>
          </c:spPr>
          <c:marker>
            <c:symbol val="none"/>
          </c:marker>
          <c:dPt>
            <c:idx val="2"/>
            <c:marker>
              <c:symbol val="circle"/>
              <c:size val="5"/>
              <c:spPr>
                <a:solidFill>
                  <a:schemeClr val="tx1"/>
                </a:solidFill>
                <a:ln>
                  <a:noFill/>
                </a:ln>
              </c:spPr>
            </c:marker>
            <c:bubble3D val="0"/>
          </c:dPt>
          <c:dPt>
            <c:idx val="3"/>
            <c:marker>
              <c:symbol val="circle"/>
              <c:size val="5"/>
              <c:spPr>
                <a:solidFill>
                  <a:schemeClr val="tx1"/>
                </a:solidFill>
                <a:ln>
                  <a:noFill/>
                </a:ln>
              </c:spPr>
            </c:marker>
            <c:bubble3D val="0"/>
          </c:dPt>
          <c:dLbls>
            <c:dLbl>
              <c:idx val="0"/>
              <c:delete val="1"/>
              <c:extLst>
                <c:ext xmlns:c15="http://schemas.microsoft.com/office/drawing/2012/chart" uri="{CE6537A1-D6FC-4f65-9D91-7224C49458BB}"/>
              </c:extLst>
            </c:dLbl>
            <c:dLbl>
              <c:idx val="1"/>
              <c:delete val="1"/>
              <c:extLst>
                <c:ext xmlns:c15="http://schemas.microsoft.com/office/drawing/2012/chart" uri="{CE6537A1-D6FC-4f65-9D91-7224C49458BB}"/>
              </c:extLst>
            </c:dLbl>
            <c:dLbl>
              <c:idx val="4"/>
              <c:delete val="1"/>
              <c:extLst>
                <c:ext xmlns:c15="http://schemas.microsoft.com/office/drawing/2012/chart" uri="{CE6537A1-D6FC-4f65-9D91-7224C49458BB}"/>
              </c:extLst>
            </c:dLbl>
            <c:dLbl>
              <c:idx val="5"/>
              <c:delete val="1"/>
              <c:extLst>
                <c:ext xmlns:c15="http://schemas.microsoft.com/office/drawing/2012/chart" uri="{CE6537A1-D6FC-4f65-9D91-7224C49458BB}"/>
              </c:extLst>
            </c:dLbl>
            <c:numFmt formatCode="#,##0.0" sourceLinked="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s-BO"/>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val>
            <c:numRef>
              <c:f>Input_Data!$Y$89:$AD$89</c:f>
              <c:numCache>
                <c:formatCode>General</c:formatCode>
                <c:ptCount val="6"/>
                <c:pt idx="0">
                  <c:v>0</c:v>
                </c:pt>
                <c:pt idx="1">
                  <c:v>0</c:v>
                </c:pt>
                <c:pt idx="2">
                  <c:v>9.9999999999999922E-2</c:v>
                </c:pt>
                <c:pt idx="3">
                  <c:v>9.9999999999999922E-2</c:v>
                </c:pt>
                <c:pt idx="4">
                  <c:v>0</c:v>
                </c:pt>
                <c:pt idx="5">
                  <c:v>0</c:v>
                </c:pt>
              </c:numCache>
            </c:numRef>
          </c:val>
          <c:smooth val="0"/>
        </c:ser>
        <c:dLbls>
          <c:showLegendKey val="0"/>
          <c:showVal val="0"/>
          <c:showCatName val="0"/>
          <c:showSerName val="0"/>
          <c:showPercent val="0"/>
          <c:showBubbleSize val="0"/>
        </c:dLbls>
        <c:marker val="1"/>
        <c:smooth val="0"/>
        <c:axId val="1284433568"/>
        <c:axId val="1284434128"/>
      </c:lineChart>
      <c:dateAx>
        <c:axId val="1284433568"/>
        <c:scaling>
          <c:orientation val="minMax"/>
        </c:scaling>
        <c:delete val="0"/>
        <c:axPos val="b"/>
        <c:title>
          <c:tx>
            <c:rich>
              <a:bodyPr/>
              <a:lstStyle/>
              <a:p>
                <a:pPr>
                  <a:defRPr/>
                </a:pPr>
                <a:r>
                  <a:rPr lang="es-BO"/>
                  <a:t>Oil Recovery Factor, %</a:t>
                </a:r>
              </a:p>
            </c:rich>
          </c:tx>
          <c:layout>
            <c:manualLayout>
              <c:xMode val="edge"/>
              <c:yMode val="edge"/>
              <c:x val="0.35692563019786461"/>
              <c:y val="0.90685793963254591"/>
            </c:manualLayout>
          </c:layout>
          <c:overlay val="0"/>
        </c:title>
        <c:numFmt formatCode="General" sourceLinked="0"/>
        <c:majorTickMark val="out"/>
        <c:minorTickMark val="none"/>
        <c:tickLblPos val="nextTo"/>
        <c:txPr>
          <a:bodyPr/>
          <a:lstStyle/>
          <a:p>
            <a:pPr>
              <a:defRPr sz="900"/>
            </a:pPr>
            <a:endParaRPr lang="es-BO"/>
          </a:p>
        </c:txPr>
        <c:crossAx val="1284434128"/>
        <c:crosses val="autoZero"/>
        <c:auto val="0"/>
        <c:lblOffset val="100"/>
        <c:baseTimeUnit val="days"/>
        <c:majorUnit val="2"/>
        <c:majorTimeUnit val="days"/>
      </c:dateAx>
      <c:valAx>
        <c:axId val="1284434128"/>
        <c:scaling>
          <c:orientation val="minMax"/>
        </c:scaling>
        <c:delete val="0"/>
        <c:axPos val="l"/>
        <c:title>
          <c:tx>
            <c:rich>
              <a:bodyPr rot="0" vert="horz"/>
              <a:lstStyle/>
              <a:p>
                <a:pPr>
                  <a:defRPr/>
                </a:pPr>
                <a:r>
                  <a:rPr lang="es-BO"/>
                  <a:t>f(x)</a:t>
                </a:r>
              </a:p>
            </c:rich>
          </c:tx>
          <c:layout>
            <c:manualLayout>
              <c:xMode val="edge"/>
              <c:yMode val="edge"/>
              <c:x val="6.5573770491803282E-2"/>
              <c:y val="1.02260498687664E-2"/>
            </c:manualLayout>
          </c:layout>
          <c:overlay val="0"/>
        </c:title>
        <c:numFmt formatCode="#,##0.000" sourceLinked="0"/>
        <c:majorTickMark val="out"/>
        <c:minorTickMark val="none"/>
        <c:tickLblPos val="nextTo"/>
        <c:txPr>
          <a:bodyPr/>
          <a:lstStyle/>
          <a:p>
            <a:pPr>
              <a:defRPr sz="900"/>
            </a:pPr>
            <a:endParaRPr lang="es-BO"/>
          </a:p>
        </c:txPr>
        <c:crossAx val="1284433568"/>
        <c:crosses val="autoZero"/>
        <c:crossBetween val="between"/>
      </c:valAx>
      <c:spPr>
        <a:noFill/>
      </c:spPr>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Probability_Scale_Data_HIDE!$V$30</c:f>
              <c:strCache>
                <c:ptCount val="1"/>
                <c:pt idx="0">
                  <c:v>Net to Gross</c:v>
                </c:pt>
              </c:strCache>
            </c:strRef>
          </c:tx>
          <c:spPr>
            <a:ln w="9525" cap="rnd">
              <a:solidFill>
                <a:schemeClr val="tx1"/>
              </a:solidFill>
              <a:round/>
            </a:ln>
            <a:effectLst/>
          </c:spPr>
          <c:marker>
            <c:symbol val="circle"/>
            <c:size val="5"/>
            <c:spPr>
              <a:solidFill>
                <a:schemeClr val="accent4">
                  <a:lumMod val="75000"/>
                </a:schemeClr>
              </a:solidFill>
              <a:ln w="9525">
                <a:solidFill>
                  <a:schemeClr val="tx1"/>
                </a:solidFill>
              </a:ln>
              <a:effectLst/>
            </c:spPr>
          </c:marker>
          <c:xVal>
            <c:numRef>
              <c:f>Probability_Scale_Data_HIDE!$V$32:$V$76</c:f>
              <c:numCache>
                <c:formatCode>0.00;\-0.00;"--"</c:formatCode>
                <c:ptCount val="45"/>
                <c:pt idx="0">
                  <c:v>51.399999999999991</c:v>
                </c:pt>
                <c:pt idx="1">
                  <c:v>51.784444444444439</c:v>
                </c:pt>
                <c:pt idx="2">
                  <c:v>52.168888888888887</c:v>
                </c:pt>
                <c:pt idx="3">
                  <c:v>52.553333333333335</c:v>
                </c:pt>
                <c:pt idx="4">
                  <c:v>52.937777777777782</c:v>
                </c:pt>
                <c:pt idx="5">
                  <c:v>53.32222222222223</c:v>
                </c:pt>
                <c:pt idx="6">
                  <c:v>53.706666666666678</c:v>
                </c:pt>
                <c:pt idx="7">
                  <c:v>54.091111111111125</c:v>
                </c:pt>
                <c:pt idx="8">
                  <c:v>54.475555555555573</c:v>
                </c:pt>
                <c:pt idx="9">
                  <c:v>54.860000000000021</c:v>
                </c:pt>
                <c:pt idx="10">
                  <c:v>55.244444444444468</c:v>
                </c:pt>
                <c:pt idx="11">
                  <c:v>55.628888888888916</c:v>
                </c:pt>
                <c:pt idx="12">
                  <c:v>56.013333333333364</c:v>
                </c:pt>
                <c:pt idx="13">
                  <c:v>56.397777777777812</c:v>
                </c:pt>
                <c:pt idx="14">
                  <c:v>56.782222222222259</c:v>
                </c:pt>
                <c:pt idx="15">
                  <c:v>57.166666666666707</c:v>
                </c:pt>
                <c:pt idx="16">
                  <c:v>57.551111111111155</c:v>
                </c:pt>
                <c:pt idx="17">
                  <c:v>57.935555555555602</c:v>
                </c:pt>
                <c:pt idx="18">
                  <c:v>58.32000000000005</c:v>
                </c:pt>
                <c:pt idx="19">
                  <c:v>58.704444444444498</c:v>
                </c:pt>
                <c:pt idx="20">
                  <c:v>59.088888888888945</c:v>
                </c:pt>
                <c:pt idx="21">
                  <c:v>59.473333333333393</c:v>
                </c:pt>
                <c:pt idx="22">
                  <c:v>59.857777777777841</c:v>
                </c:pt>
                <c:pt idx="23">
                  <c:v>60.242222222222289</c:v>
                </c:pt>
                <c:pt idx="24">
                  <c:v>60.626666666666736</c:v>
                </c:pt>
                <c:pt idx="25">
                  <c:v>61.011111111111184</c:v>
                </c:pt>
                <c:pt idx="26">
                  <c:v>61.395555555555632</c:v>
                </c:pt>
                <c:pt idx="27">
                  <c:v>61.780000000000079</c:v>
                </c:pt>
                <c:pt idx="28">
                  <c:v>62.164444444444527</c:v>
                </c:pt>
                <c:pt idx="29">
                  <c:v>62.548888888888975</c:v>
                </c:pt>
                <c:pt idx="30">
                  <c:v>62.933333333333422</c:v>
                </c:pt>
                <c:pt idx="31">
                  <c:v>63.31777777777787</c:v>
                </c:pt>
                <c:pt idx="32">
                  <c:v>63.702222222222318</c:v>
                </c:pt>
                <c:pt idx="33">
                  <c:v>64.086666666666758</c:v>
                </c:pt>
                <c:pt idx="34">
                  <c:v>64.471111111111199</c:v>
                </c:pt>
                <c:pt idx="35">
                  <c:v>64.85555555555564</c:v>
                </c:pt>
                <c:pt idx="36">
                  <c:v>65.24000000000008</c:v>
                </c:pt>
                <c:pt idx="37">
                  <c:v>65.624444444444521</c:v>
                </c:pt>
                <c:pt idx="38">
                  <c:v>66.008888888888961</c:v>
                </c:pt>
                <c:pt idx="39">
                  <c:v>66.393333333333402</c:v>
                </c:pt>
                <c:pt idx="40">
                  <c:v>66.777777777777843</c:v>
                </c:pt>
                <c:pt idx="41">
                  <c:v>67.162222222222283</c:v>
                </c:pt>
                <c:pt idx="42">
                  <c:v>67.546666666666724</c:v>
                </c:pt>
                <c:pt idx="43">
                  <c:v>67.931111111111164</c:v>
                </c:pt>
                <c:pt idx="44">
                  <c:v>68.315555555555605</c:v>
                </c:pt>
              </c:numCache>
            </c:numRef>
          </c:xVal>
          <c:yVal>
            <c:numRef>
              <c:f>Probability_Scale_Data_HIDE!$W$32:$W$76</c:f>
              <c:numCache>
                <c:formatCode>#,##0.0000000;\-0.0000000;"--"</c:formatCode>
                <c:ptCount val="45"/>
                <c:pt idx="0">
                  <c:v>7.1318331049580614E-9</c:v>
                </c:pt>
                <c:pt idx="1">
                  <c:v>3.7067737820228547E-8</c:v>
                </c:pt>
                <c:pt idx="2">
                  <c:v>1.7549790817205781E-7</c:v>
                </c:pt>
                <c:pt idx="3">
                  <c:v>7.583705160267655E-7</c:v>
                </c:pt>
                <c:pt idx="4">
                  <c:v>2.9967800287417991E-6</c:v>
                </c:pt>
                <c:pt idx="5">
                  <c:v>1.0849278514427791E-5</c:v>
                </c:pt>
                <c:pt idx="6">
                  <c:v>3.6050151646879796E-5</c:v>
                </c:pt>
                <c:pt idx="7">
                  <c:v>1.101389602817865E-4</c:v>
                </c:pt>
                <c:pt idx="8">
                  <c:v>3.0992045658530102E-4</c:v>
                </c:pt>
                <c:pt idx="9">
                  <c:v>8.0456965464197224E-4</c:v>
                </c:pt>
                <c:pt idx="10">
                  <c:v>1.9301520049548363E-3</c:v>
                </c:pt>
                <c:pt idx="11">
                  <c:v>4.2857449061772315E-3</c:v>
                </c:pt>
                <c:pt idx="12">
                  <c:v>8.8215167308352514E-3</c:v>
                </c:pt>
                <c:pt idx="13">
                  <c:v>1.6857795894482892E-2</c:v>
                </c:pt>
                <c:pt idx="14">
                  <c:v>2.995305422812344E-2</c:v>
                </c:pt>
                <c:pt idx="15">
                  <c:v>4.9555366368986081E-2</c:v>
                </c:pt>
                <c:pt idx="16">
                  <c:v>7.6447049076390258E-2</c:v>
                </c:pt>
                <c:pt idx="17">
                  <c:v>0.11011528563589744</c:v>
                </c:pt>
                <c:pt idx="18">
                  <c:v>0.1482973438786096</c:v>
                </c:pt>
                <c:pt idx="19">
                  <c:v>0.18697610509069335</c:v>
                </c:pt>
                <c:pt idx="20">
                  <c:v>0.22098377517670786</c:v>
                </c:pt>
                <c:pt idx="21">
                  <c:v>0.24513067207148531</c:v>
                </c:pt>
                <c:pt idx="22">
                  <c:v>0.25552100765355101</c:v>
                </c:pt>
                <c:pt idx="23">
                  <c:v>0.25058991142159942</c:v>
                </c:pt>
                <c:pt idx="24">
                  <c:v>0.23147968392473561</c:v>
                </c:pt>
                <c:pt idx="25">
                  <c:v>0.20163556916024647</c:v>
                </c:pt>
                <c:pt idx="26">
                  <c:v>0.16580883892544948</c:v>
                </c:pt>
                <c:pt idx="27">
                  <c:v>0.12885603476664872</c:v>
                </c:pt>
                <c:pt idx="28">
                  <c:v>9.4736639860519126E-2</c:v>
                </c:pt>
                <c:pt idx="29">
                  <c:v>6.5962406512210955E-2</c:v>
                </c:pt>
                <c:pt idx="30">
                  <c:v>4.3539091362910155E-2</c:v>
                </c:pt>
                <c:pt idx="31">
                  <c:v>2.7270669763992589E-2</c:v>
                </c:pt>
                <c:pt idx="32">
                  <c:v>1.6224281530218602E-2</c:v>
                </c:pt>
                <c:pt idx="33">
                  <c:v>9.1769574880719469E-3</c:v>
                </c:pt>
                <c:pt idx="34">
                  <c:v>4.9396575642952174E-3</c:v>
                </c:pt>
                <c:pt idx="35">
                  <c:v>2.5325168255354441E-3</c:v>
                </c:pt>
                <c:pt idx="36">
                  <c:v>1.23779617962612E-3</c:v>
                </c:pt>
                <c:pt idx="37">
                  <c:v>5.7724852259446807E-4</c:v>
                </c:pt>
                <c:pt idx="38">
                  <c:v>2.5707562001997005E-4</c:v>
                </c:pt>
                <c:pt idx="39">
                  <c:v>1.0942155934118644E-4</c:v>
                </c:pt>
                <c:pt idx="40">
                  <c:v>4.4549284886073929E-5</c:v>
                </c:pt>
                <c:pt idx="41">
                  <c:v>1.7362761458631386E-5</c:v>
                </c:pt>
                <c:pt idx="42">
                  <c:v>6.4829725666665542E-6</c:v>
                </c:pt>
                <c:pt idx="43">
                  <c:v>2.3207955701407173E-6</c:v>
                </c:pt>
                <c:pt idx="44">
                  <c:v>7.9713151578643328E-7</c:v>
                </c:pt>
              </c:numCache>
            </c:numRef>
          </c:yVal>
          <c:smooth val="0"/>
        </c:ser>
        <c:ser>
          <c:idx val="1"/>
          <c:order val="1"/>
          <c:tx>
            <c:strRef>
              <c:f>Probability_Scale_Data_HIDE!$W$19</c:f>
              <c:strCache>
                <c:ptCount val="1"/>
                <c:pt idx="0">
                  <c:v>Pmean: 59.97 %</c:v>
                </c:pt>
              </c:strCache>
            </c:strRef>
          </c:tx>
          <c:spPr>
            <a:ln w="12700">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txPr>
              <a:bodyPr/>
              <a:lstStyle/>
              <a:p>
                <a:pPr>
                  <a:defRPr sz="800"/>
                </a:pPr>
                <a:endParaRPr lang="es-B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Probability_Scale_Data_HIDE!$W$21:$W$22</c:f>
              <c:numCache>
                <c:formatCode>0.000;\-0.000;"--"</c:formatCode>
                <c:ptCount val="2"/>
                <c:pt idx="0">
                  <c:v>59.97</c:v>
                </c:pt>
                <c:pt idx="1">
                  <c:v>59.97</c:v>
                </c:pt>
              </c:numCache>
            </c:numRef>
          </c:xVal>
          <c:yVal>
            <c:numRef>
              <c:f>Probability_Scale_Data_HIDE!$W$24:$W$25</c:f>
              <c:numCache>
                <c:formatCode>#,##0.0000000;\-0.0000000;"--"</c:formatCode>
                <c:ptCount val="2"/>
                <c:pt idx="0" formatCode="#,##0.00;\-0.00;&quot;--&quot;">
                  <c:v>0</c:v>
                </c:pt>
                <c:pt idx="1">
                  <c:v>0.26552100765355102</c:v>
                </c:pt>
              </c:numCache>
            </c:numRef>
          </c:yVal>
          <c:smooth val="0"/>
        </c:ser>
        <c:dLbls>
          <c:showLegendKey val="0"/>
          <c:showVal val="0"/>
          <c:showCatName val="0"/>
          <c:showSerName val="0"/>
          <c:showPercent val="0"/>
          <c:showBubbleSize val="0"/>
        </c:dLbls>
        <c:axId val="979397664"/>
        <c:axId val="979398224"/>
      </c:scatterChart>
      <c:valAx>
        <c:axId val="979397664"/>
        <c:scaling>
          <c:orientation val="minMax"/>
        </c:scaling>
        <c:delete val="0"/>
        <c:axPos val="b"/>
        <c:title>
          <c:tx>
            <c:rich>
              <a:bodyPr/>
              <a:lstStyle/>
              <a:p>
                <a:pPr>
                  <a:defRPr/>
                </a:pPr>
                <a:r>
                  <a:rPr lang="es-BO"/>
                  <a:t>Net to Gross,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79398224"/>
        <c:crosses val="autoZero"/>
        <c:crossBetween val="midCat"/>
      </c:valAx>
      <c:valAx>
        <c:axId val="979398224"/>
        <c:scaling>
          <c:orientation val="minMax"/>
        </c:scaling>
        <c:delete val="0"/>
        <c:axPos val="l"/>
        <c:title>
          <c:tx>
            <c:rich>
              <a:bodyPr rot="0" vert="horz"/>
              <a:lstStyle/>
              <a:p>
                <a:pPr>
                  <a:defRPr/>
                </a:pPr>
                <a:r>
                  <a:rPr lang="es-BO"/>
                  <a:t>f(x)</a:t>
                </a:r>
              </a:p>
            </c:rich>
          </c:tx>
          <c:layout>
            <c:manualLayout>
              <c:xMode val="edge"/>
              <c:yMode val="edge"/>
              <c:x val="8.7561759698070535E-2"/>
              <c:y val="2.2459040446031201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793976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Probability_Scale_Data_HIDE!$V$30</c:f>
              <c:strCache>
                <c:ptCount val="1"/>
                <c:pt idx="0">
                  <c:v>Net to Gross</c:v>
                </c:pt>
              </c:strCache>
            </c:strRef>
          </c:tx>
          <c:spPr>
            <a:ln w="9525" cap="rnd">
              <a:solidFill>
                <a:schemeClr val="tx1"/>
              </a:solidFill>
              <a:round/>
            </a:ln>
            <a:effectLst/>
          </c:spPr>
          <c:marker>
            <c:symbol val="circle"/>
            <c:size val="5"/>
            <c:spPr>
              <a:solidFill>
                <a:schemeClr val="accent4">
                  <a:lumMod val="75000"/>
                </a:schemeClr>
              </a:solidFill>
              <a:ln w="9525">
                <a:solidFill>
                  <a:schemeClr val="tx1"/>
                </a:solidFill>
              </a:ln>
              <a:effectLst/>
            </c:spPr>
          </c:marker>
          <c:xVal>
            <c:numRef>
              <c:f>Probability_Scale_Data_HIDE!$V$32:$V$76</c:f>
              <c:numCache>
                <c:formatCode>0.00;\-0.00;"--"</c:formatCode>
                <c:ptCount val="45"/>
                <c:pt idx="0">
                  <c:v>51.399999999999991</c:v>
                </c:pt>
                <c:pt idx="1">
                  <c:v>51.784444444444439</c:v>
                </c:pt>
                <c:pt idx="2">
                  <c:v>52.168888888888887</c:v>
                </c:pt>
                <c:pt idx="3">
                  <c:v>52.553333333333335</c:v>
                </c:pt>
                <c:pt idx="4">
                  <c:v>52.937777777777782</c:v>
                </c:pt>
                <c:pt idx="5">
                  <c:v>53.32222222222223</c:v>
                </c:pt>
                <c:pt idx="6">
                  <c:v>53.706666666666678</c:v>
                </c:pt>
                <c:pt idx="7">
                  <c:v>54.091111111111125</c:v>
                </c:pt>
                <c:pt idx="8">
                  <c:v>54.475555555555573</c:v>
                </c:pt>
                <c:pt idx="9">
                  <c:v>54.860000000000021</c:v>
                </c:pt>
                <c:pt idx="10">
                  <c:v>55.244444444444468</c:v>
                </c:pt>
                <c:pt idx="11">
                  <c:v>55.628888888888916</c:v>
                </c:pt>
                <c:pt idx="12">
                  <c:v>56.013333333333364</c:v>
                </c:pt>
                <c:pt idx="13">
                  <c:v>56.397777777777812</c:v>
                </c:pt>
                <c:pt idx="14">
                  <c:v>56.782222222222259</c:v>
                </c:pt>
                <c:pt idx="15">
                  <c:v>57.166666666666707</c:v>
                </c:pt>
                <c:pt idx="16">
                  <c:v>57.551111111111155</c:v>
                </c:pt>
                <c:pt idx="17">
                  <c:v>57.935555555555602</c:v>
                </c:pt>
                <c:pt idx="18">
                  <c:v>58.32000000000005</c:v>
                </c:pt>
                <c:pt idx="19">
                  <c:v>58.704444444444498</c:v>
                </c:pt>
                <c:pt idx="20">
                  <c:v>59.088888888888945</c:v>
                </c:pt>
                <c:pt idx="21">
                  <c:v>59.473333333333393</c:v>
                </c:pt>
                <c:pt idx="22">
                  <c:v>59.857777777777841</c:v>
                </c:pt>
                <c:pt idx="23">
                  <c:v>60.242222222222289</c:v>
                </c:pt>
                <c:pt idx="24">
                  <c:v>60.626666666666736</c:v>
                </c:pt>
                <c:pt idx="25">
                  <c:v>61.011111111111184</c:v>
                </c:pt>
                <c:pt idx="26">
                  <c:v>61.395555555555632</c:v>
                </c:pt>
                <c:pt idx="27">
                  <c:v>61.780000000000079</c:v>
                </c:pt>
                <c:pt idx="28">
                  <c:v>62.164444444444527</c:v>
                </c:pt>
                <c:pt idx="29">
                  <c:v>62.548888888888975</c:v>
                </c:pt>
                <c:pt idx="30">
                  <c:v>62.933333333333422</c:v>
                </c:pt>
                <c:pt idx="31">
                  <c:v>63.31777777777787</c:v>
                </c:pt>
                <c:pt idx="32">
                  <c:v>63.702222222222318</c:v>
                </c:pt>
                <c:pt idx="33">
                  <c:v>64.086666666666758</c:v>
                </c:pt>
                <c:pt idx="34">
                  <c:v>64.471111111111199</c:v>
                </c:pt>
                <c:pt idx="35">
                  <c:v>64.85555555555564</c:v>
                </c:pt>
                <c:pt idx="36">
                  <c:v>65.24000000000008</c:v>
                </c:pt>
                <c:pt idx="37">
                  <c:v>65.624444444444521</c:v>
                </c:pt>
                <c:pt idx="38">
                  <c:v>66.008888888888961</c:v>
                </c:pt>
                <c:pt idx="39">
                  <c:v>66.393333333333402</c:v>
                </c:pt>
                <c:pt idx="40">
                  <c:v>66.777777777777843</c:v>
                </c:pt>
                <c:pt idx="41">
                  <c:v>67.162222222222283</c:v>
                </c:pt>
                <c:pt idx="42">
                  <c:v>67.546666666666724</c:v>
                </c:pt>
                <c:pt idx="43">
                  <c:v>67.931111111111164</c:v>
                </c:pt>
                <c:pt idx="44">
                  <c:v>68.315555555555605</c:v>
                </c:pt>
              </c:numCache>
            </c:numRef>
          </c:xVal>
          <c:yVal>
            <c:numRef>
              <c:f>Probability_Scale_Data_HIDE!$X$32:$X$76</c:f>
              <c:numCache>
                <c:formatCode>#,##0.0000000;\-0.0000000;"--"</c:formatCode>
                <c:ptCount val="45"/>
                <c:pt idx="0">
                  <c:v>0.99999999843241771</c:v>
                </c:pt>
                <c:pt idx="1">
                  <c:v>0.99999999139699502</c:v>
                </c:pt>
                <c:pt idx="2">
                  <c:v>0.99999995691584143</c:v>
                </c:pt>
                <c:pt idx="3">
                  <c:v>0.9999998026884096</c:v>
                </c:pt>
                <c:pt idx="4">
                  <c:v>0.99999917194196086</c:v>
                </c:pt>
                <c:pt idx="5">
                  <c:v>0.99999680893547893</c:v>
                </c:pt>
                <c:pt idx="6">
                  <c:v>0.99998868484676995</c:v>
                </c:pt>
                <c:pt idx="7">
                  <c:v>0.99996300770757818</c:v>
                </c:pt>
                <c:pt idx="8">
                  <c:v>0.99988827272262204</c:v>
                </c:pt>
                <c:pt idx="9">
                  <c:v>0.99968762656201149</c:v>
                </c:pt>
                <c:pt idx="10">
                  <c:v>0.99918992002681462</c:v>
                </c:pt>
                <c:pt idx="11">
                  <c:v>0.99804746331066141</c:v>
                </c:pt>
                <c:pt idx="12">
                  <c:v>0.99561693144886776</c:v>
                </c:pt>
                <c:pt idx="13">
                  <c:v>0.99081724689728912</c:v>
                </c:pt>
                <c:pt idx="14">
                  <c:v>0.98200650467198813</c:v>
                </c:pt>
                <c:pt idx="15">
                  <c:v>0.96695001347690701</c:v>
                </c:pt>
                <c:pt idx="16">
                  <c:v>0.9429641966973602</c:v>
                </c:pt>
                <c:pt idx="17">
                  <c:v>0.90729461063829819</c:v>
                </c:pt>
                <c:pt idx="18">
                  <c:v>0.85771151544380797</c:v>
                </c:pt>
                <c:pt idx="19">
                  <c:v>0.79320157481491405</c:v>
                </c:pt>
                <c:pt idx="20">
                  <c:v>0.71454605757190792</c:v>
                </c:pt>
                <c:pt idx="21">
                  <c:v>0.6245589210607041</c:v>
                </c:pt>
                <c:pt idx="22">
                  <c:v>0.52784100062066575</c:v>
                </c:pt>
                <c:pt idx="23">
                  <c:v>0.43006705765507636</c:v>
                </c:pt>
                <c:pt idx="24">
                  <c:v>0.33699238700735767</c:v>
                </c:pt>
                <c:pt idx="25">
                  <c:v>0.25346611155635312</c:v>
                </c:pt>
                <c:pt idx="26">
                  <c:v>0.18272403497462064</c:v>
                </c:pt>
                <c:pt idx="27">
                  <c:v>0.12611776221774118</c:v>
                </c:pt>
                <c:pt idx="28">
                  <c:v>8.3278516783752088E-2</c:v>
                </c:pt>
                <c:pt idx="29">
                  <c:v>5.2584217084118534E-2</c:v>
                </c:pt>
                <c:pt idx="30">
                  <c:v>3.1741684109974466E-2</c:v>
                </c:pt>
                <c:pt idx="31">
                  <c:v>1.8315623601421915E-2</c:v>
                </c:pt>
                <c:pt idx="32">
                  <c:v>1.0103204909170049E-2</c:v>
                </c:pt>
                <c:pt idx="33">
                  <c:v>5.3287058940748588E-3</c:v>
                </c:pt>
                <c:pt idx="34">
                  <c:v>2.6880020083213108E-3</c:v>
                </c:pt>
                <c:pt idx="35">
                  <c:v>1.2972842311583799E-3</c:v>
                </c:pt>
                <c:pt idx="36">
                  <c:v>5.9926163045842529E-4</c:v>
                </c:pt>
                <c:pt idx="37">
                  <c:v>2.6507684577292689E-4</c:v>
                </c:pt>
                <c:pt idx="38">
                  <c:v>1.1233498302409828E-4</c:v>
                </c:pt>
                <c:pt idx="39">
                  <c:v>4.5632282809182634E-5</c:v>
                </c:pt>
                <c:pt idx="40">
                  <c:v>1.7777821564979313E-5</c:v>
                </c:pt>
                <c:pt idx="41">
                  <c:v>6.6462416636881017E-6</c:v>
                </c:pt>
                <c:pt idx="42">
                  <c:v>2.3856784575615464E-6</c:v>
                </c:pt>
                <c:pt idx="43">
                  <c:v>8.2268988343958682E-7</c:v>
                </c:pt>
                <c:pt idx="44">
                  <c:v>2.7271006819429289E-7</c:v>
                </c:pt>
              </c:numCache>
            </c:numRef>
          </c:yVal>
          <c:smooth val="0"/>
        </c:ser>
        <c:ser>
          <c:idx val="1"/>
          <c:order val="1"/>
          <c:tx>
            <c:strRef>
              <c:f>Probability_Scale_Data_HIDE!$W$19</c:f>
              <c:strCache>
                <c:ptCount val="1"/>
                <c:pt idx="0">
                  <c:v>Pmean: 59.97 %</c:v>
                </c:pt>
              </c:strCache>
            </c:strRef>
          </c:tx>
          <c:spPr>
            <a:ln w="12700">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txPr>
              <a:bodyPr/>
              <a:lstStyle/>
              <a:p>
                <a:pPr>
                  <a:defRPr sz="800"/>
                </a:pPr>
                <a:endParaRPr lang="es-BO"/>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Probability_Scale_Data_HIDE!$W$21:$W$22</c:f>
              <c:numCache>
                <c:formatCode>0.000;\-0.000;"--"</c:formatCode>
                <c:ptCount val="2"/>
                <c:pt idx="0">
                  <c:v>59.97</c:v>
                </c:pt>
                <c:pt idx="1">
                  <c:v>59.97</c:v>
                </c:pt>
              </c:numCache>
            </c:numRef>
          </c:xVal>
          <c:yVal>
            <c:numRef>
              <c:f>Probability_Scale_Data_HIDE!$W$26:$W$27</c:f>
              <c:numCache>
                <c:formatCode>#,##0.0000000;\-0.0000000;"--"</c:formatCode>
                <c:ptCount val="2"/>
                <c:pt idx="0" formatCode="#,##0.00;\-0.00;&quot;--&quot;">
                  <c:v>0</c:v>
                </c:pt>
                <c:pt idx="1">
                  <c:v>0.99999999843241771</c:v>
                </c:pt>
              </c:numCache>
            </c:numRef>
          </c:yVal>
          <c:smooth val="0"/>
        </c:ser>
        <c:dLbls>
          <c:showLegendKey val="0"/>
          <c:showVal val="0"/>
          <c:showCatName val="0"/>
          <c:showSerName val="0"/>
          <c:showPercent val="0"/>
          <c:showBubbleSize val="0"/>
        </c:dLbls>
        <c:axId val="979479584"/>
        <c:axId val="979480144"/>
      </c:scatterChart>
      <c:valAx>
        <c:axId val="979479584"/>
        <c:scaling>
          <c:orientation val="minMax"/>
          <c:max val="70"/>
          <c:min val="50"/>
        </c:scaling>
        <c:delete val="0"/>
        <c:axPos val="b"/>
        <c:title>
          <c:tx>
            <c:rich>
              <a:bodyPr/>
              <a:lstStyle/>
              <a:p>
                <a:pPr>
                  <a:defRPr/>
                </a:pPr>
                <a:r>
                  <a:rPr lang="es-BO"/>
                  <a:t>Net to Gross,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79480144"/>
        <c:crosses val="autoZero"/>
        <c:crossBetween val="midCat"/>
      </c:valAx>
      <c:valAx>
        <c:axId val="979480144"/>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79479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Probability_Scale_Data_HIDE!$V$30</c:f>
              <c:strCache>
                <c:ptCount val="1"/>
                <c:pt idx="0">
                  <c:v>Net to Gross</c:v>
                </c:pt>
              </c:strCache>
            </c:strRef>
          </c:tx>
          <c:spPr>
            <a:ln w="9525" cap="rnd">
              <a:solidFill>
                <a:srgbClr val="C00000"/>
              </a:solidFill>
              <a:round/>
            </a:ln>
            <a:effectLst/>
          </c:spPr>
          <c:marker>
            <c:symbol val="circle"/>
            <c:size val="5"/>
            <c:spPr>
              <a:solidFill>
                <a:srgbClr val="FFC000"/>
              </a:solidFill>
              <a:ln w="9525">
                <a:solidFill>
                  <a:schemeClr val="tx1"/>
                </a:solidFill>
              </a:ln>
              <a:effectLst/>
            </c:spPr>
          </c:marker>
          <c:xVal>
            <c:numRef>
              <c:f>Probability_Scale_Data_HIDE!$Y$32:$Y$76</c:f>
              <c:numCache>
                <c:formatCode>#,##0.00;\-0.00;"--"</c:formatCode>
                <c:ptCount val="45"/>
                <c:pt idx="0">
                  <c:v>3.5999999999999996</c:v>
                </c:pt>
                <c:pt idx="1">
                  <c:v>3.6866666666666665</c:v>
                </c:pt>
                <c:pt idx="2">
                  <c:v>3.7733333333333334</c:v>
                </c:pt>
                <c:pt idx="3">
                  <c:v>3.8600000000000003</c:v>
                </c:pt>
                <c:pt idx="4">
                  <c:v>3.9466666666666672</c:v>
                </c:pt>
                <c:pt idx="5">
                  <c:v>4.0333333333333341</c:v>
                </c:pt>
                <c:pt idx="6">
                  <c:v>4.120000000000001</c:v>
                </c:pt>
                <c:pt idx="7">
                  <c:v>4.2066666666666679</c:v>
                </c:pt>
                <c:pt idx="8">
                  <c:v>4.2933333333333348</c:v>
                </c:pt>
                <c:pt idx="9">
                  <c:v>4.3800000000000017</c:v>
                </c:pt>
                <c:pt idx="10">
                  <c:v>4.4666666666666686</c:v>
                </c:pt>
                <c:pt idx="11">
                  <c:v>4.5533333333333355</c:v>
                </c:pt>
                <c:pt idx="12">
                  <c:v>4.6400000000000023</c:v>
                </c:pt>
                <c:pt idx="13">
                  <c:v>4.7266666666666692</c:v>
                </c:pt>
                <c:pt idx="14">
                  <c:v>4.8133333333333361</c:v>
                </c:pt>
                <c:pt idx="15">
                  <c:v>4.900000000000003</c:v>
                </c:pt>
                <c:pt idx="16">
                  <c:v>4.9866666666666699</c:v>
                </c:pt>
                <c:pt idx="17">
                  <c:v>5.0733333333333368</c:v>
                </c:pt>
                <c:pt idx="18">
                  <c:v>5.1600000000000037</c:v>
                </c:pt>
                <c:pt idx="19">
                  <c:v>5.2466666666666706</c:v>
                </c:pt>
                <c:pt idx="20">
                  <c:v>5.3333333333333375</c:v>
                </c:pt>
                <c:pt idx="21">
                  <c:v>5.4200000000000044</c:v>
                </c:pt>
                <c:pt idx="22">
                  <c:v>5.5066666666666713</c:v>
                </c:pt>
                <c:pt idx="23">
                  <c:v>5.5933333333333382</c:v>
                </c:pt>
                <c:pt idx="24">
                  <c:v>5.680000000000005</c:v>
                </c:pt>
                <c:pt idx="25">
                  <c:v>5.7666666666666719</c:v>
                </c:pt>
                <c:pt idx="26">
                  <c:v>5.8533333333333388</c:v>
                </c:pt>
                <c:pt idx="27">
                  <c:v>5.9400000000000057</c:v>
                </c:pt>
                <c:pt idx="28">
                  <c:v>6.0266666666666726</c:v>
                </c:pt>
                <c:pt idx="29">
                  <c:v>6.1133333333333395</c:v>
                </c:pt>
                <c:pt idx="30">
                  <c:v>6.2000000000000064</c:v>
                </c:pt>
                <c:pt idx="31">
                  <c:v>6.2866666666666733</c:v>
                </c:pt>
                <c:pt idx="32">
                  <c:v>6.3733333333333402</c:v>
                </c:pt>
                <c:pt idx="33">
                  <c:v>6.4600000000000071</c:v>
                </c:pt>
                <c:pt idx="34">
                  <c:v>6.546666666666674</c:v>
                </c:pt>
                <c:pt idx="35">
                  <c:v>6.6333333333333409</c:v>
                </c:pt>
                <c:pt idx="36">
                  <c:v>6.7200000000000077</c:v>
                </c:pt>
                <c:pt idx="37">
                  <c:v>6.8066666666666746</c:v>
                </c:pt>
                <c:pt idx="38">
                  <c:v>6.8933333333333415</c:v>
                </c:pt>
                <c:pt idx="39">
                  <c:v>6.9800000000000084</c:v>
                </c:pt>
                <c:pt idx="40">
                  <c:v>7.0666666666666753</c:v>
                </c:pt>
                <c:pt idx="41">
                  <c:v>7.1533333333333422</c:v>
                </c:pt>
                <c:pt idx="42">
                  <c:v>7.2400000000000091</c:v>
                </c:pt>
                <c:pt idx="43">
                  <c:v>7.326666666666676</c:v>
                </c:pt>
                <c:pt idx="44">
                  <c:v>7.4133333333333429</c:v>
                </c:pt>
              </c:numCache>
            </c:numRef>
          </c:xVal>
          <c:yVal>
            <c:numRef>
              <c:f>Probability_Scale_Data_HIDE!$Z$32:$Z$76</c:f>
              <c:numCache>
                <c:formatCode>#,##0.0000000;\-0.0000000;"--"</c:formatCode>
                <c:ptCount val="45"/>
                <c:pt idx="0">
                  <c:v>4.3090713649785645E-8</c:v>
                </c:pt>
                <c:pt idx="1">
                  <c:v>2.8618025851658376E-7</c:v>
                </c:pt>
                <c:pt idx="2">
                  <c:v>1.632662733172964E-6</c:v>
                </c:pt>
                <c:pt idx="3">
                  <c:v>8.0761560265458875E-6</c:v>
                </c:pt>
                <c:pt idx="4">
                  <c:v>3.4938063131479804E-5</c:v>
                </c:pt>
                <c:pt idx="5">
                  <c:v>1.3323787470086157E-4</c:v>
                </c:pt>
                <c:pt idx="6">
                  <c:v>4.5121286372689626E-4</c:v>
                </c:pt>
                <c:pt idx="7">
                  <c:v>1.366204028423293E-3</c:v>
                </c:pt>
                <c:pt idx="8">
                  <c:v>3.7219619076284626E-3</c:v>
                </c:pt>
                <c:pt idx="9">
                  <c:v>9.1769438548315405E-3</c:v>
                </c:pt>
                <c:pt idx="10">
                  <c:v>2.0590366293268245E-2</c:v>
                </c:pt>
                <c:pt idx="11">
                  <c:v>4.2254964915696684E-2</c:v>
                </c:pt>
                <c:pt idx="12">
                  <c:v>7.9688996868218842E-2</c:v>
                </c:pt>
                <c:pt idx="13">
                  <c:v>0.13872314365342059</c:v>
                </c:pt>
                <c:pt idx="14">
                  <c:v>0.22383462347286365</c:v>
                </c:pt>
                <c:pt idx="15">
                  <c:v>0.33605941576197212</c:v>
                </c:pt>
                <c:pt idx="16">
                  <c:v>0.47118549527061099</c:v>
                </c:pt>
                <c:pt idx="17">
                  <c:v>0.61906108314980224</c:v>
                </c:pt>
                <c:pt idx="18">
                  <c:v>0.76459089149437653</c:v>
                </c:pt>
                <c:pt idx="19">
                  <c:v>0.8903964172306329</c:v>
                </c:pt>
                <c:pt idx="20">
                  <c:v>0.98044566887898532</c:v>
                </c:pt>
                <c:pt idx="21">
                  <c:v>1.023540083713538</c:v>
                </c:pt>
                <c:pt idx="22">
                  <c:v>1.0155844459084375</c:v>
                </c:pt>
                <c:pt idx="23">
                  <c:v>0.96002775034476728</c:v>
                </c:pt>
                <c:pt idx="24">
                  <c:v>0.86651708982865283</c:v>
                </c:pt>
                <c:pt idx="25">
                  <c:v>0.74836146479544852</c:v>
                </c:pt>
                <c:pt idx="26">
                  <c:v>0.61965778548966055</c:v>
                </c:pt>
                <c:pt idx="27">
                  <c:v>0.49285272586514639</c:v>
                </c:pt>
                <c:pt idx="28">
                  <c:v>0.3772090237785532</c:v>
                </c:pt>
                <c:pt idx="29">
                  <c:v>0.2782791911222966</c:v>
                </c:pt>
                <c:pt idx="30">
                  <c:v>0.19820245769702</c:v>
                </c:pt>
                <c:pt idx="31">
                  <c:v>0.13649825652763781</c:v>
                </c:pt>
                <c:pt idx="32">
                  <c:v>9.1025174828872096E-2</c:v>
                </c:pt>
                <c:pt idx="33">
                  <c:v>5.8858257823132532E-2</c:v>
                </c:pt>
                <c:pt idx="34">
                  <c:v>3.695135038929806E-2</c:v>
                </c:pt>
                <c:pt idx="35">
                  <c:v>2.2551116734174471E-2</c:v>
                </c:pt>
                <c:pt idx="36">
                  <c:v>1.3394678706836837E-2</c:v>
                </c:pt>
                <c:pt idx="37">
                  <c:v>7.7519356622849367E-3</c:v>
                </c:pt>
                <c:pt idx="38">
                  <c:v>4.3758817858964762E-3</c:v>
                </c:pt>
                <c:pt idx="39">
                  <c:v>2.4117967024130057E-3</c:v>
                </c:pt>
                <c:pt idx="40">
                  <c:v>1.2991433052949503E-3</c:v>
                </c:pt>
                <c:pt idx="41">
                  <c:v>6.8456832111871071E-4</c:v>
                </c:pt>
                <c:pt idx="42">
                  <c:v>3.5318617665721058E-4</c:v>
                </c:pt>
                <c:pt idx="43">
                  <c:v>1.7856001277053143E-4</c:v>
                </c:pt>
                <c:pt idx="44">
                  <c:v>8.8533654005981913E-5</c:v>
                </c:pt>
              </c:numCache>
            </c:numRef>
          </c:yVal>
          <c:smooth val="0"/>
        </c:ser>
        <c:ser>
          <c:idx val="1"/>
          <c:order val="1"/>
          <c:tx>
            <c:strRef>
              <c:f>Probability_Scale_Data_HIDE!$Z$19</c:f>
              <c:strCache>
                <c:ptCount val="1"/>
                <c:pt idx="0">
                  <c:v>Pmean: 5.48 %</c:v>
                </c:pt>
              </c:strCache>
            </c:strRef>
          </c:tx>
          <c:spPr>
            <a:ln w="12700">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txPr>
              <a:bodyPr/>
              <a:lstStyle/>
              <a:p>
                <a:pPr>
                  <a:defRPr sz="800"/>
                </a:pPr>
                <a:endParaRPr lang="es-BO"/>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Probability_Scale_Data_HIDE!$Z$21:$Z$22</c:f>
              <c:numCache>
                <c:formatCode>0.000;\-0.000;"--"</c:formatCode>
                <c:ptCount val="2"/>
                <c:pt idx="0">
                  <c:v>5.48</c:v>
                </c:pt>
                <c:pt idx="1">
                  <c:v>5.48</c:v>
                </c:pt>
              </c:numCache>
            </c:numRef>
          </c:xVal>
          <c:yVal>
            <c:numRef>
              <c:f>Probability_Scale_Data_HIDE!$Z$24:$Z$25</c:f>
              <c:numCache>
                <c:formatCode>#,##0.0000000;\-0.0000000;"--"</c:formatCode>
                <c:ptCount val="2"/>
                <c:pt idx="0" formatCode="#,##0.00;\-0.00;&quot;--&quot;">
                  <c:v>0</c:v>
                </c:pt>
                <c:pt idx="1">
                  <c:v>1.033540083713538</c:v>
                </c:pt>
              </c:numCache>
            </c:numRef>
          </c:yVal>
          <c:smooth val="0"/>
        </c:ser>
        <c:dLbls>
          <c:showLegendKey val="0"/>
          <c:showVal val="0"/>
          <c:showCatName val="0"/>
          <c:showSerName val="0"/>
          <c:showPercent val="0"/>
          <c:showBubbleSize val="0"/>
        </c:dLbls>
        <c:axId val="979510304"/>
        <c:axId val="979510864"/>
      </c:scatterChart>
      <c:valAx>
        <c:axId val="979510304"/>
        <c:scaling>
          <c:orientation val="minMax"/>
        </c:scaling>
        <c:delete val="0"/>
        <c:axPos val="b"/>
        <c:title>
          <c:tx>
            <c:rich>
              <a:bodyPr/>
              <a:lstStyle/>
              <a:p>
                <a:pPr>
                  <a:defRPr/>
                </a:pPr>
                <a:r>
                  <a:rPr lang="es-BO"/>
                  <a:t>Porosity,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79510864"/>
        <c:crosses val="autoZero"/>
        <c:crossBetween val="midCat"/>
      </c:valAx>
      <c:valAx>
        <c:axId val="979510864"/>
        <c:scaling>
          <c:orientation val="minMax"/>
        </c:scaling>
        <c:delete val="0"/>
        <c:axPos val="l"/>
        <c:title>
          <c:tx>
            <c:rich>
              <a:bodyPr rot="0" vert="horz"/>
              <a:lstStyle/>
              <a:p>
                <a:pPr>
                  <a:defRPr/>
                </a:pPr>
                <a:r>
                  <a:rPr lang="es-BO"/>
                  <a:t>f(x)</a:t>
                </a:r>
              </a:p>
            </c:rich>
          </c:tx>
          <c:layout>
            <c:manualLayout>
              <c:xMode val="edge"/>
              <c:yMode val="edge"/>
              <c:x val="7.5071517699631787E-2"/>
              <c:y val="2.2458911878917343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79510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Probability_Scale_Data_HIDE!$V$30</c:f>
              <c:strCache>
                <c:ptCount val="1"/>
                <c:pt idx="0">
                  <c:v>Net to Gross</c:v>
                </c:pt>
              </c:strCache>
            </c:strRef>
          </c:tx>
          <c:spPr>
            <a:ln w="9525" cap="rnd">
              <a:solidFill>
                <a:srgbClr val="C00000"/>
              </a:solidFill>
              <a:round/>
            </a:ln>
            <a:effectLst/>
          </c:spPr>
          <c:marker>
            <c:symbol val="circle"/>
            <c:size val="5"/>
            <c:spPr>
              <a:solidFill>
                <a:srgbClr val="FFC000"/>
              </a:solidFill>
              <a:ln w="9525">
                <a:solidFill>
                  <a:schemeClr val="tx1"/>
                </a:solidFill>
              </a:ln>
              <a:effectLst/>
            </c:spPr>
          </c:marker>
          <c:xVal>
            <c:numRef>
              <c:f>Probability_Scale_Data_HIDE!$Y$32:$Y$76</c:f>
              <c:numCache>
                <c:formatCode>#,##0.00;\-0.00;"--"</c:formatCode>
                <c:ptCount val="45"/>
                <c:pt idx="0">
                  <c:v>3.5999999999999996</c:v>
                </c:pt>
                <c:pt idx="1">
                  <c:v>3.6866666666666665</c:v>
                </c:pt>
                <c:pt idx="2">
                  <c:v>3.7733333333333334</c:v>
                </c:pt>
                <c:pt idx="3">
                  <c:v>3.8600000000000003</c:v>
                </c:pt>
                <c:pt idx="4">
                  <c:v>3.9466666666666672</c:v>
                </c:pt>
                <c:pt idx="5">
                  <c:v>4.0333333333333341</c:v>
                </c:pt>
                <c:pt idx="6">
                  <c:v>4.120000000000001</c:v>
                </c:pt>
                <c:pt idx="7">
                  <c:v>4.2066666666666679</c:v>
                </c:pt>
                <c:pt idx="8">
                  <c:v>4.2933333333333348</c:v>
                </c:pt>
                <c:pt idx="9">
                  <c:v>4.3800000000000017</c:v>
                </c:pt>
                <c:pt idx="10">
                  <c:v>4.4666666666666686</c:v>
                </c:pt>
                <c:pt idx="11">
                  <c:v>4.5533333333333355</c:v>
                </c:pt>
                <c:pt idx="12">
                  <c:v>4.6400000000000023</c:v>
                </c:pt>
                <c:pt idx="13">
                  <c:v>4.7266666666666692</c:v>
                </c:pt>
                <c:pt idx="14">
                  <c:v>4.8133333333333361</c:v>
                </c:pt>
                <c:pt idx="15">
                  <c:v>4.900000000000003</c:v>
                </c:pt>
                <c:pt idx="16">
                  <c:v>4.9866666666666699</c:v>
                </c:pt>
                <c:pt idx="17">
                  <c:v>5.0733333333333368</c:v>
                </c:pt>
                <c:pt idx="18">
                  <c:v>5.1600000000000037</c:v>
                </c:pt>
                <c:pt idx="19">
                  <c:v>5.2466666666666706</c:v>
                </c:pt>
                <c:pt idx="20">
                  <c:v>5.3333333333333375</c:v>
                </c:pt>
                <c:pt idx="21">
                  <c:v>5.4200000000000044</c:v>
                </c:pt>
                <c:pt idx="22">
                  <c:v>5.5066666666666713</c:v>
                </c:pt>
                <c:pt idx="23">
                  <c:v>5.5933333333333382</c:v>
                </c:pt>
                <c:pt idx="24">
                  <c:v>5.680000000000005</c:v>
                </c:pt>
                <c:pt idx="25">
                  <c:v>5.7666666666666719</c:v>
                </c:pt>
                <c:pt idx="26">
                  <c:v>5.8533333333333388</c:v>
                </c:pt>
                <c:pt idx="27">
                  <c:v>5.9400000000000057</c:v>
                </c:pt>
                <c:pt idx="28">
                  <c:v>6.0266666666666726</c:v>
                </c:pt>
                <c:pt idx="29">
                  <c:v>6.1133333333333395</c:v>
                </c:pt>
                <c:pt idx="30">
                  <c:v>6.2000000000000064</c:v>
                </c:pt>
                <c:pt idx="31">
                  <c:v>6.2866666666666733</c:v>
                </c:pt>
                <c:pt idx="32">
                  <c:v>6.3733333333333402</c:v>
                </c:pt>
                <c:pt idx="33">
                  <c:v>6.4600000000000071</c:v>
                </c:pt>
                <c:pt idx="34">
                  <c:v>6.546666666666674</c:v>
                </c:pt>
                <c:pt idx="35">
                  <c:v>6.6333333333333409</c:v>
                </c:pt>
                <c:pt idx="36">
                  <c:v>6.7200000000000077</c:v>
                </c:pt>
                <c:pt idx="37">
                  <c:v>6.8066666666666746</c:v>
                </c:pt>
                <c:pt idx="38">
                  <c:v>6.8933333333333415</c:v>
                </c:pt>
                <c:pt idx="39">
                  <c:v>6.9800000000000084</c:v>
                </c:pt>
                <c:pt idx="40">
                  <c:v>7.0666666666666753</c:v>
                </c:pt>
                <c:pt idx="41">
                  <c:v>7.1533333333333422</c:v>
                </c:pt>
                <c:pt idx="42">
                  <c:v>7.2400000000000091</c:v>
                </c:pt>
                <c:pt idx="43">
                  <c:v>7.326666666666676</c:v>
                </c:pt>
                <c:pt idx="44">
                  <c:v>7.4133333333333429</c:v>
                </c:pt>
              </c:numCache>
            </c:numRef>
          </c:xVal>
          <c:yVal>
            <c:numRef>
              <c:f>Probability_Scale_Data_HIDE!$AA$32:$AA$76</c:f>
              <c:numCache>
                <c:formatCode>#,##0.0000000;\-0.0000000;"--"</c:formatCode>
                <c:ptCount val="45"/>
                <c:pt idx="0">
                  <c:v>0.99999999817929286</c:v>
                </c:pt>
                <c:pt idx="1">
                  <c:v>0.99999998691359882</c:v>
                </c:pt>
                <c:pt idx="2">
                  <c:v>0.99999991911189967</c:v>
                </c:pt>
                <c:pt idx="3">
                  <c:v>0.99999956592463846</c:v>
                </c:pt>
                <c:pt idx="4">
                  <c:v>0.99999795974604655</c:v>
                </c:pt>
                <c:pt idx="5">
                  <c:v>0.99999153188493461</c:v>
                </c:pt>
                <c:pt idx="6">
                  <c:v>0.99996872709546769</c:v>
                </c:pt>
                <c:pt idx="7">
                  <c:v>0.99989650953221643</c:v>
                </c:pt>
                <c:pt idx="8">
                  <c:v>0.99969107419288528</c:v>
                </c:pt>
                <c:pt idx="9">
                  <c:v>0.99916300815587245</c:v>
                </c:pt>
                <c:pt idx="10">
                  <c:v>0.99792970227895439</c:v>
                </c:pt>
                <c:pt idx="11">
                  <c:v>0.99529913108419577</c:v>
                </c:pt>
                <c:pt idx="12">
                  <c:v>0.99015034131603785</c:v>
                </c:pt>
                <c:pt idx="13">
                  <c:v>0.98086112068939868</c:v>
                </c:pt>
                <c:pt idx="14">
                  <c:v>0.9653483080892924</c:v>
                </c:pt>
                <c:pt idx="15">
                  <c:v>0.94127465959950618</c:v>
                </c:pt>
                <c:pt idx="16">
                  <c:v>0.90643049196037451</c:v>
                </c:pt>
                <c:pt idx="17">
                  <c:v>0.85922922386701628</c:v>
                </c:pt>
                <c:pt idx="18">
                  <c:v>0.79919202003069223</c:v>
                </c:pt>
                <c:pt idx="19">
                  <c:v>0.72727126241839413</c:v>
                </c:pt>
                <c:pt idx="20">
                  <c:v>0.64589440292426437</c:v>
                </c:pt>
                <c:pt idx="21">
                  <c:v>0.55869088196431504</c:v>
                </c:pt>
                <c:pt idx="22">
                  <c:v>0.4699630477707113</c:v>
                </c:pt>
                <c:pt idx="23">
                  <c:v>0.38403749588488456</c:v>
                </c:pt>
                <c:pt idx="24">
                  <c:v>0.30465824883022241</c:v>
                </c:pt>
                <c:pt idx="25">
                  <c:v>0.23455386879801365</c:v>
                </c:pt>
                <c:pt idx="26">
                  <c:v>0.1752452834889352</c:v>
                </c:pt>
                <c:pt idx="27">
                  <c:v>0.12708848355353863</c:v>
                </c:pt>
                <c:pt idx="28">
                  <c:v>8.9491368804377913E-2</c:v>
                </c:pt>
                <c:pt idx="29">
                  <c:v>6.1219397290802613E-2</c:v>
                </c:pt>
                <c:pt idx="30">
                  <c:v>4.0709123852816775E-2</c:v>
                </c:pt>
                <c:pt idx="31">
                  <c:v>2.6331954744589381E-2</c:v>
                </c:pt>
                <c:pt idx="32">
                  <c:v>1.657979898628581E-2</c:v>
                </c:pt>
                <c:pt idx="33">
                  <c:v>1.0169770363760877E-2</c:v>
                </c:pt>
                <c:pt idx="34">
                  <c:v>6.0816079456545991E-3</c:v>
                </c:pt>
                <c:pt idx="35">
                  <c:v>3.5485002626348683E-3</c:v>
                </c:pt>
                <c:pt idx="36">
                  <c:v>2.021783624233553E-3</c:v>
                </c:pt>
                <c:pt idx="37">
                  <c:v>1.1257188084928815E-3</c:v>
                </c:pt>
                <c:pt idx="38">
                  <c:v>6.1301095837806852E-4</c:v>
                </c:pt>
                <c:pt idx="39">
                  <c:v>3.2672424040736114E-4</c:v>
                </c:pt>
                <c:pt idx="40">
                  <c:v>1.7056658005321079E-4</c:v>
                </c:pt>
                <c:pt idx="41">
                  <c:v>8.7281611443779106E-5</c:v>
                </c:pt>
                <c:pt idx="42">
                  <c:v>4.3810286263767928E-5</c:v>
                </c:pt>
                <c:pt idx="43">
                  <c:v>2.1585066691698351E-5</c:v>
                </c:pt>
                <c:pt idx="44">
                  <c:v>1.044588057030893E-5</c:v>
                </c:pt>
              </c:numCache>
            </c:numRef>
          </c:yVal>
          <c:smooth val="0"/>
        </c:ser>
        <c:ser>
          <c:idx val="1"/>
          <c:order val="1"/>
          <c:tx>
            <c:strRef>
              <c:f>Probability_Scale_Data_HIDE!$Z$19</c:f>
              <c:strCache>
                <c:ptCount val="1"/>
                <c:pt idx="0">
                  <c:v>Pmean: 5.48 %</c:v>
                </c:pt>
              </c:strCache>
            </c:strRef>
          </c:tx>
          <c:spPr>
            <a:ln w="12700">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txPr>
              <a:bodyPr/>
              <a:lstStyle/>
              <a:p>
                <a:pPr>
                  <a:defRPr sz="800"/>
                </a:pPr>
                <a:endParaRPr lang="es-BO"/>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Probability_Scale_Data_HIDE!$Z$21:$Z$22</c:f>
              <c:numCache>
                <c:formatCode>0.000;\-0.000;"--"</c:formatCode>
                <c:ptCount val="2"/>
                <c:pt idx="0">
                  <c:v>5.48</c:v>
                </c:pt>
                <c:pt idx="1">
                  <c:v>5.48</c:v>
                </c:pt>
              </c:numCache>
            </c:numRef>
          </c:xVal>
          <c:yVal>
            <c:numRef>
              <c:f>Probability_Scale_Data_HIDE!$Z$26:$Z$27</c:f>
              <c:numCache>
                <c:formatCode>#,##0.0000000;\-0.0000000;"--"</c:formatCode>
                <c:ptCount val="2"/>
                <c:pt idx="0" formatCode="#,##0.00;\-0.00;&quot;--&quot;">
                  <c:v>0</c:v>
                </c:pt>
                <c:pt idx="1">
                  <c:v>0.99999999817929286</c:v>
                </c:pt>
              </c:numCache>
            </c:numRef>
          </c:yVal>
          <c:smooth val="0"/>
        </c:ser>
        <c:dLbls>
          <c:showLegendKey val="0"/>
          <c:showVal val="0"/>
          <c:showCatName val="0"/>
          <c:showSerName val="0"/>
          <c:showPercent val="0"/>
          <c:showBubbleSize val="0"/>
        </c:dLbls>
        <c:axId val="946828768"/>
        <c:axId val="946829328"/>
      </c:scatterChart>
      <c:valAx>
        <c:axId val="946828768"/>
        <c:scaling>
          <c:orientation val="minMax"/>
        </c:scaling>
        <c:delete val="0"/>
        <c:axPos val="b"/>
        <c:title>
          <c:tx>
            <c:rich>
              <a:bodyPr/>
              <a:lstStyle/>
              <a:p>
                <a:pPr>
                  <a:defRPr/>
                </a:pPr>
                <a:r>
                  <a:rPr lang="es-BO"/>
                  <a:t>Porosity,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46829328"/>
        <c:crosses val="autoZero"/>
        <c:crossBetween val="midCat"/>
      </c:valAx>
      <c:valAx>
        <c:axId val="946829328"/>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468287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Probability_Scale_Data_HIDE!$V$30</c:f>
              <c:strCache>
                <c:ptCount val="1"/>
                <c:pt idx="0">
                  <c:v>Net to Gross</c:v>
                </c:pt>
              </c:strCache>
            </c:strRef>
          </c:tx>
          <c:spPr>
            <a:ln w="9525" cap="rnd">
              <a:solidFill>
                <a:srgbClr val="FF0000"/>
              </a:solidFill>
              <a:round/>
            </a:ln>
            <a:effectLst/>
          </c:spPr>
          <c:marker>
            <c:symbol val="circle"/>
            <c:size val="5"/>
            <c:spPr>
              <a:solidFill>
                <a:srgbClr val="FF0000"/>
              </a:solidFill>
              <a:ln w="9525">
                <a:solidFill>
                  <a:schemeClr val="tx1"/>
                </a:solidFill>
              </a:ln>
              <a:effectLst/>
            </c:spPr>
          </c:marker>
          <c:xVal>
            <c:numRef>
              <c:f>Probability_Scale_Data_HIDE!$AC$32:$AC$76</c:f>
              <c:numCache>
                <c:formatCode>#,##0.00;\-0.00;"--"</c:formatCode>
                <c:ptCount val="45"/>
                <c:pt idx="0">
                  <c:v>30.627397667737249</c:v>
                </c:pt>
                <c:pt idx="1">
                  <c:v>31.648715519346219</c:v>
                </c:pt>
                <c:pt idx="2">
                  <c:v>32.670033370955188</c:v>
                </c:pt>
                <c:pt idx="3">
                  <c:v>33.691351222564158</c:v>
                </c:pt>
                <c:pt idx="4">
                  <c:v>34.712669074173128</c:v>
                </c:pt>
                <c:pt idx="5">
                  <c:v>35.733986925782098</c:v>
                </c:pt>
                <c:pt idx="6">
                  <c:v>36.755304777391068</c:v>
                </c:pt>
                <c:pt idx="7">
                  <c:v>37.776622629000038</c:v>
                </c:pt>
                <c:pt idx="8">
                  <c:v>38.797940480609007</c:v>
                </c:pt>
                <c:pt idx="9">
                  <c:v>39.819258332217977</c:v>
                </c:pt>
                <c:pt idx="10">
                  <c:v>40.840576183826947</c:v>
                </c:pt>
                <c:pt idx="11">
                  <c:v>41.861894035435917</c:v>
                </c:pt>
                <c:pt idx="12">
                  <c:v>42.883211887044887</c:v>
                </c:pt>
                <c:pt idx="13">
                  <c:v>43.904529738653856</c:v>
                </c:pt>
                <c:pt idx="14">
                  <c:v>44.925847590262826</c:v>
                </c:pt>
                <c:pt idx="15">
                  <c:v>45.947165441871796</c:v>
                </c:pt>
                <c:pt idx="16">
                  <c:v>46.968483293480766</c:v>
                </c:pt>
                <c:pt idx="17">
                  <c:v>47.989801145089736</c:v>
                </c:pt>
                <c:pt idx="18">
                  <c:v>49.011118996698706</c:v>
                </c:pt>
                <c:pt idx="19">
                  <c:v>50.032436848307675</c:v>
                </c:pt>
                <c:pt idx="20">
                  <c:v>51.053754699916645</c:v>
                </c:pt>
                <c:pt idx="21">
                  <c:v>52.075072551525615</c:v>
                </c:pt>
                <c:pt idx="22">
                  <c:v>53.096390403134585</c:v>
                </c:pt>
                <c:pt idx="23">
                  <c:v>54.117708254743555</c:v>
                </c:pt>
                <c:pt idx="24">
                  <c:v>55.139026106352524</c:v>
                </c:pt>
                <c:pt idx="25">
                  <c:v>56.160343957961494</c:v>
                </c:pt>
                <c:pt idx="26">
                  <c:v>57.181661809570464</c:v>
                </c:pt>
                <c:pt idx="27">
                  <c:v>58.202979661179434</c:v>
                </c:pt>
                <c:pt idx="28">
                  <c:v>59.224297512788404</c:v>
                </c:pt>
                <c:pt idx="29">
                  <c:v>60.245615364397374</c:v>
                </c:pt>
                <c:pt idx="30">
                  <c:v>61.266933216006343</c:v>
                </c:pt>
                <c:pt idx="31">
                  <c:v>62.288251067615313</c:v>
                </c:pt>
                <c:pt idx="32">
                  <c:v>63.309568919224283</c:v>
                </c:pt>
                <c:pt idx="33">
                  <c:v>64.330886770833246</c:v>
                </c:pt>
                <c:pt idx="34">
                  <c:v>65.352204622442216</c:v>
                </c:pt>
                <c:pt idx="35">
                  <c:v>66.373522474051185</c:v>
                </c:pt>
                <c:pt idx="36">
                  <c:v>67.394840325660155</c:v>
                </c:pt>
                <c:pt idx="37">
                  <c:v>68.416158177269125</c:v>
                </c:pt>
                <c:pt idx="38">
                  <c:v>69.437476028878095</c:v>
                </c:pt>
                <c:pt idx="39">
                  <c:v>70.458793880487065</c:v>
                </c:pt>
                <c:pt idx="40">
                  <c:v>71.480111732096034</c:v>
                </c:pt>
                <c:pt idx="41">
                  <c:v>72.501429583705004</c:v>
                </c:pt>
                <c:pt idx="42">
                  <c:v>73.522747435313974</c:v>
                </c:pt>
                <c:pt idx="43">
                  <c:v>74.544065286922944</c:v>
                </c:pt>
                <c:pt idx="44">
                  <c:v>75.565383138531914</c:v>
                </c:pt>
              </c:numCache>
            </c:numRef>
          </c:xVal>
          <c:yVal>
            <c:numRef>
              <c:f>Probability_Scale_Data_HIDE!$AD$32:$AD$76</c:f>
              <c:numCache>
                <c:formatCode>#,##0.0000000;\-0.0000000;"--"</c:formatCode>
                <c:ptCount val="45"/>
                <c:pt idx="0">
                  <c:v>1.0025977806289693E-3</c:v>
                </c:pt>
                <c:pt idx="1">
                  <c:v>1.7576789121129162E-3</c:v>
                </c:pt>
                <c:pt idx="2">
                  <c:v>2.9054591510592909E-3</c:v>
                </c:pt>
                <c:pt idx="3">
                  <c:v>4.5505545220768419E-3</c:v>
                </c:pt>
                <c:pt idx="4">
                  <c:v>6.7823325496668991E-3</c:v>
                </c:pt>
                <c:pt idx="5">
                  <c:v>9.6573352804007941E-3</c:v>
                </c:pt>
                <c:pt idx="6">
                  <c:v>1.3183438658091417E-2</c:v>
                </c:pt>
                <c:pt idx="7">
                  <c:v>1.7309116295070173E-2</c:v>
                </c:pt>
                <c:pt idx="8">
                  <c:v>2.1920326930879596E-2</c:v>
                </c:pt>
                <c:pt idx="9">
                  <c:v>2.6846077323625078E-2</c:v>
                </c:pt>
                <c:pt idx="10">
                  <c:v>3.1872028020016763E-2</c:v>
                </c:pt>
                <c:pt idx="11">
                  <c:v>3.6760034667207543E-2</c:v>
                </c:pt>
                <c:pt idx="12">
                  <c:v>4.1270575200053533E-2</c:v>
                </c:pt>
                <c:pt idx="13">
                  <c:v>4.5184749766500935E-2</c:v>
                </c:pt>
                <c:pt idx="14">
                  <c:v>4.8322918298441486E-2</c:v>
                </c:pt>
                <c:pt idx="15">
                  <c:v>5.0557884556664066E-2</c:v>
                </c:pt>
                <c:pt idx="16">
                  <c:v>5.1821602984653242E-2</c:v>
                </c:pt>
                <c:pt idx="17">
                  <c:v>5.2105437757792451E-2</c:v>
                </c:pt>
                <c:pt idx="18">
                  <c:v>5.145485966452587E-2</c:v>
                </c:pt>
                <c:pt idx="19">
                  <c:v>4.9960023695216613E-2</c:v>
                </c:pt>
                <c:pt idx="20">
                  <c:v>4.7743905932715658E-2</c:v>
                </c:pt>
                <c:pt idx="21">
                  <c:v>4.4949632226766484E-2</c:v>
                </c:pt>
                <c:pt idx="22">
                  <c:v>4.1728379952973536E-2</c:v>
                </c:pt>
                <c:pt idx="23">
                  <c:v>3.8228866979250119E-2</c:v>
                </c:pt>
                <c:pt idx="24">
                  <c:v>3.4589040900110071E-2</c:v>
                </c:pt>
                <c:pt idx="25">
                  <c:v>3.0930210076155904E-2</c:v>
                </c:pt>
                <c:pt idx="26">
                  <c:v>2.7353556284758163E-2</c:v>
                </c:pt>
                <c:pt idx="27">
                  <c:v>2.3938754986936515E-2</c:v>
                </c:pt>
                <c:pt idx="28">
                  <c:v>2.0744303794480674E-2</c:v>
                </c:pt>
                <c:pt idx="29">
                  <c:v>1.7809111220481153E-2</c:v>
                </c:pt>
                <c:pt idx="30">
                  <c:v>1.5154908482807431E-2</c:v>
                </c:pt>
                <c:pt idx="31">
                  <c:v>1.2789097596532403E-2</c:v>
                </c:pt>
                <c:pt idx="32">
                  <c:v>1.0707721355192656E-2</c:v>
                </c:pt>
                <c:pt idx="33">
                  <c:v>8.8983205234822761E-3</c:v>
                </c:pt>
                <c:pt idx="34">
                  <c:v>7.3425201352566409E-3</c:v>
                </c:pt>
                <c:pt idx="35">
                  <c:v>6.0182536099827972E-3</c:v>
                </c:pt>
                <c:pt idx="36">
                  <c:v>4.9015871816650387E-3</c:v>
                </c:pt>
                <c:pt idx="37">
                  <c:v>3.9681471020378339E-3</c:v>
                </c:pt>
                <c:pt idx="38">
                  <c:v>3.1941791527972815E-3</c:v>
                </c:pt>
                <c:pt idx="39">
                  <c:v>2.5572860734488509E-3</c:v>
                </c:pt>
                <c:pt idx="40">
                  <c:v>2.0368958883118845E-3</c:v>
                </c:pt>
                <c:pt idx="41">
                  <c:v>1.6145151208676065E-3</c:v>
                </c:pt>
                <c:pt idx="42">
                  <c:v>1.2738176079891547E-3</c:v>
                </c:pt>
                <c:pt idx="43">
                  <c:v>1.0006138058690421E-3</c:v>
                </c:pt>
                <c:pt idx="44">
                  <c:v>7.8273845328408697E-4</c:v>
                </c:pt>
              </c:numCache>
            </c:numRef>
          </c:yVal>
          <c:smooth val="0"/>
        </c:ser>
        <c:ser>
          <c:idx val="1"/>
          <c:order val="1"/>
          <c:tx>
            <c:strRef>
              <c:f>Probability_Scale_Data_HIDE!$AD$19</c:f>
              <c:strCache>
                <c:ptCount val="1"/>
                <c:pt idx="0">
                  <c:v>Pmean: 48.99 %</c:v>
                </c:pt>
              </c:strCache>
            </c:strRef>
          </c:tx>
          <c:spPr>
            <a:ln w="12700">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txPr>
              <a:bodyPr/>
              <a:lstStyle/>
              <a:p>
                <a:pPr>
                  <a:defRPr sz="800"/>
                </a:pPr>
                <a:endParaRPr lang="es-B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Probability_Scale_Data_HIDE!$AD$21:$AD$22</c:f>
              <c:numCache>
                <c:formatCode>0.000;\-0.000;"--"</c:formatCode>
                <c:ptCount val="2"/>
                <c:pt idx="0">
                  <c:v>48.99</c:v>
                </c:pt>
                <c:pt idx="1">
                  <c:v>48.99</c:v>
                </c:pt>
              </c:numCache>
            </c:numRef>
          </c:xVal>
          <c:yVal>
            <c:numRef>
              <c:f>Probability_Scale_Data_HIDE!$AD$24:$AD$25</c:f>
              <c:numCache>
                <c:formatCode>#,##0.0000000;\-0.0000000;"--"</c:formatCode>
                <c:ptCount val="2"/>
                <c:pt idx="0" formatCode="#,##0.00;\-0.00;&quot;--&quot;">
                  <c:v>0</c:v>
                </c:pt>
                <c:pt idx="1">
                  <c:v>6.2105437757792453E-2</c:v>
                </c:pt>
              </c:numCache>
            </c:numRef>
          </c:yVal>
          <c:smooth val="0"/>
        </c:ser>
        <c:dLbls>
          <c:showLegendKey val="0"/>
          <c:showVal val="0"/>
          <c:showCatName val="0"/>
          <c:showSerName val="0"/>
          <c:showPercent val="0"/>
          <c:showBubbleSize val="0"/>
        </c:dLbls>
        <c:axId val="946941424"/>
        <c:axId val="946941984"/>
      </c:scatterChart>
      <c:valAx>
        <c:axId val="946941424"/>
        <c:scaling>
          <c:orientation val="minMax"/>
        </c:scaling>
        <c:delete val="0"/>
        <c:axPos val="b"/>
        <c:title>
          <c:tx>
            <c:rich>
              <a:bodyPr/>
              <a:lstStyle/>
              <a:p>
                <a:pPr>
                  <a:defRPr/>
                </a:pPr>
                <a:r>
                  <a:rPr lang="es-BO"/>
                  <a:t>Gas</a:t>
                </a:r>
                <a:r>
                  <a:rPr lang="es-BO" baseline="0"/>
                  <a:t> Saturation</a:t>
                </a:r>
                <a:r>
                  <a:rPr lang="es-BO"/>
                  <a:t>,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46941984"/>
        <c:crosses val="autoZero"/>
        <c:crossBetween val="midCat"/>
      </c:valAx>
      <c:valAx>
        <c:axId val="946941984"/>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469414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Probability_Scale_Data_HIDE!$V$30</c:f>
              <c:strCache>
                <c:ptCount val="1"/>
                <c:pt idx="0">
                  <c:v>Net to Gross</c:v>
                </c:pt>
              </c:strCache>
            </c:strRef>
          </c:tx>
          <c:spPr>
            <a:ln w="9525" cap="rnd">
              <a:solidFill>
                <a:srgbClr val="FF0000"/>
              </a:solidFill>
              <a:round/>
            </a:ln>
            <a:effectLst/>
          </c:spPr>
          <c:marker>
            <c:symbol val="circle"/>
            <c:size val="5"/>
            <c:spPr>
              <a:solidFill>
                <a:srgbClr val="FF0000"/>
              </a:solidFill>
              <a:ln w="9525">
                <a:solidFill>
                  <a:schemeClr val="tx1"/>
                </a:solidFill>
              </a:ln>
              <a:effectLst/>
            </c:spPr>
          </c:marker>
          <c:xVal>
            <c:numRef>
              <c:f>Probability_Scale_Data_HIDE!$AC$32:$AC$76</c:f>
              <c:numCache>
                <c:formatCode>#,##0.00;\-0.00;"--"</c:formatCode>
                <c:ptCount val="45"/>
                <c:pt idx="0">
                  <c:v>30.627397667737249</c:v>
                </c:pt>
                <c:pt idx="1">
                  <c:v>31.648715519346219</c:v>
                </c:pt>
                <c:pt idx="2">
                  <c:v>32.670033370955188</c:v>
                </c:pt>
                <c:pt idx="3">
                  <c:v>33.691351222564158</c:v>
                </c:pt>
                <c:pt idx="4">
                  <c:v>34.712669074173128</c:v>
                </c:pt>
                <c:pt idx="5">
                  <c:v>35.733986925782098</c:v>
                </c:pt>
                <c:pt idx="6">
                  <c:v>36.755304777391068</c:v>
                </c:pt>
                <c:pt idx="7">
                  <c:v>37.776622629000038</c:v>
                </c:pt>
                <c:pt idx="8">
                  <c:v>38.797940480609007</c:v>
                </c:pt>
                <c:pt idx="9">
                  <c:v>39.819258332217977</c:v>
                </c:pt>
                <c:pt idx="10">
                  <c:v>40.840576183826947</c:v>
                </c:pt>
                <c:pt idx="11">
                  <c:v>41.861894035435917</c:v>
                </c:pt>
                <c:pt idx="12">
                  <c:v>42.883211887044887</c:v>
                </c:pt>
                <c:pt idx="13">
                  <c:v>43.904529738653856</c:v>
                </c:pt>
                <c:pt idx="14">
                  <c:v>44.925847590262826</c:v>
                </c:pt>
                <c:pt idx="15">
                  <c:v>45.947165441871796</c:v>
                </c:pt>
                <c:pt idx="16">
                  <c:v>46.968483293480766</c:v>
                </c:pt>
                <c:pt idx="17">
                  <c:v>47.989801145089736</c:v>
                </c:pt>
                <c:pt idx="18">
                  <c:v>49.011118996698706</c:v>
                </c:pt>
                <c:pt idx="19">
                  <c:v>50.032436848307675</c:v>
                </c:pt>
                <c:pt idx="20">
                  <c:v>51.053754699916645</c:v>
                </c:pt>
                <c:pt idx="21">
                  <c:v>52.075072551525615</c:v>
                </c:pt>
                <c:pt idx="22">
                  <c:v>53.096390403134585</c:v>
                </c:pt>
                <c:pt idx="23">
                  <c:v>54.117708254743555</c:v>
                </c:pt>
                <c:pt idx="24">
                  <c:v>55.139026106352524</c:v>
                </c:pt>
                <c:pt idx="25">
                  <c:v>56.160343957961494</c:v>
                </c:pt>
                <c:pt idx="26">
                  <c:v>57.181661809570464</c:v>
                </c:pt>
                <c:pt idx="27">
                  <c:v>58.202979661179434</c:v>
                </c:pt>
                <c:pt idx="28">
                  <c:v>59.224297512788404</c:v>
                </c:pt>
                <c:pt idx="29">
                  <c:v>60.245615364397374</c:v>
                </c:pt>
                <c:pt idx="30">
                  <c:v>61.266933216006343</c:v>
                </c:pt>
                <c:pt idx="31">
                  <c:v>62.288251067615313</c:v>
                </c:pt>
                <c:pt idx="32">
                  <c:v>63.309568919224283</c:v>
                </c:pt>
                <c:pt idx="33">
                  <c:v>64.330886770833246</c:v>
                </c:pt>
                <c:pt idx="34">
                  <c:v>65.352204622442216</c:v>
                </c:pt>
                <c:pt idx="35">
                  <c:v>66.373522474051185</c:v>
                </c:pt>
                <c:pt idx="36">
                  <c:v>67.394840325660155</c:v>
                </c:pt>
                <c:pt idx="37">
                  <c:v>68.416158177269125</c:v>
                </c:pt>
                <c:pt idx="38">
                  <c:v>69.437476028878095</c:v>
                </c:pt>
                <c:pt idx="39">
                  <c:v>70.458793880487065</c:v>
                </c:pt>
                <c:pt idx="40">
                  <c:v>71.480111732096034</c:v>
                </c:pt>
                <c:pt idx="41">
                  <c:v>72.501429583705004</c:v>
                </c:pt>
                <c:pt idx="42">
                  <c:v>73.522747435313974</c:v>
                </c:pt>
                <c:pt idx="43">
                  <c:v>74.544065286922944</c:v>
                </c:pt>
                <c:pt idx="44">
                  <c:v>75.565383138531914</c:v>
                </c:pt>
              </c:numCache>
            </c:numRef>
          </c:xVal>
          <c:yVal>
            <c:numRef>
              <c:f>Probability_Scale_Data_HIDE!$AE$32:$AE$76</c:f>
              <c:numCache>
                <c:formatCode>#,##0.0000000;\-0.0000000;"--"</c:formatCode>
                <c:ptCount val="45"/>
                <c:pt idx="0">
                  <c:v>0.99850743348119286</c:v>
                </c:pt>
                <c:pt idx="1">
                  <c:v>0.99712675474233181</c:v>
                </c:pt>
                <c:pt idx="2">
                  <c:v>0.99478345946667024</c:v>
                </c:pt>
                <c:pt idx="3">
                  <c:v>0.9910224838791255</c:v>
                </c:pt>
                <c:pt idx="4">
                  <c:v>0.98528822966072438</c:v>
                </c:pt>
                <c:pt idx="5">
                  <c:v>0.97694911096220227</c:v>
                </c:pt>
                <c:pt idx="6">
                  <c:v>0.96533946686614225</c:v>
                </c:pt>
                <c:pt idx="7">
                  <c:v>0.94981530833408478</c:v>
                </c:pt>
                <c:pt idx="8">
                  <c:v>0.92981729595142637</c:v>
                </c:pt>
                <c:pt idx="9">
                  <c:v>0.90493248411838978</c:v>
                </c:pt>
                <c:pt idx="10">
                  <c:v>0.87494615371022466</c:v>
                </c:pt>
                <c:pt idx="11">
                  <c:v>0.83987648835215822</c:v>
                </c:pt>
                <c:pt idx="12">
                  <c:v>0.79998753748787288</c:v>
                </c:pt>
                <c:pt idx="13">
                  <c:v>0.75577921747526822</c:v>
                </c:pt>
                <c:pt idx="14">
                  <c:v>0.70795634141903185</c:v>
                </c:pt>
                <c:pt idx="15">
                  <c:v>0.65738126494265758</c:v>
                </c:pt>
                <c:pt idx="16">
                  <c:v>0.6050163340707384</c:v>
                </c:pt>
                <c:pt idx="17">
                  <c:v>0.55186281899068668</c:v>
                </c:pt>
                <c:pt idx="18">
                  <c:v>0.4989025277819874</c:v>
                </c:pt>
                <c:pt idx="19">
                  <c:v>0.44704707757205286</c:v>
                </c:pt>
                <c:pt idx="20">
                  <c:v>0.39709818011144682</c:v>
                </c:pt>
                <c:pt idx="21">
                  <c:v>0.34972058683706542</c:v>
                </c:pt>
                <c:pt idx="22">
                  <c:v>0.30542778579512309</c:v>
                </c:pt>
                <c:pt idx="23">
                  <c:v>0.26457931339840934</c:v>
                </c:pt>
                <c:pt idx="24">
                  <c:v>0.22738771321953455</c:v>
                </c:pt>
                <c:pt idx="25">
                  <c:v>0.19393274220869383</c:v>
                </c:pt>
                <c:pt idx="26">
                  <c:v>0.16418033914959729</c:v>
                </c:pt>
                <c:pt idx="27">
                  <c:v>0.13800404855908488</c:v>
                </c:pt>
                <c:pt idx="28">
                  <c:v>0.115206944293202</c:v>
                </c:pt>
                <c:pt idx="29">
                  <c:v>9.5542535670250617E-2</c:v>
                </c:pt>
                <c:pt idx="30">
                  <c:v>7.8733595137787882E-2</c:v>
                </c:pt>
                <c:pt idx="31">
                  <c:v>6.4488269873194448E-2</c:v>
                </c:pt>
                <c:pt idx="32">
                  <c:v>5.2513198947441553E-2</c:v>
                </c:pt>
                <c:pt idx="33">
                  <c:v>4.2523638188163404E-2</c:v>
                </c:pt>
                <c:pt idx="34">
                  <c:v>3.4250794849977617E-2</c:v>
                </c:pt>
                <c:pt idx="35">
                  <c:v>2.7446700539188962E-2</c:v>
                </c:pt>
                <c:pt idx="36">
                  <c:v>2.1887015433934787E-2</c:v>
                </c:pt>
                <c:pt idx="37">
                  <c:v>1.7372173579524364E-2</c:v>
                </c:pt>
                <c:pt idx="38">
                  <c:v>1.3727261672224378E-2</c:v>
                </c:pt>
                <c:pt idx="39">
                  <c:v>1.0800984532157387E-2</c:v>
                </c:pt>
                <c:pt idx="40">
                  <c:v>8.464019480983076E-3</c:v>
                </c:pt>
                <c:pt idx="41">
                  <c:v>6.6070067655626952E-3</c:v>
                </c:pt>
                <c:pt idx="42">
                  <c:v>5.1383694180970885E-3</c:v>
                </c:pt>
                <c:pt idx="43">
                  <c:v>3.9821069685740396E-3</c:v>
                </c:pt>
                <c:pt idx="44">
                  <c:v>3.0756651084472564E-3</c:v>
                </c:pt>
              </c:numCache>
            </c:numRef>
          </c:yVal>
          <c:smooth val="0"/>
        </c:ser>
        <c:ser>
          <c:idx val="1"/>
          <c:order val="1"/>
          <c:tx>
            <c:strRef>
              <c:f>Probability_Scale_Data_HIDE!$AD$19</c:f>
              <c:strCache>
                <c:ptCount val="1"/>
                <c:pt idx="0">
                  <c:v>Pmean: 48.99 %</c:v>
                </c:pt>
              </c:strCache>
            </c:strRef>
          </c:tx>
          <c:spPr>
            <a:ln w="12700">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txPr>
              <a:bodyPr/>
              <a:lstStyle/>
              <a:p>
                <a:pPr>
                  <a:defRPr sz="800"/>
                </a:pPr>
                <a:endParaRPr lang="es-B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Probability_Scale_Data_HIDE!$AD$21:$AD$22</c:f>
              <c:numCache>
                <c:formatCode>0.000;\-0.000;"--"</c:formatCode>
                <c:ptCount val="2"/>
                <c:pt idx="0">
                  <c:v>48.99</c:v>
                </c:pt>
                <c:pt idx="1">
                  <c:v>48.99</c:v>
                </c:pt>
              </c:numCache>
            </c:numRef>
          </c:xVal>
          <c:yVal>
            <c:numRef>
              <c:f>Probability_Scale_Data_HIDE!$AD$26:$AD$27</c:f>
              <c:numCache>
                <c:formatCode>#,##0.0000000;\-0.0000000;"--"</c:formatCode>
                <c:ptCount val="2"/>
                <c:pt idx="0" formatCode="#,##0.00;\-0.00;&quot;--&quot;">
                  <c:v>0</c:v>
                </c:pt>
                <c:pt idx="1">
                  <c:v>0.99850743348119286</c:v>
                </c:pt>
              </c:numCache>
            </c:numRef>
          </c:yVal>
          <c:smooth val="0"/>
        </c:ser>
        <c:dLbls>
          <c:showLegendKey val="0"/>
          <c:showVal val="0"/>
          <c:showCatName val="0"/>
          <c:showSerName val="0"/>
          <c:showPercent val="0"/>
          <c:showBubbleSize val="0"/>
        </c:dLbls>
        <c:axId val="947004320"/>
        <c:axId val="947004880"/>
      </c:scatterChart>
      <c:valAx>
        <c:axId val="947004320"/>
        <c:scaling>
          <c:orientation val="minMax"/>
        </c:scaling>
        <c:delete val="0"/>
        <c:axPos val="b"/>
        <c:title>
          <c:tx>
            <c:rich>
              <a:bodyPr/>
              <a:lstStyle/>
              <a:p>
                <a:pPr>
                  <a:defRPr/>
                </a:pPr>
                <a:r>
                  <a:rPr lang="es-BO"/>
                  <a:t>Gas Saturation,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47004880"/>
        <c:crosses val="autoZero"/>
        <c:crossBetween val="midCat"/>
      </c:valAx>
      <c:valAx>
        <c:axId val="947004880"/>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47004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Probability_Scale_Data_HIDE!$V$30</c:f>
              <c:strCache>
                <c:ptCount val="1"/>
                <c:pt idx="0">
                  <c:v>Net to Gross</c:v>
                </c:pt>
              </c:strCache>
            </c:strRef>
          </c:tx>
          <c:spPr>
            <a:ln w="9525" cap="rnd">
              <a:solidFill>
                <a:srgbClr val="0000FF"/>
              </a:solidFill>
              <a:round/>
            </a:ln>
            <a:effectLst/>
          </c:spPr>
          <c:marker>
            <c:symbol val="circle"/>
            <c:size val="5"/>
            <c:spPr>
              <a:solidFill>
                <a:schemeClr val="accent1">
                  <a:lumMod val="40000"/>
                  <a:lumOff val="60000"/>
                </a:schemeClr>
              </a:solidFill>
              <a:ln w="9525">
                <a:solidFill>
                  <a:srgbClr val="0000FF"/>
                </a:solidFill>
              </a:ln>
              <a:effectLst/>
            </c:spPr>
          </c:marker>
          <c:xVal>
            <c:numRef>
              <c:f>Probability_Scale_Data_HIDE!$AG$32:$AG$76</c:f>
              <c:numCache>
                <c:formatCode>#,##0.0000;\-0.0000;"--"</c:formatCode>
                <c:ptCount val="45"/>
                <c:pt idx="0">
                  <c:v>29.51576526198722</c:v>
                </c:pt>
                <c:pt idx="1">
                  <c:v>30.537083113596189</c:v>
                </c:pt>
                <c:pt idx="2">
                  <c:v>31.558400965205159</c:v>
                </c:pt>
                <c:pt idx="3">
                  <c:v>32.579718816814129</c:v>
                </c:pt>
                <c:pt idx="4">
                  <c:v>33.601036668423099</c:v>
                </c:pt>
                <c:pt idx="5">
                  <c:v>34.622354520032069</c:v>
                </c:pt>
                <c:pt idx="6">
                  <c:v>35.643672371641038</c:v>
                </c:pt>
                <c:pt idx="7">
                  <c:v>36.664990223250008</c:v>
                </c:pt>
                <c:pt idx="8">
                  <c:v>37.686308074858978</c:v>
                </c:pt>
                <c:pt idx="9">
                  <c:v>38.707625926467948</c:v>
                </c:pt>
                <c:pt idx="10">
                  <c:v>39.728943778076918</c:v>
                </c:pt>
                <c:pt idx="11">
                  <c:v>40.750261629685887</c:v>
                </c:pt>
                <c:pt idx="12">
                  <c:v>41.771579481294857</c:v>
                </c:pt>
                <c:pt idx="13">
                  <c:v>42.792897332903827</c:v>
                </c:pt>
                <c:pt idx="14">
                  <c:v>43.814215184512797</c:v>
                </c:pt>
                <c:pt idx="15">
                  <c:v>44.835533036121767</c:v>
                </c:pt>
                <c:pt idx="16">
                  <c:v>45.856850887730737</c:v>
                </c:pt>
                <c:pt idx="17">
                  <c:v>46.878168739339706</c:v>
                </c:pt>
                <c:pt idx="18">
                  <c:v>47.899486590948676</c:v>
                </c:pt>
                <c:pt idx="19">
                  <c:v>48.920804442557646</c:v>
                </c:pt>
                <c:pt idx="20">
                  <c:v>49.942122294166616</c:v>
                </c:pt>
                <c:pt idx="21">
                  <c:v>50.963440145775586</c:v>
                </c:pt>
                <c:pt idx="22">
                  <c:v>51.984757997384555</c:v>
                </c:pt>
                <c:pt idx="23">
                  <c:v>53.006075848993525</c:v>
                </c:pt>
                <c:pt idx="24">
                  <c:v>54.027393700602495</c:v>
                </c:pt>
                <c:pt idx="25">
                  <c:v>55.048711552211465</c:v>
                </c:pt>
                <c:pt idx="26">
                  <c:v>56.070029403820435</c:v>
                </c:pt>
                <c:pt idx="27">
                  <c:v>57.091347255429405</c:v>
                </c:pt>
                <c:pt idx="28">
                  <c:v>58.112665107038374</c:v>
                </c:pt>
                <c:pt idx="29">
                  <c:v>59.133982958647344</c:v>
                </c:pt>
                <c:pt idx="30">
                  <c:v>60.155300810256314</c:v>
                </c:pt>
                <c:pt idx="31">
                  <c:v>61.176618661865284</c:v>
                </c:pt>
                <c:pt idx="32">
                  <c:v>62.197936513474254</c:v>
                </c:pt>
                <c:pt idx="33">
                  <c:v>63.219254365083223</c:v>
                </c:pt>
                <c:pt idx="34">
                  <c:v>64.240572216692186</c:v>
                </c:pt>
                <c:pt idx="35">
                  <c:v>65.261890068301156</c:v>
                </c:pt>
                <c:pt idx="36">
                  <c:v>66.283207919910126</c:v>
                </c:pt>
                <c:pt idx="37">
                  <c:v>67.304525771519096</c:v>
                </c:pt>
                <c:pt idx="38">
                  <c:v>68.325843623128065</c:v>
                </c:pt>
                <c:pt idx="39">
                  <c:v>69.347161474737035</c:v>
                </c:pt>
                <c:pt idx="40">
                  <c:v>70.368479326346005</c:v>
                </c:pt>
                <c:pt idx="41">
                  <c:v>71.389797177954975</c:v>
                </c:pt>
                <c:pt idx="42">
                  <c:v>72.411115029563945</c:v>
                </c:pt>
                <c:pt idx="43">
                  <c:v>73.432432881172915</c:v>
                </c:pt>
                <c:pt idx="44">
                  <c:v>74.453750732781884</c:v>
                </c:pt>
              </c:numCache>
            </c:numRef>
          </c:xVal>
          <c:yVal>
            <c:numRef>
              <c:f>Probability_Scale_Data_HIDE!$AH$32:$AH$76</c:f>
              <c:numCache>
                <c:formatCode>#,##0.0000000;\-0.0000000;"--"</c:formatCode>
                <c:ptCount val="45"/>
                <c:pt idx="0">
                  <c:v>5.0576940196752783E-4</c:v>
                </c:pt>
                <c:pt idx="1">
                  <c:v>9.51174869076341E-4</c:v>
                </c:pt>
                <c:pt idx="2">
                  <c:v>1.6766457867260728E-3</c:v>
                </c:pt>
                <c:pt idx="3">
                  <c:v>2.7853914353291281E-3</c:v>
                </c:pt>
                <c:pt idx="4">
                  <c:v>4.3825620351989909E-3</c:v>
                </c:pt>
                <c:pt idx="5">
                  <c:v>6.5595803164388332E-3</c:v>
                </c:pt>
                <c:pt idx="6">
                  <c:v>9.3765797092863652E-3</c:v>
                </c:pt>
                <c:pt idx="7">
                  <c:v>1.2846268212637223E-2</c:v>
                </c:pt>
                <c:pt idx="8">
                  <c:v>1.6922621504090584E-2</c:v>
                </c:pt>
                <c:pt idx="9">
                  <c:v>2.1497029575760444E-2</c:v>
                </c:pt>
                <c:pt idx="10">
                  <c:v>2.6403093627026419E-2</c:v>
                </c:pt>
                <c:pt idx="11">
                  <c:v>3.1429586980665593E-2</c:v>
                </c:pt>
                <c:pt idx="12">
                  <c:v>3.6339585246439765E-2</c:v>
                </c:pt>
                <c:pt idx="13">
                  <c:v>4.0892772823164156E-2</c:v>
                </c:pt>
                <c:pt idx="14">
                  <c:v>4.4867608343812711E-2</c:v>
                </c:pt>
                <c:pt idx="15">
                  <c:v>4.8080358506292241E-2</c:v>
                </c:pt>
                <c:pt idx="16">
                  <c:v>5.0398821778457538E-2</c:v>
                </c:pt>
                <c:pt idx="17">
                  <c:v>5.1749621290865459E-2</c:v>
                </c:pt>
                <c:pt idx="18">
                  <c:v>5.2119008976249839E-2</c:v>
                </c:pt>
                <c:pt idx="19">
                  <c:v>5.1548002019855946E-2</c:v>
                </c:pt>
                <c:pt idx="20">
                  <c:v>5.0123258352041455E-2</c:v>
                </c:pt>
                <c:pt idx="21">
                  <c:v>4.796536120833747E-2</c:v>
                </c:pt>
                <c:pt idx="22">
                  <c:v>4.5216158857254232E-2</c:v>
                </c:pt>
                <c:pt idx="23">
                  <c:v>4.2026568983473019E-2</c:v>
                </c:pt>
                <c:pt idx="24">
                  <c:v>3.8545896777722174E-2</c:v>
                </c:pt>
                <c:pt idx="25">
                  <c:v>3.4913314838288148E-2</c:v>
                </c:pt>
                <c:pt idx="26">
                  <c:v>3.125177688697648E-2</c:v>
                </c:pt>
                <c:pt idx="27">
                  <c:v>2.7664328369096575E-2</c:v>
                </c:pt>
                <c:pt idx="28">
                  <c:v>2.4232555192570102E-2</c:v>
                </c:pt>
                <c:pt idx="29">
                  <c:v>2.1016778954074285E-2</c:v>
                </c:pt>
                <c:pt idx="30">
                  <c:v>1.8057552356233519E-2</c:v>
                </c:pt>
                <c:pt idx="31">
                  <c:v>1.5378014756655345E-2</c:v>
                </c:pt>
                <c:pt idx="32">
                  <c:v>1.2986715497882368E-2</c:v>
                </c:pt>
                <c:pt idx="33">
                  <c:v>1.0880583737365779E-2</c:v>
                </c:pt>
                <c:pt idx="34">
                  <c:v>9.0478030520845121E-3</c:v>
                </c:pt>
                <c:pt idx="35">
                  <c:v>7.4704262624022758E-3</c:v>
                </c:pt>
                <c:pt idx="36">
                  <c:v>6.1266337769782294E-3</c:v>
                </c:pt>
                <c:pt idx="37">
                  <c:v>4.9925937564784017E-3</c:v>
                </c:pt>
                <c:pt idx="38">
                  <c:v>4.0439235654173619E-3</c:v>
                </c:pt>
                <c:pt idx="39">
                  <c:v>3.2567801282284126E-3</c:v>
                </c:pt>
                <c:pt idx="40">
                  <c:v>2.6086237601336444E-3</c:v>
                </c:pt>
                <c:pt idx="41">
                  <c:v>2.0787080937277932E-3</c:v>
                </c:pt>
                <c:pt idx="42">
                  <c:v>1.6483502014627248E-3</c:v>
                </c:pt>
                <c:pt idx="43">
                  <c:v>1.3010320414367667E-3</c:v>
                </c:pt>
                <c:pt idx="44">
                  <c:v>1.0223786984541231E-3</c:v>
                </c:pt>
              </c:numCache>
            </c:numRef>
          </c:yVal>
          <c:smooth val="0"/>
        </c:ser>
        <c:ser>
          <c:idx val="1"/>
          <c:order val="1"/>
          <c:tx>
            <c:strRef>
              <c:f>Probability_Scale_Data_HIDE!$AH$19</c:f>
              <c:strCache>
                <c:ptCount val="1"/>
                <c:pt idx="0">
                  <c:v>Pmean: 48.99 %</c:v>
                </c:pt>
              </c:strCache>
            </c:strRef>
          </c:tx>
          <c:spPr>
            <a:ln w="12700">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txPr>
              <a:bodyPr/>
              <a:lstStyle/>
              <a:p>
                <a:pPr>
                  <a:defRPr sz="800"/>
                </a:pPr>
                <a:endParaRPr lang="es-BO"/>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Probability_Scale_Data_HIDE!$AH$21:$AH$22</c:f>
              <c:numCache>
                <c:formatCode>0.000;\-0.000;"--"</c:formatCode>
                <c:ptCount val="2"/>
                <c:pt idx="0">
                  <c:v>48.99</c:v>
                </c:pt>
                <c:pt idx="1">
                  <c:v>48.99</c:v>
                </c:pt>
              </c:numCache>
            </c:numRef>
          </c:xVal>
          <c:yVal>
            <c:numRef>
              <c:f>Probability_Scale_Data_HIDE!$AH$24:$AH$25</c:f>
              <c:numCache>
                <c:formatCode>#,##0.0000000;\-0.0000000;"--"</c:formatCode>
                <c:ptCount val="2"/>
                <c:pt idx="0" formatCode="#,##0.00;\-0.00;&quot;--&quot;">
                  <c:v>0</c:v>
                </c:pt>
                <c:pt idx="1">
                  <c:v>6.2119008976249841E-2</c:v>
                </c:pt>
              </c:numCache>
            </c:numRef>
          </c:yVal>
          <c:smooth val="0"/>
        </c:ser>
        <c:dLbls>
          <c:showLegendKey val="0"/>
          <c:showVal val="0"/>
          <c:showCatName val="0"/>
          <c:showSerName val="0"/>
          <c:showPercent val="0"/>
          <c:showBubbleSize val="0"/>
        </c:dLbls>
        <c:axId val="947028896"/>
        <c:axId val="947029456"/>
      </c:scatterChart>
      <c:valAx>
        <c:axId val="947028896"/>
        <c:scaling>
          <c:orientation val="minMax"/>
        </c:scaling>
        <c:delete val="0"/>
        <c:axPos val="b"/>
        <c:title>
          <c:tx>
            <c:rich>
              <a:bodyPr/>
              <a:lstStyle/>
              <a:p>
                <a:pPr>
                  <a:defRPr/>
                </a:pPr>
                <a:r>
                  <a:rPr lang="es-BO" baseline="0"/>
                  <a:t>Water Saturation</a:t>
                </a:r>
                <a:r>
                  <a:rPr lang="es-BO"/>
                  <a:t>,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47029456"/>
        <c:crosses val="autoZero"/>
        <c:crossBetween val="midCat"/>
      </c:valAx>
      <c:valAx>
        <c:axId val="947029456"/>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47028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8.2615462540866616E-2"/>
          <c:w val="0.83725244294821244"/>
          <c:h val="0.69720274439379293"/>
        </c:manualLayout>
      </c:layout>
      <c:scatterChart>
        <c:scatterStyle val="lineMarker"/>
        <c:varyColors val="0"/>
        <c:ser>
          <c:idx val="0"/>
          <c:order val="0"/>
          <c:tx>
            <c:strRef>
              <c:f>Probability_Scale_Data_HIDE!$V$30</c:f>
              <c:strCache>
                <c:ptCount val="1"/>
                <c:pt idx="0">
                  <c:v>Net to Gross</c:v>
                </c:pt>
              </c:strCache>
            </c:strRef>
          </c:tx>
          <c:spPr>
            <a:ln w="9525" cap="rnd">
              <a:solidFill>
                <a:srgbClr val="0000FF"/>
              </a:solidFill>
              <a:round/>
            </a:ln>
            <a:effectLst/>
          </c:spPr>
          <c:marker>
            <c:symbol val="circle"/>
            <c:size val="5"/>
            <c:spPr>
              <a:solidFill>
                <a:schemeClr val="accent1">
                  <a:lumMod val="20000"/>
                  <a:lumOff val="80000"/>
                </a:schemeClr>
              </a:solidFill>
              <a:ln w="9525">
                <a:solidFill>
                  <a:srgbClr val="0000FF"/>
                </a:solidFill>
              </a:ln>
              <a:effectLst/>
            </c:spPr>
          </c:marker>
          <c:xVal>
            <c:numRef>
              <c:f>Probability_Scale_Data_HIDE!$AG$32:$AG$76</c:f>
              <c:numCache>
                <c:formatCode>#,##0.0000;\-0.0000;"--"</c:formatCode>
                <c:ptCount val="45"/>
                <c:pt idx="0">
                  <c:v>29.51576526198722</c:v>
                </c:pt>
                <c:pt idx="1">
                  <c:v>30.537083113596189</c:v>
                </c:pt>
                <c:pt idx="2">
                  <c:v>31.558400965205159</c:v>
                </c:pt>
                <c:pt idx="3">
                  <c:v>32.579718816814129</c:v>
                </c:pt>
                <c:pt idx="4">
                  <c:v>33.601036668423099</c:v>
                </c:pt>
                <c:pt idx="5">
                  <c:v>34.622354520032069</c:v>
                </c:pt>
                <c:pt idx="6">
                  <c:v>35.643672371641038</c:v>
                </c:pt>
                <c:pt idx="7">
                  <c:v>36.664990223250008</c:v>
                </c:pt>
                <c:pt idx="8">
                  <c:v>37.686308074858978</c:v>
                </c:pt>
                <c:pt idx="9">
                  <c:v>38.707625926467948</c:v>
                </c:pt>
                <c:pt idx="10">
                  <c:v>39.728943778076918</c:v>
                </c:pt>
                <c:pt idx="11">
                  <c:v>40.750261629685887</c:v>
                </c:pt>
                <c:pt idx="12">
                  <c:v>41.771579481294857</c:v>
                </c:pt>
                <c:pt idx="13">
                  <c:v>42.792897332903827</c:v>
                </c:pt>
                <c:pt idx="14">
                  <c:v>43.814215184512797</c:v>
                </c:pt>
                <c:pt idx="15">
                  <c:v>44.835533036121767</c:v>
                </c:pt>
                <c:pt idx="16">
                  <c:v>45.856850887730737</c:v>
                </c:pt>
                <c:pt idx="17">
                  <c:v>46.878168739339706</c:v>
                </c:pt>
                <c:pt idx="18">
                  <c:v>47.899486590948676</c:v>
                </c:pt>
                <c:pt idx="19">
                  <c:v>48.920804442557646</c:v>
                </c:pt>
                <c:pt idx="20">
                  <c:v>49.942122294166616</c:v>
                </c:pt>
                <c:pt idx="21">
                  <c:v>50.963440145775586</c:v>
                </c:pt>
                <c:pt idx="22">
                  <c:v>51.984757997384555</c:v>
                </c:pt>
                <c:pt idx="23">
                  <c:v>53.006075848993525</c:v>
                </c:pt>
                <c:pt idx="24">
                  <c:v>54.027393700602495</c:v>
                </c:pt>
                <c:pt idx="25">
                  <c:v>55.048711552211465</c:v>
                </c:pt>
                <c:pt idx="26">
                  <c:v>56.070029403820435</c:v>
                </c:pt>
                <c:pt idx="27">
                  <c:v>57.091347255429405</c:v>
                </c:pt>
                <c:pt idx="28">
                  <c:v>58.112665107038374</c:v>
                </c:pt>
                <c:pt idx="29">
                  <c:v>59.133982958647344</c:v>
                </c:pt>
                <c:pt idx="30">
                  <c:v>60.155300810256314</c:v>
                </c:pt>
                <c:pt idx="31">
                  <c:v>61.176618661865284</c:v>
                </c:pt>
                <c:pt idx="32">
                  <c:v>62.197936513474254</c:v>
                </c:pt>
                <c:pt idx="33">
                  <c:v>63.219254365083223</c:v>
                </c:pt>
                <c:pt idx="34">
                  <c:v>64.240572216692186</c:v>
                </c:pt>
                <c:pt idx="35">
                  <c:v>65.261890068301156</c:v>
                </c:pt>
                <c:pt idx="36">
                  <c:v>66.283207919910126</c:v>
                </c:pt>
                <c:pt idx="37">
                  <c:v>67.304525771519096</c:v>
                </c:pt>
                <c:pt idx="38">
                  <c:v>68.325843623128065</c:v>
                </c:pt>
                <c:pt idx="39">
                  <c:v>69.347161474737035</c:v>
                </c:pt>
                <c:pt idx="40">
                  <c:v>70.368479326346005</c:v>
                </c:pt>
                <c:pt idx="41">
                  <c:v>71.389797177954975</c:v>
                </c:pt>
                <c:pt idx="42">
                  <c:v>72.411115029563945</c:v>
                </c:pt>
                <c:pt idx="43">
                  <c:v>73.432432881172915</c:v>
                </c:pt>
                <c:pt idx="44">
                  <c:v>74.453750732781884</c:v>
                </c:pt>
              </c:numCache>
            </c:numRef>
          </c:xVal>
          <c:yVal>
            <c:numRef>
              <c:f>Probability_Scale_Data_HIDE!$AI$32:$AI$76</c:f>
              <c:numCache>
                <c:formatCode>#,##0.0000000;\-0.0000000;"--"</c:formatCode>
                <c:ptCount val="45"/>
                <c:pt idx="0">
                  <c:v>0.99931990732116627</c:v>
                </c:pt>
                <c:pt idx="1">
                  <c:v>0.99859564386223532</c:v>
                </c:pt>
                <c:pt idx="2">
                  <c:v>0.99728181666953564</c:v>
                </c:pt>
                <c:pt idx="3">
                  <c:v>0.99504041370592422</c:v>
                </c:pt>
                <c:pt idx="4">
                  <c:v>0.99142584461184058</c:v>
                </c:pt>
                <c:pt idx="5">
                  <c:v>0.9858906761150551</c:v>
                </c:pt>
                <c:pt idx="6">
                  <c:v>0.97780859207146376</c:v>
                </c:pt>
                <c:pt idx="7">
                  <c:v>0.9665148617402779</c:v>
                </c:pt>
                <c:pt idx="8">
                  <c:v>0.9513610911693029</c:v>
                </c:pt>
                <c:pt idx="9">
                  <c:v>0.93177788631115865</c:v>
                </c:pt>
                <c:pt idx="10">
                  <c:v>0.90733706506783784</c:v>
                </c:pt>
                <c:pt idx="11">
                  <c:v>0.87780468975352655</c:v>
                </c:pt>
                <c:pt idx="12">
                  <c:v>0.84317748984937779</c:v>
                </c:pt>
                <c:pt idx="13">
                  <c:v>0.80369784532199962</c:v>
                </c:pt>
                <c:pt idx="14">
                  <c:v>0.7598457822838649</c:v>
                </c:pt>
                <c:pt idx="15">
                  <c:v>0.71230970409060024</c:v>
                </c:pt>
                <c:pt idx="16">
                  <c:v>0.66194025225676745</c:v>
                </c:pt>
                <c:pt idx="17">
                  <c:v>0.60969338652842686</c:v>
                </c:pt>
                <c:pt idx="18">
                  <c:v>0.55656936660383038</c:v>
                </c:pt>
                <c:pt idx="19">
                  <c:v>0.50355390667810451</c:v>
                </c:pt>
                <c:pt idx="20">
                  <c:v>0.45156660897080614</c:v>
                </c:pt>
                <c:pt idx="21">
                  <c:v>0.40142018446053129</c:v>
                </c:pt>
                <c:pt idx="22">
                  <c:v>0.35379225395940628</c:v>
                </c:pt>
                <c:pt idx="23">
                  <c:v>0.30920994793072187</c:v>
                </c:pt>
                <c:pt idx="24">
                  <c:v>0.26804626119359853</c:v>
                </c:pt>
                <c:pt idx="25">
                  <c:v>0.23052625166547724</c:v>
                </c:pt>
                <c:pt idx="26">
                  <c:v>0.19674070671689547</c:v>
                </c:pt>
                <c:pt idx="27">
                  <c:v>0.16666478756108005</c:v>
                </c:pt>
                <c:pt idx="28">
                  <c:v>0.1401793208215294</c:v>
                </c:pt>
                <c:pt idx="29">
                  <c:v>0.11709274581324802</c:v>
                </c:pt>
                <c:pt idx="30">
                  <c:v>9.7162159964444217E-2</c:v>
                </c:pt>
                <c:pt idx="31">
                  <c:v>8.0112361787215924E-2</c:v>
                </c:pt>
                <c:pt idx="32">
                  <c:v>6.5652218602852086E-2</c:v>
                </c:pt>
                <c:pt idx="33">
                  <c:v>5.3488051945308812E-2</c:v>
                </c:pt>
                <c:pt idx="34">
                  <c:v>4.3334021266084544E-2</c:v>
                </c:pt>
                <c:pt idx="35">
                  <c:v>3.4919693478503655E-2</c:v>
                </c:pt>
                <c:pt idx="36">
                  <c:v>2.7995118300437993E-2</c:v>
                </c:pt>
                <c:pt idx="37">
                  <c:v>2.2333798860495468E-2</c:v>
                </c:pt>
                <c:pt idx="38">
                  <c:v>1.7733967435421327E-2</c:v>
                </c:pt>
                <c:pt idx="39">
                  <c:v>1.4018561313383637E-2</c:v>
                </c:pt>
                <c:pt idx="40">
                  <c:v>1.1034256056489E-2</c:v>
                </c:pt>
                <c:pt idx="41">
                  <c:v>8.6498631473839183E-3</c:v>
                </c:pt>
                <c:pt idx="42">
                  <c:v>6.7543440423766254E-3</c:v>
                </c:pt>
                <c:pt idx="43">
                  <c:v>5.2546386205338802E-3</c:v>
                </c:pt>
                <c:pt idx="44">
                  <c:v>4.073456525244934E-3</c:v>
                </c:pt>
              </c:numCache>
            </c:numRef>
          </c:yVal>
          <c:smooth val="0"/>
        </c:ser>
        <c:ser>
          <c:idx val="1"/>
          <c:order val="1"/>
          <c:tx>
            <c:strRef>
              <c:f>Probability_Scale_Data_HIDE!$AH$19</c:f>
              <c:strCache>
                <c:ptCount val="1"/>
                <c:pt idx="0">
                  <c:v>Pmean: 48.99 %</c:v>
                </c:pt>
              </c:strCache>
            </c:strRef>
          </c:tx>
          <c:spPr>
            <a:ln w="12700">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dLbl>
              <c:idx val="1"/>
              <c:dLblPos val="t"/>
              <c:showLegendKey val="0"/>
              <c:showVal val="0"/>
              <c:showCatName val="0"/>
              <c:showSerName val="1"/>
              <c:showPercent val="0"/>
              <c:showBubbleSize val="0"/>
              <c:extLst>
                <c:ext xmlns:c15="http://schemas.microsoft.com/office/drawing/2012/chart" uri="{CE6537A1-D6FC-4f65-9D91-7224C49458BB}"/>
              </c:extLst>
            </c:dLbl>
            <c:spPr>
              <a:noFill/>
              <a:ln>
                <a:noFill/>
              </a:ln>
              <a:effectLst/>
            </c:spPr>
            <c:txPr>
              <a:bodyPr/>
              <a:lstStyle/>
              <a:p>
                <a:pPr>
                  <a:defRPr sz="800"/>
                </a:pPr>
                <a:endParaRPr lang="es-B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Probability_Scale_Data_HIDE!$AH$21:$AH$22</c:f>
              <c:numCache>
                <c:formatCode>0.000;\-0.000;"--"</c:formatCode>
                <c:ptCount val="2"/>
                <c:pt idx="0">
                  <c:v>48.99</c:v>
                </c:pt>
                <c:pt idx="1">
                  <c:v>48.99</c:v>
                </c:pt>
              </c:numCache>
            </c:numRef>
          </c:xVal>
          <c:yVal>
            <c:numRef>
              <c:f>Probability_Scale_Data_HIDE!$AH$26:$AH$27</c:f>
              <c:numCache>
                <c:formatCode>#,##0.0000000;\-0.0000000;"--"</c:formatCode>
                <c:ptCount val="2"/>
                <c:pt idx="0" formatCode="#,##0.00;\-0.00;&quot;--&quot;">
                  <c:v>0</c:v>
                </c:pt>
                <c:pt idx="1">
                  <c:v>0.99931990732116627</c:v>
                </c:pt>
              </c:numCache>
            </c:numRef>
          </c:yVal>
          <c:smooth val="0"/>
        </c:ser>
        <c:dLbls>
          <c:showLegendKey val="0"/>
          <c:showVal val="0"/>
          <c:showCatName val="0"/>
          <c:showSerName val="0"/>
          <c:showPercent val="0"/>
          <c:showBubbleSize val="0"/>
        </c:dLbls>
        <c:axId val="947032816"/>
        <c:axId val="947033376"/>
      </c:scatterChart>
      <c:valAx>
        <c:axId val="947032816"/>
        <c:scaling>
          <c:orientation val="minMax"/>
        </c:scaling>
        <c:delete val="0"/>
        <c:axPos val="b"/>
        <c:title>
          <c:tx>
            <c:rich>
              <a:bodyPr/>
              <a:lstStyle/>
              <a:p>
                <a:pPr>
                  <a:defRPr/>
                </a:pPr>
                <a:r>
                  <a:rPr lang="es-BO"/>
                  <a:t>Water Saturation,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47033376"/>
        <c:crosses val="autoZero"/>
        <c:crossBetween val="midCat"/>
      </c:valAx>
      <c:valAx>
        <c:axId val="947033376"/>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9470328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62140183296761"/>
          <c:y val="7.5061597030100957E-2"/>
          <c:w val="0.8311779060404334"/>
          <c:h val="0.77482902780728413"/>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E786-46AC-A9CD-DC2168A3DAD1}"/>
                </c:ext>
                <c:ext xmlns:c15="http://schemas.microsoft.com/office/drawing/2012/chart" uri="{CE6537A1-D6FC-4f65-9D91-7224C49458BB}"/>
              </c:extLst>
            </c:dLbl>
            <c:dLbl>
              <c:idx val="1"/>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E786-46AC-A9CD-DC2168A3DAD1}"/>
                </c:ext>
                <c:ext xmlns:c15="http://schemas.microsoft.com/office/drawing/2012/chart" uri="{CE6537A1-D6FC-4f65-9D91-7224C49458BB}"/>
              </c:extLst>
            </c:dLbl>
            <c:dLbl>
              <c:idx val="2"/>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E786-46AC-A9CD-DC2168A3DAD1}"/>
                </c:ext>
                <c:ext xmlns:c15="http://schemas.microsoft.com/office/drawing/2012/chart" uri="{CE6537A1-D6FC-4f65-9D91-7224C49458BB}"/>
              </c:extLst>
            </c:dLbl>
            <c:dLbl>
              <c:idx val="3"/>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E786-46AC-A9CD-DC2168A3DAD1}"/>
                </c:ext>
                <c:ext xmlns:c15="http://schemas.microsoft.com/office/drawing/2012/chart" uri="{CE6537A1-D6FC-4f65-9D91-7224C49458BB}"/>
              </c:extLst>
            </c:dLbl>
            <c:dLbl>
              <c:idx val="4"/>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E786-46AC-A9CD-DC2168A3DAD1}"/>
                </c:ext>
                <c:ext xmlns:c15="http://schemas.microsoft.com/office/drawing/2012/chart" uri="{CE6537A1-D6FC-4f65-9D91-7224C49458BB}"/>
              </c:extLst>
            </c:dLbl>
            <c:dLbl>
              <c:idx val="5"/>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E786-46AC-A9CD-DC2168A3DAD1}"/>
                </c:ext>
                <c:ext xmlns:c15="http://schemas.microsoft.com/office/drawing/2012/chart" uri="{CE6537A1-D6FC-4f65-9D91-7224C49458BB}"/>
              </c:extLst>
            </c:dLbl>
            <c:dLbl>
              <c:idx val="6"/>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E786-46AC-A9CD-DC2168A3DAD1}"/>
                </c:ext>
                <c:ext xmlns:c15="http://schemas.microsoft.com/office/drawing/2012/chart" uri="{CE6537A1-D6FC-4f65-9D91-7224C49458BB}"/>
              </c:extLst>
            </c:dLbl>
            <c:dLbl>
              <c:idx val="7"/>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E786-46AC-A9CD-DC2168A3DAD1}"/>
                </c:ext>
                <c:ext xmlns:c15="http://schemas.microsoft.com/office/drawing/2012/chart" uri="{CE6537A1-D6FC-4f65-9D91-7224C49458BB}"/>
              </c:extLst>
            </c:dLbl>
            <c:dLbl>
              <c:idx val="8"/>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E786-46AC-A9CD-DC2168A3DAD1}"/>
                </c:ext>
                <c:ext xmlns:c15="http://schemas.microsoft.com/office/drawing/2012/chart" uri="{CE6537A1-D6FC-4f65-9D91-7224C49458BB}"/>
              </c:extLst>
            </c:dLbl>
            <c:dLbl>
              <c:idx val="9"/>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E786-46AC-A9CD-DC2168A3DAD1}"/>
                </c:ext>
                <c:ext xmlns:c15="http://schemas.microsoft.com/office/drawing/2012/chart" uri="{CE6537A1-D6FC-4f65-9D91-7224C49458BB}"/>
              </c:extLst>
            </c:dLbl>
            <c:dLbl>
              <c:idx val="10"/>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E786-46AC-A9CD-DC2168A3DAD1}"/>
                </c:ext>
                <c:ext xmlns:c15="http://schemas.microsoft.com/office/drawing/2012/chart" uri="{CE6537A1-D6FC-4f65-9D91-7224C49458BB}"/>
              </c:extLst>
            </c:dLbl>
            <c:dLbl>
              <c:idx val="11"/>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E786-46AC-A9CD-DC2168A3DAD1}"/>
                </c:ext>
                <c:ext xmlns:c15="http://schemas.microsoft.com/office/drawing/2012/chart" uri="{CE6537A1-D6FC-4f65-9D91-7224C49458BB}"/>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Probability_Scale_Data_HIDE!$C$5:$C$16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Probability_Scale_Data_HIDE!$D$5:$D$16</c:f>
              <c:numCache>
                <c:formatCode>General</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E786-46AC-A9CD-DC2168A3DAD1}"/>
            </c:ext>
          </c:extLst>
        </c:ser>
        <c:dLbls>
          <c:showLegendKey val="0"/>
          <c:showVal val="0"/>
          <c:showCatName val="0"/>
          <c:showSerName val="0"/>
          <c:showPercent val="0"/>
          <c:showBubbleSize val="0"/>
        </c:dLbls>
        <c:axId val="942620720"/>
        <c:axId val="942621280"/>
      </c:scatterChart>
      <c:scatterChart>
        <c:scatterStyle val="lineMarker"/>
        <c:varyColors val="0"/>
        <c:ser>
          <c:idx val="1"/>
          <c:order val="1"/>
          <c:tx>
            <c:strRef>
              <c:f>Probability_Scale_Data_HIDE!$Q$26</c:f>
              <c:strCache>
                <c:ptCount val="1"/>
                <c:pt idx="0">
                  <c:v>Sg</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Probability_Scale_Data_HIDE!$Q$27:$Q$28</c:f>
              <c:numCache>
                <c:formatCode>"P10: "General</c:formatCode>
                <c:ptCount val="2"/>
                <c:pt idx="0" formatCode="&quot;P90: &quot;General">
                  <c:v>40</c:v>
                </c:pt>
                <c:pt idx="1">
                  <c:v>60</c:v>
                </c:pt>
              </c:numCache>
            </c:numRef>
          </c:xVal>
          <c:yVal>
            <c:numRef>
              <c:f>Probability_Scale_Data_HIDE!$I$27:$I$28</c:f>
              <c:numCache>
                <c:formatCode>General</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E786-46AC-A9CD-DC2168A3DAD1}"/>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dLblPos val="l"/>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Probability_Scale_Data_HIDE!$Q$34:$Q$36</c:f>
              <c:numCache>
                <c:formatCode>"P50: "General</c:formatCode>
                <c:ptCount val="3"/>
                <c:pt idx="0" formatCode="&quot;P1: &quot;General">
                  <c:v>70.8</c:v>
                </c:pt>
                <c:pt idx="1">
                  <c:v>49</c:v>
                </c:pt>
                <c:pt idx="2" formatCode="&quot;P99: &quot;General">
                  <c:v>33.9</c:v>
                </c:pt>
              </c:numCache>
            </c:numRef>
          </c:xVal>
          <c:yVal>
            <c:numRef>
              <c:f>Probability_Scale_Data_HIDE!$I$34:$I$36</c:f>
              <c:numCache>
                <c:formatCode>General</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E786-46AC-A9CD-DC2168A3DAD1}"/>
            </c:ext>
          </c:extLst>
        </c:ser>
        <c:dLbls>
          <c:showLegendKey val="0"/>
          <c:showVal val="0"/>
          <c:showCatName val="0"/>
          <c:showSerName val="0"/>
          <c:showPercent val="0"/>
          <c:showBubbleSize val="0"/>
        </c:dLbls>
        <c:axId val="942622400"/>
        <c:axId val="942621840"/>
      </c:scatterChart>
      <c:valAx>
        <c:axId val="942620720"/>
        <c:scaling>
          <c:orientation val="minMax"/>
          <c:max val="10000"/>
        </c:scaling>
        <c:delete val="0"/>
        <c:axPos val="t"/>
        <c:title>
          <c:tx>
            <c:rich>
              <a:bodyPr/>
              <a:lstStyle/>
              <a:p>
                <a:pPr>
                  <a:defRPr sz="1000"/>
                </a:pPr>
                <a:r>
                  <a:rPr lang="es-BO" sz="1000"/>
                  <a:t>Gas Saturation, %</a:t>
                </a:r>
              </a:p>
            </c:rich>
          </c:tx>
          <c:layout>
            <c:manualLayout>
              <c:xMode val="edge"/>
              <c:yMode val="edge"/>
              <c:x val="0.37914144866866994"/>
              <c:y val="0.94231373105388849"/>
            </c:manualLayout>
          </c:layout>
          <c:overlay val="0"/>
        </c:title>
        <c:numFmt formatCode="General" sourceLinked="1"/>
        <c:majorTickMark val="none"/>
        <c:minorTickMark val="none"/>
        <c:tickLblPos val="none"/>
        <c:spPr>
          <a:ln>
            <a:solidFill>
              <a:schemeClr val="tx1"/>
            </a:solidFill>
          </a:ln>
        </c:spPr>
        <c:crossAx val="942621280"/>
        <c:crossesAt val="2.5"/>
        <c:crossBetween val="midCat"/>
      </c:valAx>
      <c:valAx>
        <c:axId val="942621280"/>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2827879923403663E-2"/>
              <c:y val="0.22650009548519906"/>
            </c:manualLayout>
          </c:layout>
          <c:overlay val="0"/>
        </c:title>
        <c:numFmt formatCode="General" sourceLinked="1"/>
        <c:majorTickMark val="none"/>
        <c:minorTickMark val="none"/>
        <c:tickLblPos val="none"/>
        <c:spPr>
          <a:ln>
            <a:solidFill>
              <a:schemeClr val="tx1"/>
            </a:solidFill>
          </a:ln>
        </c:spPr>
        <c:crossAx val="942620720"/>
        <c:crosses val="autoZero"/>
        <c:crossBetween val="midCat"/>
      </c:valAx>
      <c:valAx>
        <c:axId val="942621840"/>
        <c:scaling>
          <c:orientation val="maxMin"/>
          <c:max val="2.5"/>
          <c:min val="-2.5"/>
        </c:scaling>
        <c:delete val="0"/>
        <c:axPos val="r"/>
        <c:numFmt formatCode="General" sourceLinked="1"/>
        <c:majorTickMark val="none"/>
        <c:minorTickMark val="none"/>
        <c:tickLblPos val="none"/>
        <c:spPr>
          <a:ln>
            <a:solidFill>
              <a:schemeClr val="tx1"/>
            </a:solidFill>
          </a:ln>
        </c:spPr>
        <c:crossAx val="942622400"/>
        <c:crosses val="max"/>
        <c:crossBetween val="midCat"/>
      </c:valAx>
      <c:valAx>
        <c:axId val="942622400"/>
        <c:scaling>
          <c:logBase val="10"/>
          <c:orientation val="minMax"/>
          <c:max val="100"/>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942621840"/>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8"/>
    </mc:Choice>
    <mc:Fallback>
      <c:style val="38"/>
    </mc:Fallback>
  </mc:AlternateContent>
  <c:chart>
    <c:autoTitleDeleted val="0"/>
    <c:plotArea>
      <c:layout>
        <c:manualLayout>
          <c:layoutTarget val="inner"/>
          <c:xMode val="edge"/>
          <c:yMode val="edge"/>
          <c:x val="0.12671620965412111"/>
          <c:y val="0.11686417322834645"/>
          <c:w val="0.81767123371873596"/>
          <c:h val="0.75007808398950127"/>
        </c:manualLayout>
      </c:layout>
      <c:areaChart>
        <c:grouping val="standard"/>
        <c:varyColors val="0"/>
        <c:ser>
          <c:idx val="0"/>
          <c:order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cat>
            <c:numRef>
              <c:f>Input_Data!$J$89:$O$89</c:f>
              <c:numCache>
                <c:formatCode>0.00</c:formatCode>
                <c:ptCount val="6"/>
                <c:pt idx="0">
                  <c:v>356.35945531028557</c:v>
                </c:pt>
                <c:pt idx="1">
                  <c:v>357.35945531028557</c:v>
                </c:pt>
                <c:pt idx="2">
                  <c:v>357.35945531028557</c:v>
                </c:pt>
                <c:pt idx="3">
                  <c:v>371.914984205135</c:v>
                </c:pt>
                <c:pt idx="4">
                  <c:v>371.914984205135</c:v>
                </c:pt>
                <c:pt idx="5">
                  <c:v>372.914984205135</c:v>
                </c:pt>
              </c:numCache>
            </c:numRef>
          </c:cat>
          <c:val>
            <c:numRef>
              <c:f>Input_Data!$J$88:$O$88</c:f>
              <c:numCache>
                <c:formatCode>General</c:formatCode>
                <c:ptCount val="6"/>
                <c:pt idx="0">
                  <c:v>0</c:v>
                </c:pt>
                <c:pt idx="1">
                  <c:v>0</c:v>
                </c:pt>
                <c:pt idx="2">
                  <c:v>6.8702415915223566E-2</c:v>
                </c:pt>
                <c:pt idx="3">
                  <c:v>6.8702415915223566E-2</c:v>
                </c:pt>
                <c:pt idx="4">
                  <c:v>0</c:v>
                </c:pt>
                <c:pt idx="5">
                  <c:v>0</c:v>
                </c:pt>
              </c:numCache>
            </c:numRef>
          </c:val>
        </c:ser>
        <c:dLbls>
          <c:showLegendKey val="0"/>
          <c:showVal val="0"/>
          <c:showCatName val="0"/>
          <c:showSerName val="0"/>
          <c:showPercent val="0"/>
          <c:showBubbleSize val="0"/>
        </c:dLbls>
        <c:axId val="942625760"/>
        <c:axId val="942626320"/>
      </c:areaChart>
      <c:lineChart>
        <c:grouping val="standard"/>
        <c:varyColors val="0"/>
        <c:ser>
          <c:idx val="1"/>
          <c:order val="1"/>
          <c:spPr>
            <a:ln>
              <a:noFill/>
            </a:ln>
          </c:spPr>
          <c:marker>
            <c:symbol val="none"/>
          </c:marker>
          <c:dPt>
            <c:idx val="2"/>
            <c:marker>
              <c:symbol val="circle"/>
              <c:size val="5"/>
              <c:spPr>
                <a:solidFill>
                  <a:schemeClr val="tx1"/>
                </a:solidFill>
                <a:ln>
                  <a:noFill/>
                </a:ln>
              </c:spPr>
            </c:marker>
            <c:bubble3D val="0"/>
          </c:dPt>
          <c:dPt>
            <c:idx val="3"/>
            <c:marker>
              <c:symbol val="circle"/>
              <c:size val="5"/>
              <c:spPr>
                <a:solidFill>
                  <a:schemeClr val="tx1"/>
                </a:solidFill>
                <a:ln>
                  <a:noFill/>
                </a:ln>
              </c:spPr>
            </c:marker>
            <c:bubble3D val="0"/>
          </c:dPt>
          <c:dLbls>
            <c:dLbl>
              <c:idx val="0"/>
              <c:delete val="1"/>
              <c:extLst>
                <c:ext xmlns:c15="http://schemas.microsoft.com/office/drawing/2012/chart" uri="{CE6537A1-D6FC-4f65-9D91-7224C49458BB}"/>
              </c:extLst>
            </c:dLbl>
            <c:dLbl>
              <c:idx val="1"/>
              <c:delete val="1"/>
              <c:extLst>
                <c:ext xmlns:c15="http://schemas.microsoft.com/office/drawing/2012/chart" uri="{CE6537A1-D6FC-4f65-9D91-7224C49458BB}"/>
              </c:extLst>
            </c:dLbl>
            <c:dLbl>
              <c:idx val="4"/>
              <c:delete val="1"/>
              <c:extLst>
                <c:ext xmlns:c15="http://schemas.microsoft.com/office/drawing/2012/chart" uri="{CE6537A1-D6FC-4f65-9D91-7224C49458BB}"/>
              </c:extLst>
            </c:dLbl>
            <c:dLbl>
              <c:idx val="5"/>
              <c:delete val="1"/>
              <c:extLst>
                <c:ext xmlns:c15="http://schemas.microsoft.com/office/drawing/2012/chart" uri="{CE6537A1-D6FC-4f65-9D91-7224C49458BB}"/>
              </c:extLst>
            </c:dLbl>
            <c:numFmt formatCode="#,##0.0" sourceLinked="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s-BO"/>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val>
            <c:numRef>
              <c:f>Input_Data!$J$88:$O$88</c:f>
              <c:numCache>
                <c:formatCode>General</c:formatCode>
                <c:ptCount val="6"/>
                <c:pt idx="0">
                  <c:v>0</c:v>
                </c:pt>
                <c:pt idx="1">
                  <c:v>0</c:v>
                </c:pt>
                <c:pt idx="2">
                  <c:v>6.8702415915223566E-2</c:v>
                </c:pt>
                <c:pt idx="3">
                  <c:v>6.8702415915223566E-2</c:v>
                </c:pt>
                <c:pt idx="4">
                  <c:v>0</c:v>
                </c:pt>
                <c:pt idx="5">
                  <c:v>0</c:v>
                </c:pt>
              </c:numCache>
            </c:numRef>
          </c:val>
          <c:smooth val="0"/>
        </c:ser>
        <c:dLbls>
          <c:showLegendKey val="0"/>
          <c:showVal val="0"/>
          <c:showCatName val="0"/>
          <c:showSerName val="0"/>
          <c:showPercent val="0"/>
          <c:showBubbleSize val="0"/>
        </c:dLbls>
        <c:marker val="1"/>
        <c:smooth val="0"/>
        <c:axId val="942625760"/>
        <c:axId val="942626320"/>
      </c:lineChart>
      <c:dateAx>
        <c:axId val="942625760"/>
        <c:scaling>
          <c:orientation val="minMax"/>
        </c:scaling>
        <c:delete val="0"/>
        <c:axPos val="b"/>
        <c:title>
          <c:tx>
            <c:rich>
              <a:bodyPr/>
              <a:lstStyle/>
              <a:p>
                <a:pPr>
                  <a:defRPr/>
                </a:pPr>
                <a:r>
                  <a:rPr lang="es-BO"/>
                  <a:t>Gas Expansion Factor (Egi), scf/cf</a:t>
                </a:r>
              </a:p>
            </c:rich>
          </c:tx>
          <c:layout>
            <c:manualLayout>
              <c:xMode val="edge"/>
              <c:yMode val="edge"/>
              <c:x val="0.3038421017045001"/>
              <c:y val="2.4767325136989395E-2"/>
            </c:manualLayout>
          </c:layout>
          <c:overlay val="0"/>
        </c:title>
        <c:numFmt formatCode="General" sourceLinked="0"/>
        <c:majorTickMark val="out"/>
        <c:minorTickMark val="none"/>
        <c:tickLblPos val="nextTo"/>
        <c:txPr>
          <a:bodyPr/>
          <a:lstStyle/>
          <a:p>
            <a:pPr>
              <a:defRPr sz="800"/>
            </a:pPr>
            <a:endParaRPr lang="es-BO"/>
          </a:p>
        </c:txPr>
        <c:crossAx val="942626320"/>
        <c:crosses val="autoZero"/>
        <c:auto val="0"/>
        <c:lblOffset val="100"/>
        <c:baseTimeUnit val="days"/>
        <c:majorUnit val="2"/>
        <c:majorTimeUnit val="days"/>
      </c:dateAx>
      <c:valAx>
        <c:axId val="942626320"/>
        <c:scaling>
          <c:orientation val="minMax"/>
        </c:scaling>
        <c:delete val="0"/>
        <c:axPos val="l"/>
        <c:title>
          <c:tx>
            <c:rich>
              <a:bodyPr rot="0" vert="horz"/>
              <a:lstStyle/>
              <a:p>
                <a:pPr>
                  <a:defRPr/>
                </a:pPr>
                <a:r>
                  <a:rPr lang="es-BO"/>
                  <a:t>f(x)</a:t>
                </a:r>
              </a:p>
            </c:rich>
          </c:tx>
          <c:layout>
            <c:manualLayout>
              <c:xMode val="edge"/>
              <c:yMode val="edge"/>
              <c:x val="6.8696330991412966E-2"/>
              <c:y val="1.02260498687664E-2"/>
            </c:manualLayout>
          </c:layout>
          <c:overlay val="0"/>
        </c:title>
        <c:numFmt formatCode="#,##0.000" sourceLinked="0"/>
        <c:majorTickMark val="out"/>
        <c:minorTickMark val="none"/>
        <c:tickLblPos val="nextTo"/>
        <c:crossAx val="942625760"/>
        <c:crosses val="autoZero"/>
        <c:crossBetween val="between"/>
      </c:valAx>
      <c:spPr>
        <a:noFill/>
      </c:spPr>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8"/>
    </mc:Choice>
    <mc:Fallback>
      <c:style val="38"/>
    </mc:Fallback>
  </mc:AlternateContent>
  <c:chart>
    <c:autoTitleDeleted val="0"/>
    <c:plotArea>
      <c:layout>
        <c:manualLayout>
          <c:layoutTarget val="inner"/>
          <c:xMode val="edge"/>
          <c:yMode val="edge"/>
          <c:x val="0.11422596765568238"/>
          <c:y val="0.15633798406778099"/>
          <c:w val="0.82391635471795521"/>
          <c:h val="0.71674462914357928"/>
        </c:manualLayout>
      </c:layout>
      <c:areaChart>
        <c:grouping val="standard"/>
        <c:varyColors val="0"/>
        <c:ser>
          <c:idx val="0"/>
          <c:order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cat>
            <c:numRef>
              <c:f>Input_Data!$Q$90:$V$90</c:f>
              <c:numCache>
                <c:formatCode>0.0</c:formatCode>
                <c:ptCount val="6"/>
                <c:pt idx="0">
                  <c:v>0</c:v>
                </c:pt>
                <c:pt idx="1">
                  <c:v>0.5</c:v>
                </c:pt>
                <c:pt idx="2">
                  <c:v>0.5</c:v>
                </c:pt>
                <c:pt idx="3">
                  <c:v>2</c:v>
                </c:pt>
                <c:pt idx="4">
                  <c:v>2</c:v>
                </c:pt>
                <c:pt idx="5">
                  <c:v>2.5</c:v>
                </c:pt>
              </c:numCache>
            </c:numRef>
          </c:cat>
          <c:val>
            <c:numRef>
              <c:f>Input_Data!$Q$89:$V$89</c:f>
              <c:numCache>
                <c:formatCode>General</c:formatCode>
                <c:ptCount val="6"/>
                <c:pt idx="0">
                  <c:v>0</c:v>
                </c:pt>
                <c:pt idx="1">
                  <c:v>0</c:v>
                </c:pt>
                <c:pt idx="2">
                  <c:v>0.66666666666666663</c:v>
                </c:pt>
                <c:pt idx="3">
                  <c:v>0.66666666666666663</c:v>
                </c:pt>
                <c:pt idx="4">
                  <c:v>0</c:v>
                </c:pt>
                <c:pt idx="5">
                  <c:v>0</c:v>
                </c:pt>
              </c:numCache>
            </c:numRef>
          </c:val>
        </c:ser>
        <c:dLbls>
          <c:showLegendKey val="0"/>
          <c:showVal val="0"/>
          <c:showCatName val="0"/>
          <c:showSerName val="0"/>
          <c:showPercent val="0"/>
          <c:showBubbleSize val="0"/>
        </c:dLbls>
        <c:axId val="942740080"/>
        <c:axId val="942740640"/>
      </c:areaChart>
      <c:lineChart>
        <c:grouping val="standard"/>
        <c:varyColors val="0"/>
        <c:ser>
          <c:idx val="1"/>
          <c:order val="1"/>
          <c:spPr>
            <a:ln>
              <a:noFill/>
            </a:ln>
          </c:spPr>
          <c:marker>
            <c:symbol val="none"/>
          </c:marker>
          <c:dPt>
            <c:idx val="2"/>
            <c:marker>
              <c:symbol val="circle"/>
              <c:size val="5"/>
              <c:spPr>
                <a:solidFill>
                  <a:schemeClr val="tx1"/>
                </a:solidFill>
                <a:ln>
                  <a:noFill/>
                </a:ln>
              </c:spPr>
            </c:marker>
            <c:bubble3D val="0"/>
          </c:dPt>
          <c:dPt>
            <c:idx val="3"/>
            <c:marker>
              <c:symbol val="circle"/>
              <c:size val="5"/>
              <c:spPr>
                <a:solidFill>
                  <a:schemeClr val="tx1"/>
                </a:solidFill>
                <a:ln>
                  <a:noFill/>
                </a:ln>
              </c:spPr>
            </c:marker>
            <c:bubble3D val="0"/>
          </c:dPt>
          <c:dLbls>
            <c:dLbl>
              <c:idx val="0"/>
              <c:delete val="1"/>
              <c:extLst>
                <c:ext xmlns:c15="http://schemas.microsoft.com/office/drawing/2012/chart" uri="{CE6537A1-D6FC-4f65-9D91-7224C49458BB}"/>
              </c:extLst>
            </c:dLbl>
            <c:dLbl>
              <c:idx val="1"/>
              <c:delete val="1"/>
              <c:extLst>
                <c:ext xmlns:c15="http://schemas.microsoft.com/office/drawing/2012/chart" uri="{CE6537A1-D6FC-4f65-9D91-7224C49458BB}"/>
              </c:extLst>
            </c:dLbl>
            <c:dLbl>
              <c:idx val="4"/>
              <c:delete val="1"/>
              <c:extLst>
                <c:ext xmlns:c15="http://schemas.microsoft.com/office/drawing/2012/chart" uri="{CE6537A1-D6FC-4f65-9D91-7224C49458BB}"/>
              </c:extLst>
            </c:dLbl>
            <c:dLbl>
              <c:idx val="5"/>
              <c:delete val="1"/>
              <c:extLst>
                <c:ext xmlns:c15="http://schemas.microsoft.com/office/drawing/2012/chart" uri="{CE6537A1-D6FC-4f65-9D91-7224C49458BB}"/>
              </c:extLst>
            </c:dLbl>
            <c:numFmt formatCode="#,##0.0" sourceLinked="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s-BO"/>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val>
            <c:numRef>
              <c:f>Input_Data!$Q$89:$V$89</c:f>
              <c:numCache>
                <c:formatCode>General</c:formatCode>
                <c:ptCount val="6"/>
                <c:pt idx="0">
                  <c:v>0</c:v>
                </c:pt>
                <c:pt idx="1">
                  <c:v>0</c:v>
                </c:pt>
                <c:pt idx="2">
                  <c:v>0.66666666666666663</c:v>
                </c:pt>
                <c:pt idx="3">
                  <c:v>0.66666666666666663</c:v>
                </c:pt>
                <c:pt idx="4">
                  <c:v>0</c:v>
                </c:pt>
                <c:pt idx="5">
                  <c:v>0</c:v>
                </c:pt>
              </c:numCache>
            </c:numRef>
          </c:val>
          <c:smooth val="0"/>
        </c:ser>
        <c:dLbls>
          <c:showLegendKey val="0"/>
          <c:showVal val="0"/>
          <c:showCatName val="0"/>
          <c:showSerName val="0"/>
          <c:showPercent val="0"/>
          <c:showBubbleSize val="0"/>
        </c:dLbls>
        <c:marker val="1"/>
        <c:smooth val="0"/>
        <c:axId val="942740080"/>
        <c:axId val="942740640"/>
      </c:lineChart>
      <c:dateAx>
        <c:axId val="942740080"/>
        <c:scaling>
          <c:orientation val="minMax"/>
        </c:scaling>
        <c:delete val="0"/>
        <c:axPos val="b"/>
        <c:title>
          <c:tx>
            <c:rich>
              <a:bodyPr/>
              <a:lstStyle/>
              <a:p>
                <a:pPr>
                  <a:defRPr/>
                </a:pPr>
                <a:r>
                  <a:rPr lang="es-BO"/>
                  <a:t>Condensate Gas</a:t>
                </a:r>
                <a:r>
                  <a:rPr lang="es-BO" baseline="0"/>
                  <a:t> Ratio (CGR), bbl/MMscf</a:t>
                </a:r>
                <a:endParaRPr lang="es-BO"/>
              </a:p>
            </c:rich>
          </c:tx>
          <c:layout>
            <c:manualLayout>
              <c:xMode val="edge"/>
              <c:yMode val="edge"/>
              <c:x val="0.26949393620879358"/>
              <c:y val="9.1239121425611587E-3"/>
            </c:manualLayout>
          </c:layout>
          <c:overlay val="0"/>
        </c:title>
        <c:numFmt formatCode="0.0" sourceLinked="0"/>
        <c:majorTickMark val="out"/>
        <c:minorTickMark val="none"/>
        <c:tickLblPos val="nextTo"/>
        <c:crossAx val="942740640"/>
        <c:crossesAt val="0"/>
        <c:auto val="0"/>
        <c:lblOffset val="100"/>
        <c:baseTimeUnit val="days"/>
        <c:minorUnit val="1"/>
        <c:minorTimeUnit val="days"/>
      </c:dateAx>
      <c:valAx>
        <c:axId val="942740640"/>
        <c:scaling>
          <c:orientation val="minMax"/>
        </c:scaling>
        <c:delete val="0"/>
        <c:axPos val="l"/>
        <c:title>
          <c:tx>
            <c:rich>
              <a:bodyPr rot="0" vert="horz"/>
              <a:lstStyle/>
              <a:p>
                <a:pPr>
                  <a:defRPr/>
                </a:pPr>
                <a:r>
                  <a:rPr lang="es-BO"/>
                  <a:t>f(x)</a:t>
                </a:r>
              </a:p>
            </c:rich>
          </c:tx>
          <c:layout>
            <c:manualLayout>
              <c:xMode val="edge"/>
              <c:yMode val="edge"/>
              <c:x val="6.5573770491803282E-2"/>
              <c:y val="1.02260498687664E-2"/>
            </c:manualLayout>
          </c:layout>
          <c:overlay val="0"/>
        </c:title>
        <c:numFmt formatCode="#,##0.000" sourceLinked="0"/>
        <c:majorTickMark val="out"/>
        <c:minorTickMark val="none"/>
        <c:tickLblPos val="nextTo"/>
        <c:crossAx val="942740080"/>
        <c:crosses val="autoZero"/>
        <c:crossBetween val="midCat"/>
      </c:valAx>
      <c:spPr>
        <a:noFill/>
      </c:spPr>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8"/>
    </mc:Choice>
    <mc:Fallback>
      <c:style val="38"/>
    </mc:Fallback>
  </mc:AlternateContent>
  <c:chart>
    <c:autoTitleDeleted val="0"/>
    <c:plotArea>
      <c:layout>
        <c:manualLayout>
          <c:layoutTarget val="inner"/>
          <c:xMode val="edge"/>
          <c:yMode val="edge"/>
          <c:x val="0.10485828615685336"/>
          <c:y val="0.10019750656167978"/>
          <c:w val="0.84889683871483279"/>
          <c:h val="0.71674462914357928"/>
        </c:manualLayout>
      </c:layout>
      <c:areaChart>
        <c:grouping val="standard"/>
        <c:varyColors val="0"/>
        <c:ser>
          <c:idx val="0"/>
          <c:order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cat>
            <c:numRef>
              <c:f>Input_Data!$J$111:$O$111</c:f>
              <c:numCache>
                <c:formatCode>0.0</c:formatCode>
                <c:ptCount val="6"/>
                <c:pt idx="0">
                  <c:v>95</c:v>
                </c:pt>
                <c:pt idx="1">
                  <c:v>97</c:v>
                </c:pt>
                <c:pt idx="2">
                  <c:v>97</c:v>
                </c:pt>
                <c:pt idx="3">
                  <c:v>98</c:v>
                </c:pt>
                <c:pt idx="4">
                  <c:v>98</c:v>
                </c:pt>
                <c:pt idx="5">
                  <c:v>100</c:v>
                </c:pt>
              </c:numCache>
            </c:numRef>
          </c:cat>
          <c:val>
            <c:numRef>
              <c:f>Input_Data!$J$110:$O$110</c:f>
              <c:numCache>
                <c:formatCode>General</c:formatCode>
                <c:ptCount val="6"/>
                <c:pt idx="0">
                  <c:v>0</c:v>
                </c:pt>
                <c:pt idx="1">
                  <c:v>0</c:v>
                </c:pt>
                <c:pt idx="2">
                  <c:v>1</c:v>
                </c:pt>
                <c:pt idx="3">
                  <c:v>1</c:v>
                </c:pt>
                <c:pt idx="4">
                  <c:v>0</c:v>
                </c:pt>
                <c:pt idx="5">
                  <c:v>0</c:v>
                </c:pt>
              </c:numCache>
            </c:numRef>
          </c:val>
        </c:ser>
        <c:dLbls>
          <c:showLegendKey val="0"/>
          <c:showVal val="0"/>
          <c:showCatName val="0"/>
          <c:showSerName val="0"/>
          <c:showPercent val="0"/>
          <c:showBubbleSize val="0"/>
        </c:dLbls>
        <c:axId val="942743440"/>
        <c:axId val="942744000"/>
      </c:areaChart>
      <c:lineChart>
        <c:grouping val="standard"/>
        <c:varyColors val="0"/>
        <c:ser>
          <c:idx val="1"/>
          <c:order val="1"/>
          <c:spPr>
            <a:ln>
              <a:noFill/>
            </a:ln>
          </c:spPr>
          <c:marker>
            <c:symbol val="none"/>
          </c:marker>
          <c:dPt>
            <c:idx val="2"/>
            <c:marker>
              <c:symbol val="circle"/>
              <c:size val="5"/>
              <c:spPr>
                <a:solidFill>
                  <a:schemeClr val="tx1"/>
                </a:solidFill>
                <a:ln>
                  <a:noFill/>
                </a:ln>
              </c:spPr>
            </c:marker>
            <c:bubble3D val="0"/>
          </c:dPt>
          <c:dPt>
            <c:idx val="3"/>
            <c:marker>
              <c:symbol val="circle"/>
              <c:size val="5"/>
              <c:spPr>
                <a:solidFill>
                  <a:schemeClr val="tx1"/>
                </a:solidFill>
                <a:ln>
                  <a:noFill/>
                </a:ln>
              </c:spPr>
            </c:marker>
            <c:bubble3D val="0"/>
          </c:dPt>
          <c:dLbls>
            <c:dLbl>
              <c:idx val="0"/>
              <c:delete val="1"/>
              <c:extLst>
                <c:ext xmlns:c15="http://schemas.microsoft.com/office/drawing/2012/chart" uri="{CE6537A1-D6FC-4f65-9D91-7224C49458BB}"/>
              </c:extLst>
            </c:dLbl>
            <c:dLbl>
              <c:idx val="1"/>
              <c:delete val="1"/>
              <c:extLst>
                <c:ext xmlns:c15="http://schemas.microsoft.com/office/drawing/2012/chart" uri="{CE6537A1-D6FC-4f65-9D91-7224C49458BB}"/>
              </c:extLst>
            </c:dLbl>
            <c:dLbl>
              <c:idx val="4"/>
              <c:delete val="1"/>
              <c:extLst>
                <c:ext xmlns:c15="http://schemas.microsoft.com/office/drawing/2012/chart" uri="{CE6537A1-D6FC-4f65-9D91-7224C49458BB}"/>
              </c:extLst>
            </c:dLbl>
            <c:dLbl>
              <c:idx val="5"/>
              <c:delete val="1"/>
              <c:extLst>
                <c:ext xmlns:c15="http://schemas.microsoft.com/office/drawing/2012/chart" uri="{CE6537A1-D6FC-4f65-9D91-7224C49458BB}"/>
              </c:extLst>
            </c:dLbl>
            <c:numFmt formatCode="#,##0.0" sourceLinked="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s-BO"/>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val>
            <c:numRef>
              <c:f>Input_Data!$J$110:$O$110</c:f>
              <c:numCache>
                <c:formatCode>General</c:formatCode>
                <c:ptCount val="6"/>
                <c:pt idx="0">
                  <c:v>0</c:v>
                </c:pt>
                <c:pt idx="1">
                  <c:v>0</c:v>
                </c:pt>
                <c:pt idx="2">
                  <c:v>1</c:v>
                </c:pt>
                <c:pt idx="3">
                  <c:v>1</c:v>
                </c:pt>
                <c:pt idx="4">
                  <c:v>0</c:v>
                </c:pt>
                <c:pt idx="5">
                  <c:v>0</c:v>
                </c:pt>
              </c:numCache>
            </c:numRef>
          </c:val>
          <c:smooth val="0"/>
        </c:ser>
        <c:dLbls>
          <c:showLegendKey val="0"/>
          <c:showVal val="0"/>
          <c:showCatName val="0"/>
          <c:showSerName val="0"/>
          <c:showPercent val="0"/>
          <c:showBubbleSize val="0"/>
        </c:dLbls>
        <c:marker val="1"/>
        <c:smooth val="0"/>
        <c:axId val="942743440"/>
        <c:axId val="942744000"/>
      </c:lineChart>
      <c:dateAx>
        <c:axId val="942743440"/>
        <c:scaling>
          <c:orientation val="minMax"/>
        </c:scaling>
        <c:delete val="0"/>
        <c:axPos val="b"/>
        <c:title>
          <c:tx>
            <c:rich>
              <a:bodyPr/>
              <a:lstStyle/>
              <a:p>
                <a:pPr>
                  <a:defRPr/>
                </a:pPr>
                <a:r>
                  <a:rPr lang="es-BO"/>
                  <a:t>Gas Shrinkage (Merma), %</a:t>
                </a:r>
              </a:p>
            </c:rich>
          </c:tx>
          <c:layout>
            <c:manualLayout>
              <c:xMode val="edge"/>
              <c:yMode val="edge"/>
              <c:x val="0.35692563019786461"/>
              <c:y val="0.90685793963254591"/>
            </c:manualLayout>
          </c:layout>
          <c:overlay val="0"/>
        </c:title>
        <c:numFmt formatCode="General" sourceLinked="0"/>
        <c:majorTickMark val="out"/>
        <c:minorTickMark val="none"/>
        <c:tickLblPos val="nextTo"/>
        <c:txPr>
          <a:bodyPr/>
          <a:lstStyle/>
          <a:p>
            <a:pPr>
              <a:defRPr sz="900"/>
            </a:pPr>
            <a:endParaRPr lang="es-BO"/>
          </a:p>
        </c:txPr>
        <c:crossAx val="942744000"/>
        <c:crosses val="autoZero"/>
        <c:auto val="0"/>
        <c:lblOffset val="100"/>
        <c:baseTimeUnit val="days"/>
      </c:dateAx>
      <c:valAx>
        <c:axId val="942744000"/>
        <c:scaling>
          <c:orientation val="minMax"/>
        </c:scaling>
        <c:delete val="0"/>
        <c:axPos val="l"/>
        <c:title>
          <c:tx>
            <c:rich>
              <a:bodyPr rot="0" vert="horz"/>
              <a:lstStyle/>
              <a:p>
                <a:pPr>
                  <a:defRPr/>
                </a:pPr>
                <a:r>
                  <a:rPr lang="es-BO"/>
                  <a:t>f(x)</a:t>
                </a:r>
              </a:p>
            </c:rich>
          </c:tx>
          <c:layout>
            <c:manualLayout>
              <c:xMode val="edge"/>
              <c:yMode val="edge"/>
              <c:x val="6.5573770491803282E-2"/>
              <c:y val="1.02260498687664E-2"/>
            </c:manualLayout>
          </c:layout>
          <c:overlay val="0"/>
        </c:title>
        <c:numFmt formatCode="#,##0.000" sourceLinked="0"/>
        <c:majorTickMark val="out"/>
        <c:minorTickMark val="none"/>
        <c:tickLblPos val="nextTo"/>
        <c:txPr>
          <a:bodyPr/>
          <a:lstStyle/>
          <a:p>
            <a:pPr>
              <a:defRPr sz="900"/>
            </a:pPr>
            <a:endParaRPr lang="es-BO"/>
          </a:p>
        </c:txPr>
        <c:crossAx val="942743440"/>
        <c:crosses val="autoZero"/>
        <c:crossBetween val="between"/>
      </c:valAx>
      <c:spPr>
        <a:noFill/>
      </c:spPr>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8"/>
    </mc:Choice>
    <mc:Fallback>
      <c:style val="38"/>
    </mc:Fallback>
  </mc:AlternateContent>
  <c:chart>
    <c:autoTitleDeleted val="0"/>
    <c:plotArea>
      <c:layout>
        <c:manualLayout>
          <c:layoutTarget val="inner"/>
          <c:xMode val="edge"/>
          <c:yMode val="edge"/>
          <c:x val="0.11280507969290723"/>
          <c:y val="0.15633798406778099"/>
          <c:w val="0.84889683871483279"/>
          <c:h val="0.71674462914357928"/>
        </c:manualLayout>
      </c:layout>
      <c:areaChart>
        <c:grouping val="standard"/>
        <c:varyColors val="0"/>
        <c:ser>
          <c:idx val="0"/>
          <c:order val="0"/>
          <c:spPr>
            <a:gradFill rotWithShape="1">
              <a:gsLst>
                <a:gs pos="0">
                  <a:srgbClr val="FFC000"/>
                </a:gs>
                <a:gs pos="50000">
                  <a:srgbClr val="FFC000"/>
                </a:gs>
                <a:gs pos="100000">
                  <a:srgbClr val="FFC000"/>
                </a:gs>
              </a:gsLst>
              <a:lin ang="5400000" scaled="0"/>
            </a:gradFill>
            <a:ln w="6350" cap="flat" cmpd="sng" algn="ctr">
              <a:solidFill>
                <a:schemeClr val="accent2"/>
              </a:solidFill>
              <a:prstDash val="solid"/>
              <a:miter lim="800000"/>
            </a:ln>
            <a:effectLst/>
          </c:spPr>
          <c:cat>
            <c:numRef>
              <c:f>Input_Data!$Q$114:$V$114</c:f>
              <c:numCache>
                <c:formatCode>General</c:formatCode>
                <c:ptCount val="6"/>
                <c:pt idx="0">
                  <c:v>267.87900000000002</c:v>
                </c:pt>
                <c:pt idx="1">
                  <c:v>268.87900000000002</c:v>
                </c:pt>
                <c:pt idx="2">
                  <c:v>268.87900000000002</c:v>
                </c:pt>
                <c:pt idx="3">
                  <c:v>279.83</c:v>
                </c:pt>
                <c:pt idx="4">
                  <c:v>279.83</c:v>
                </c:pt>
                <c:pt idx="5">
                  <c:v>280.83</c:v>
                </c:pt>
              </c:numCache>
            </c:numRef>
          </c:cat>
          <c:val>
            <c:numRef>
              <c:f>Input_Data!$Q$110:$V$110</c:f>
              <c:numCache>
                <c:formatCode>General</c:formatCode>
                <c:ptCount val="6"/>
                <c:pt idx="0">
                  <c:v>0</c:v>
                </c:pt>
                <c:pt idx="1">
                  <c:v>0</c:v>
                </c:pt>
                <c:pt idx="2">
                  <c:v>9131.0550882359839</c:v>
                </c:pt>
                <c:pt idx="3">
                  <c:v>9131.0550882359839</c:v>
                </c:pt>
                <c:pt idx="4">
                  <c:v>0</c:v>
                </c:pt>
                <c:pt idx="5">
                  <c:v>0</c:v>
                </c:pt>
              </c:numCache>
            </c:numRef>
          </c:val>
        </c:ser>
        <c:dLbls>
          <c:showLegendKey val="0"/>
          <c:showVal val="0"/>
          <c:showCatName val="0"/>
          <c:showSerName val="0"/>
          <c:showPercent val="0"/>
          <c:showBubbleSize val="0"/>
        </c:dLbls>
        <c:axId val="993956016"/>
        <c:axId val="993956576"/>
      </c:areaChart>
      <c:lineChart>
        <c:grouping val="standard"/>
        <c:varyColors val="0"/>
        <c:ser>
          <c:idx val="1"/>
          <c:order val="1"/>
          <c:spPr>
            <a:ln>
              <a:noFill/>
            </a:ln>
          </c:spPr>
          <c:marker>
            <c:symbol val="none"/>
          </c:marker>
          <c:dPt>
            <c:idx val="2"/>
            <c:marker>
              <c:symbol val="circle"/>
              <c:size val="5"/>
              <c:spPr>
                <a:solidFill>
                  <a:schemeClr val="tx1"/>
                </a:solidFill>
                <a:ln>
                  <a:noFill/>
                </a:ln>
              </c:spPr>
            </c:marker>
            <c:bubble3D val="0"/>
          </c:dPt>
          <c:dPt>
            <c:idx val="3"/>
            <c:marker>
              <c:symbol val="circle"/>
              <c:size val="5"/>
              <c:spPr>
                <a:solidFill>
                  <a:schemeClr val="tx1"/>
                </a:solidFill>
                <a:ln>
                  <a:noFill/>
                </a:ln>
              </c:spPr>
            </c:marker>
            <c:bubble3D val="0"/>
          </c:dPt>
          <c:dLbls>
            <c:dLbl>
              <c:idx val="0"/>
              <c:delete val="1"/>
              <c:extLst>
                <c:ext xmlns:c15="http://schemas.microsoft.com/office/drawing/2012/chart" uri="{CE6537A1-D6FC-4f65-9D91-7224C49458BB}"/>
              </c:extLst>
            </c:dLbl>
            <c:dLbl>
              <c:idx val="1"/>
              <c:delete val="1"/>
              <c:extLst>
                <c:ext xmlns:c15="http://schemas.microsoft.com/office/drawing/2012/chart" uri="{CE6537A1-D6FC-4f65-9D91-7224C49458BB}"/>
              </c:extLst>
            </c:dLbl>
            <c:dLbl>
              <c:idx val="4"/>
              <c:delete val="1"/>
              <c:extLst>
                <c:ext xmlns:c15="http://schemas.microsoft.com/office/drawing/2012/chart" uri="{CE6537A1-D6FC-4f65-9D91-7224C49458BB}"/>
              </c:extLst>
            </c:dLbl>
            <c:dLbl>
              <c:idx val="5"/>
              <c:delete val="1"/>
              <c:extLst>
                <c:ext xmlns:c15="http://schemas.microsoft.com/office/drawing/2012/chart" uri="{CE6537A1-D6FC-4f65-9D91-7224C49458BB}"/>
              </c:extLst>
            </c:dLbl>
            <c:numFmt formatCode="#,##0.0" sourceLinked="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s-BO"/>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val>
            <c:numRef>
              <c:f>Input_Data!$Q$110:$V$110</c:f>
              <c:numCache>
                <c:formatCode>General</c:formatCode>
                <c:ptCount val="6"/>
                <c:pt idx="0">
                  <c:v>0</c:v>
                </c:pt>
                <c:pt idx="1">
                  <c:v>0</c:v>
                </c:pt>
                <c:pt idx="2">
                  <c:v>9131.0550882359839</c:v>
                </c:pt>
                <c:pt idx="3">
                  <c:v>9131.0550882359839</c:v>
                </c:pt>
                <c:pt idx="4">
                  <c:v>0</c:v>
                </c:pt>
                <c:pt idx="5">
                  <c:v>0</c:v>
                </c:pt>
              </c:numCache>
            </c:numRef>
          </c:val>
          <c:smooth val="0"/>
        </c:ser>
        <c:dLbls>
          <c:showLegendKey val="0"/>
          <c:showVal val="0"/>
          <c:showCatName val="0"/>
          <c:showSerName val="0"/>
          <c:showPercent val="0"/>
          <c:showBubbleSize val="0"/>
        </c:dLbls>
        <c:marker val="1"/>
        <c:smooth val="0"/>
        <c:axId val="993956016"/>
        <c:axId val="993956576"/>
      </c:lineChart>
      <c:dateAx>
        <c:axId val="993956016"/>
        <c:scaling>
          <c:orientation val="minMax"/>
        </c:scaling>
        <c:delete val="0"/>
        <c:axPos val="b"/>
        <c:title>
          <c:tx>
            <c:rich>
              <a:bodyPr/>
              <a:lstStyle/>
              <a:p>
                <a:pPr>
                  <a:defRPr/>
                </a:pPr>
                <a:r>
                  <a:rPr lang="es-BO"/>
                  <a:t>Gas Formation Volume</a:t>
                </a:r>
                <a:r>
                  <a:rPr lang="es-BO" baseline="0"/>
                  <a:t> Factor (Bg), cf/scf 10</a:t>
                </a:r>
                <a:r>
                  <a:rPr lang="es-BO" baseline="30000"/>
                  <a:t>5</a:t>
                </a:r>
              </a:p>
            </c:rich>
          </c:tx>
          <c:layout>
            <c:manualLayout>
              <c:xMode val="edge"/>
              <c:yMode val="edge"/>
              <c:x val="0.22577808921425804"/>
              <c:y val="2.7325689551963874E-2"/>
            </c:manualLayout>
          </c:layout>
          <c:overlay val="0"/>
        </c:title>
        <c:numFmt formatCode="General" sourceLinked="0"/>
        <c:majorTickMark val="out"/>
        <c:minorTickMark val="none"/>
        <c:tickLblPos val="nextTo"/>
        <c:crossAx val="993956576"/>
        <c:crosses val="autoZero"/>
        <c:auto val="0"/>
        <c:lblOffset val="100"/>
        <c:baseTimeUnit val="days"/>
      </c:dateAx>
      <c:valAx>
        <c:axId val="993956576"/>
        <c:scaling>
          <c:orientation val="minMax"/>
        </c:scaling>
        <c:delete val="0"/>
        <c:axPos val="l"/>
        <c:title>
          <c:tx>
            <c:rich>
              <a:bodyPr rot="0" vert="horz"/>
              <a:lstStyle/>
              <a:p>
                <a:pPr>
                  <a:defRPr/>
                </a:pPr>
                <a:r>
                  <a:rPr lang="es-BO"/>
                  <a:t>f(x)</a:t>
                </a:r>
              </a:p>
            </c:rich>
          </c:tx>
          <c:layout>
            <c:manualLayout>
              <c:xMode val="edge"/>
              <c:yMode val="edge"/>
              <c:x val="6.5573770491803282E-2"/>
              <c:y val="1.02260498687664E-2"/>
            </c:manualLayout>
          </c:layout>
          <c:overlay val="0"/>
        </c:title>
        <c:numFmt formatCode="General" sourceLinked="0"/>
        <c:majorTickMark val="out"/>
        <c:minorTickMark val="none"/>
        <c:tickLblPos val="nextTo"/>
        <c:crossAx val="993956016"/>
        <c:crosses val="autoZero"/>
        <c:crossBetween val="between"/>
      </c:valAx>
      <c:spPr>
        <a:noFill/>
      </c:spPr>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8"/>
    </mc:Choice>
    <mc:Fallback>
      <c:style val="38"/>
    </mc:Fallback>
  </mc:AlternateContent>
  <c:chart>
    <c:autoTitleDeleted val="0"/>
    <c:plotArea>
      <c:layout>
        <c:manualLayout>
          <c:layoutTarget val="inner"/>
          <c:xMode val="edge"/>
          <c:yMode val="edge"/>
          <c:x val="0.10485828615685336"/>
          <c:y val="0.10019750656167978"/>
          <c:w val="0.84889683871483279"/>
          <c:h val="0.71674462914357928"/>
        </c:manualLayout>
      </c:layout>
      <c:areaChart>
        <c:grouping val="standard"/>
        <c:varyColors val="0"/>
        <c:ser>
          <c:idx val="0"/>
          <c:order val="0"/>
          <c:spPr>
            <a:gradFill rotWithShape="1">
              <a:gsLst>
                <a:gs pos="0">
                  <a:schemeClr val="accent2">
                    <a:satMod val="103000"/>
                    <a:lumMod val="102000"/>
                    <a:tint val="94000"/>
                  </a:schemeClr>
                </a:gs>
                <a:gs pos="50000">
                  <a:srgbClr val="FF0000"/>
                </a:gs>
                <a:gs pos="100000">
                  <a:srgbClr val="C00000"/>
                </a:gs>
              </a:gsLst>
              <a:lin ang="5400000" scaled="0"/>
            </a:gradFill>
            <a:ln>
              <a:noFill/>
            </a:ln>
            <a:effectLst>
              <a:outerShdw blurRad="57150" dist="19050" dir="5400000" algn="ctr" rotWithShape="0">
                <a:srgbClr val="000000">
                  <a:alpha val="63000"/>
                </a:srgbClr>
              </a:outerShdw>
            </a:effectLst>
          </c:spPr>
          <c:cat>
            <c:numRef>
              <c:f>Input_Data!$Y$111:$AD$111</c:f>
              <c:numCache>
                <c:formatCode>0.0</c:formatCode>
                <c:ptCount val="6"/>
                <c:pt idx="0">
                  <c:v>43</c:v>
                </c:pt>
                <c:pt idx="1">
                  <c:v>45</c:v>
                </c:pt>
                <c:pt idx="2">
                  <c:v>45</c:v>
                </c:pt>
                <c:pt idx="3">
                  <c:v>55.000000000000007</c:v>
                </c:pt>
                <c:pt idx="4">
                  <c:v>55.000000000000007</c:v>
                </c:pt>
                <c:pt idx="5">
                  <c:v>57.000000000000007</c:v>
                </c:pt>
              </c:numCache>
            </c:numRef>
          </c:cat>
          <c:val>
            <c:numRef>
              <c:f>Input_Data!$Y$110:$AD$110</c:f>
              <c:numCache>
                <c:formatCode>General</c:formatCode>
                <c:ptCount val="6"/>
                <c:pt idx="0">
                  <c:v>0</c:v>
                </c:pt>
                <c:pt idx="1">
                  <c:v>0</c:v>
                </c:pt>
                <c:pt idx="2">
                  <c:v>9.9999999999999922E-2</c:v>
                </c:pt>
                <c:pt idx="3">
                  <c:v>9.9999999999999922E-2</c:v>
                </c:pt>
                <c:pt idx="4">
                  <c:v>0</c:v>
                </c:pt>
                <c:pt idx="5">
                  <c:v>0</c:v>
                </c:pt>
              </c:numCache>
            </c:numRef>
          </c:val>
        </c:ser>
        <c:dLbls>
          <c:showLegendKey val="0"/>
          <c:showVal val="0"/>
          <c:showCatName val="0"/>
          <c:showSerName val="0"/>
          <c:showPercent val="0"/>
          <c:showBubbleSize val="0"/>
        </c:dLbls>
        <c:axId val="993959376"/>
        <c:axId val="993959936"/>
      </c:areaChart>
      <c:lineChart>
        <c:grouping val="standard"/>
        <c:varyColors val="0"/>
        <c:ser>
          <c:idx val="1"/>
          <c:order val="1"/>
          <c:spPr>
            <a:ln>
              <a:noFill/>
            </a:ln>
          </c:spPr>
          <c:marker>
            <c:symbol val="none"/>
          </c:marker>
          <c:dPt>
            <c:idx val="2"/>
            <c:marker>
              <c:symbol val="circle"/>
              <c:size val="5"/>
              <c:spPr>
                <a:solidFill>
                  <a:schemeClr val="tx1"/>
                </a:solidFill>
                <a:ln>
                  <a:noFill/>
                </a:ln>
              </c:spPr>
            </c:marker>
            <c:bubble3D val="0"/>
          </c:dPt>
          <c:dPt>
            <c:idx val="3"/>
            <c:marker>
              <c:symbol val="circle"/>
              <c:size val="5"/>
              <c:spPr>
                <a:solidFill>
                  <a:schemeClr val="tx1"/>
                </a:solidFill>
                <a:ln>
                  <a:noFill/>
                </a:ln>
              </c:spPr>
            </c:marker>
            <c:bubble3D val="0"/>
          </c:dPt>
          <c:dLbls>
            <c:dLbl>
              <c:idx val="0"/>
              <c:delete val="1"/>
              <c:extLst>
                <c:ext xmlns:c15="http://schemas.microsoft.com/office/drawing/2012/chart" uri="{CE6537A1-D6FC-4f65-9D91-7224C49458BB}"/>
              </c:extLst>
            </c:dLbl>
            <c:dLbl>
              <c:idx val="1"/>
              <c:delete val="1"/>
              <c:extLst>
                <c:ext xmlns:c15="http://schemas.microsoft.com/office/drawing/2012/chart" uri="{CE6537A1-D6FC-4f65-9D91-7224C49458BB}"/>
              </c:extLst>
            </c:dLbl>
            <c:dLbl>
              <c:idx val="4"/>
              <c:delete val="1"/>
              <c:extLst>
                <c:ext xmlns:c15="http://schemas.microsoft.com/office/drawing/2012/chart" uri="{CE6537A1-D6FC-4f65-9D91-7224C49458BB}"/>
              </c:extLst>
            </c:dLbl>
            <c:dLbl>
              <c:idx val="5"/>
              <c:delete val="1"/>
              <c:extLst>
                <c:ext xmlns:c15="http://schemas.microsoft.com/office/drawing/2012/chart" uri="{CE6537A1-D6FC-4f65-9D91-7224C49458BB}"/>
              </c:extLst>
            </c:dLbl>
            <c:numFmt formatCode="#,##0.0" sourceLinked="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s-BO"/>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val>
            <c:numRef>
              <c:f>Input_Data!$Y$110:$AD$110</c:f>
              <c:numCache>
                <c:formatCode>General</c:formatCode>
                <c:ptCount val="6"/>
                <c:pt idx="0">
                  <c:v>0</c:v>
                </c:pt>
                <c:pt idx="1">
                  <c:v>0</c:v>
                </c:pt>
                <c:pt idx="2">
                  <c:v>9.9999999999999922E-2</c:v>
                </c:pt>
                <c:pt idx="3">
                  <c:v>9.9999999999999922E-2</c:v>
                </c:pt>
                <c:pt idx="4">
                  <c:v>0</c:v>
                </c:pt>
                <c:pt idx="5">
                  <c:v>0</c:v>
                </c:pt>
              </c:numCache>
            </c:numRef>
          </c:val>
          <c:smooth val="0"/>
        </c:ser>
        <c:dLbls>
          <c:showLegendKey val="0"/>
          <c:showVal val="0"/>
          <c:showCatName val="0"/>
          <c:showSerName val="0"/>
          <c:showPercent val="0"/>
          <c:showBubbleSize val="0"/>
        </c:dLbls>
        <c:marker val="1"/>
        <c:smooth val="0"/>
        <c:axId val="993959376"/>
        <c:axId val="993959936"/>
      </c:lineChart>
      <c:dateAx>
        <c:axId val="993959376"/>
        <c:scaling>
          <c:orientation val="minMax"/>
        </c:scaling>
        <c:delete val="0"/>
        <c:axPos val="b"/>
        <c:title>
          <c:tx>
            <c:rich>
              <a:bodyPr/>
              <a:lstStyle/>
              <a:p>
                <a:pPr>
                  <a:defRPr/>
                </a:pPr>
                <a:r>
                  <a:rPr lang="es-BO"/>
                  <a:t>Gas Recovery Factor, %</a:t>
                </a:r>
              </a:p>
            </c:rich>
          </c:tx>
          <c:layout>
            <c:manualLayout>
              <c:xMode val="edge"/>
              <c:yMode val="edge"/>
              <c:x val="0.35692563019786461"/>
              <c:y val="0.90685793963254591"/>
            </c:manualLayout>
          </c:layout>
          <c:overlay val="0"/>
        </c:title>
        <c:numFmt formatCode="General" sourceLinked="0"/>
        <c:majorTickMark val="out"/>
        <c:minorTickMark val="none"/>
        <c:tickLblPos val="nextTo"/>
        <c:txPr>
          <a:bodyPr/>
          <a:lstStyle/>
          <a:p>
            <a:pPr>
              <a:defRPr sz="900"/>
            </a:pPr>
            <a:endParaRPr lang="es-BO"/>
          </a:p>
        </c:txPr>
        <c:crossAx val="993959936"/>
        <c:crosses val="autoZero"/>
        <c:auto val="0"/>
        <c:lblOffset val="100"/>
        <c:baseTimeUnit val="days"/>
        <c:majorUnit val="2"/>
        <c:majorTimeUnit val="days"/>
      </c:dateAx>
      <c:valAx>
        <c:axId val="993959936"/>
        <c:scaling>
          <c:orientation val="minMax"/>
        </c:scaling>
        <c:delete val="0"/>
        <c:axPos val="l"/>
        <c:title>
          <c:tx>
            <c:rich>
              <a:bodyPr rot="0" vert="horz"/>
              <a:lstStyle/>
              <a:p>
                <a:pPr>
                  <a:defRPr/>
                </a:pPr>
                <a:r>
                  <a:rPr lang="es-BO"/>
                  <a:t>f(x)</a:t>
                </a:r>
              </a:p>
            </c:rich>
          </c:tx>
          <c:layout>
            <c:manualLayout>
              <c:xMode val="edge"/>
              <c:yMode val="edge"/>
              <c:x val="6.5573770491803282E-2"/>
              <c:y val="1.02260498687664E-2"/>
            </c:manualLayout>
          </c:layout>
          <c:overlay val="0"/>
        </c:title>
        <c:numFmt formatCode="#,##0.000" sourceLinked="0"/>
        <c:majorTickMark val="out"/>
        <c:minorTickMark val="none"/>
        <c:tickLblPos val="nextTo"/>
        <c:txPr>
          <a:bodyPr/>
          <a:lstStyle/>
          <a:p>
            <a:pPr>
              <a:defRPr sz="900"/>
            </a:pPr>
            <a:endParaRPr lang="es-BO"/>
          </a:p>
        </c:txPr>
        <c:crossAx val="993959376"/>
        <c:crosses val="autoZero"/>
        <c:crossBetween val="midCat"/>
      </c:valAx>
      <c:spPr>
        <a:noFill/>
      </c:spPr>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1900820250760591"/>
          <c:w val="0.83725244294821244"/>
          <c:h val="0.66081022408526113"/>
        </c:manualLayout>
      </c:layout>
      <c:scatterChart>
        <c:scatterStyle val="lineMarker"/>
        <c:varyColors val="0"/>
        <c:ser>
          <c:idx val="0"/>
          <c:order val="0"/>
          <c:tx>
            <c:strRef>
              <c:f>Probability_Scale_Data_HIDE!$V$30</c:f>
              <c:strCache>
                <c:ptCount val="1"/>
                <c:pt idx="0">
                  <c:v>Net to Gross</c:v>
                </c:pt>
              </c:strCache>
            </c:strRef>
          </c:tx>
          <c:spPr>
            <a:ln w="9525" cap="rnd">
              <a:solidFill>
                <a:srgbClr val="C00000"/>
              </a:solidFill>
              <a:round/>
            </a:ln>
            <a:effectLst/>
          </c:spPr>
          <c:marker>
            <c:symbol val="circle"/>
            <c:size val="5"/>
            <c:spPr>
              <a:solidFill>
                <a:srgbClr val="FFFF00"/>
              </a:solidFill>
              <a:ln w="9525">
                <a:solidFill>
                  <a:schemeClr val="tx1"/>
                </a:solidFill>
              </a:ln>
              <a:effectLst/>
            </c:spPr>
          </c:marker>
          <c:xVal>
            <c:numRef>
              <c:f>Probability_Scale_Data_HIDE!$AJ$32:$AJ$76</c:f>
              <c:numCache>
                <c:formatCode>0.0;\-0.0;"--"</c:formatCode>
                <c:ptCount val="45"/>
                <c:pt idx="0">
                  <c:v>500</c:v>
                </c:pt>
                <c:pt idx="1">
                  <c:v>732.34090909090912</c:v>
                </c:pt>
                <c:pt idx="2">
                  <c:v>964.68181818181824</c:v>
                </c:pt>
                <c:pt idx="3">
                  <c:v>1197.0227272727273</c:v>
                </c:pt>
                <c:pt idx="4">
                  <c:v>1429.3636363636363</c:v>
                </c:pt>
                <c:pt idx="5">
                  <c:v>1661.7045454545453</c:v>
                </c:pt>
                <c:pt idx="6">
                  <c:v>1894.0454545454543</c:v>
                </c:pt>
                <c:pt idx="7">
                  <c:v>2126.3863636363635</c:v>
                </c:pt>
                <c:pt idx="8">
                  <c:v>2358.7272727272725</c:v>
                </c:pt>
                <c:pt idx="9">
                  <c:v>2591.0681818181815</c:v>
                </c:pt>
                <c:pt idx="10">
                  <c:v>2823.4090909090905</c:v>
                </c:pt>
                <c:pt idx="11">
                  <c:v>3055.7499999999995</c:v>
                </c:pt>
                <c:pt idx="12">
                  <c:v>3288.0909090909086</c:v>
                </c:pt>
                <c:pt idx="13">
                  <c:v>3520.4318181818176</c:v>
                </c:pt>
                <c:pt idx="14">
                  <c:v>3752.7727272727266</c:v>
                </c:pt>
                <c:pt idx="15">
                  <c:v>3985.1136363636356</c:v>
                </c:pt>
                <c:pt idx="16">
                  <c:v>4217.454545454545</c:v>
                </c:pt>
                <c:pt idx="17">
                  <c:v>4449.795454545454</c:v>
                </c:pt>
                <c:pt idx="18">
                  <c:v>4682.1363636363631</c:v>
                </c:pt>
                <c:pt idx="19">
                  <c:v>4914.4772727272721</c:v>
                </c:pt>
                <c:pt idx="20">
                  <c:v>5146.8181818181811</c:v>
                </c:pt>
                <c:pt idx="21">
                  <c:v>5379.1590909090901</c:v>
                </c:pt>
                <c:pt idx="22">
                  <c:v>5611.4999999999991</c:v>
                </c:pt>
                <c:pt idx="23">
                  <c:v>5843.8409090909081</c:v>
                </c:pt>
                <c:pt idx="24">
                  <c:v>6076.1818181818171</c:v>
                </c:pt>
                <c:pt idx="25">
                  <c:v>6308.5227272727261</c:v>
                </c:pt>
                <c:pt idx="26">
                  <c:v>6540.8636363636351</c:v>
                </c:pt>
                <c:pt idx="27">
                  <c:v>6773.2045454545441</c:v>
                </c:pt>
                <c:pt idx="28">
                  <c:v>7005.5454545454531</c:v>
                </c:pt>
                <c:pt idx="29">
                  <c:v>7237.8863636363621</c:v>
                </c:pt>
                <c:pt idx="30">
                  <c:v>7470.2272727272712</c:v>
                </c:pt>
                <c:pt idx="31">
                  <c:v>7702.5681818181802</c:v>
                </c:pt>
                <c:pt idx="32">
                  <c:v>7934.9090909090892</c:v>
                </c:pt>
                <c:pt idx="33">
                  <c:v>8167.2499999999982</c:v>
                </c:pt>
                <c:pt idx="34">
                  <c:v>8399.5909090909081</c:v>
                </c:pt>
                <c:pt idx="35">
                  <c:v>8631.931818181818</c:v>
                </c:pt>
                <c:pt idx="36">
                  <c:v>8864.2727272727279</c:v>
                </c:pt>
                <c:pt idx="37">
                  <c:v>9096.6136363636379</c:v>
                </c:pt>
                <c:pt idx="38">
                  <c:v>9328.9545454545478</c:v>
                </c:pt>
                <c:pt idx="39">
                  <c:v>9561.2954545454577</c:v>
                </c:pt>
                <c:pt idx="40">
                  <c:v>9793.6363636363676</c:v>
                </c:pt>
                <c:pt idx="41">
                  <c:v>10025.977272727278</c:v>
                </c:pt>
                <c:pt idx="42">
                  <c:v>10258.318181818187</c:v>
                </c:pt>
                <c:pt idx="43">
                  <c:v>10490.659090909097</c:v>
                </c:pt>
                <c:pt idx="44">
                  <c:v>10723.000000000007</c:v>
                </c:pt>
              </c:numCache>
            </c:numRef>
          </c:xVal>
          <c:yVal>
            <c:numRef>
              <c:f>Probability_Scale_Data_HIDE!$AM$32:$AM$76</c:f>
              <c:numCache>
                <c:formatCode>General</c:formatCode>
                <c:ptCount val="45"/>
                <c:pt idx="0">
                  <c:v>1</c:v>
                </c:pt>
                <c:pt idx="1">
                  <c:v>0.99842467923430445</c:v>
                </c:pt>
                <c:pt idx="2">
                  <c:v>0.99369871693721767</c:v>
                </c:pt>
                <c:pt idx="3">
                  <c:v>0.98582211310873979</c:v>
                </c:pt>
                <c:pt idx="4">
                  <c:v>0.97479486774887081</c:v>
                </c:pt>
                <c:pt idx="5">
                  <c:v>0.9606169808576106</c:v>
                </c:pt>
                <c:pt idx="6">
                  <c:v>0.94328845243495929</c:v>
                </c:pt>
                <c:pt idx="7">
                  <c:v>0.92280928248091676</c:v>
                </c:pt>
                <c:pt idx="8">
                  <c:v>0.89917947099548312</c:v>
                </c:pt>
                <c:pt idx="9">
                  <c:v>0.87239901797865838</c:v>
                </c:pt>
                <c:pt idx="10">
                  <c:v>0.84246792343044241</c:v>
                </c:pt>
                <c:pt idx="11">
                  <c:v>0.80938618735083534</c:v>
                </c:pt>
                <c:pt idx="12">
                  <c:v>0.77315380973983716</c:v>
                </c:pt>
                <c:pt idx="13">
                  <c:v>0.73377079059744776</c:v>
                </c:pt>
                <c:pt idx="14">
                  <c:v>0.69123712992366726</c:v>
                </c:pt>
                <c:pt idx="15">
                  <c:v>0.64632217272017634</c:v>
                </c:pt>
                <c:pt idx="16">
                  <c:v>0.60251674603165062</c:v>
                </c:pt>
                <c:pt idx="17">
                  <c:v>0.56024835185851185</c:v>
                </c:pt>
                <c:pt idx="18">
                  <c:v>0.51951699020076003</c:v>
                </c:pt>
                <c:pt idx="19">
                  <c:v>0.48032266105839505</c:v>
                </c:pt>
                <c:pt idx="20">
                  <c:v>0.44266536443141691</c:v>
                </c:pt>
                <c:pt idx="21">
                  <c:v>0.40654510031982549</c:v>
                </c:pt>
                <c:pt idx="22">
                  <c:v>0.37196186872362114</c:v>
                </c:pt>
                <c:pt idx="23">
                  <c:v>0.33891566964280362</c:v>
                </c:pt>
                <c:pt idx="24">
                  <c:v>0.30740650307737294</c:v>
                </c:pt>
                <c:pt idx="25">
                  <c:v>0.2774343690273291</c:v>
                </c:pt>
                <c:pt idx="26">
                  <c:v>0.24899926749267209</c:v>
                </c:pt>
                <c:pt idx="27">
                  <c:v>0.22210119847340193</c:v>
                </c:pt>
                <c:pt idx="28">
                  <c:v>0.19674016196951871</c:v>
                </c:pt>
                <c:pt idx="29">
                  <c:v>0.17291615798102233</c:v>
                </c:pt>
                <c:pt idx="30">
                  <c:v>0.15062918650791279</c:v>
                </c:pt>
                <c:pt idx="31">
                  <c:v>0.12987924755019009</c:v>
                </c:pt>
                <c:pt idx="32">
                  <c:v>0.11066634110785434</c:v>
                </c:pt>
                <c:pt idx="33">
                  <c:v>9.2990467180905423E-2</c:v>
                </c:pt>
                <c:pt idx="34">
                  <c:v>7.6851625769343235E-2</c:v>
                </c:pt>
                <c:pt idx="35">
                  <c:v>6.2249816873167996E-2</c:v>
                </c:pt>
                <c:pt idx="36">
                  <c:v>4.9185040492379595E-2</c:v>
                </c:pt>
                <c:pt idx="37">
                  <c:v>3.7657296626978143E-2</c:v>
                </c:pt>
                <c:pt idx="38">
                  <c:v>2.7666585276963418E-2</c:v>
                </c:pt>
                <c:pt idx="39">
                  <c:v>1.9212906442335642E-2</c:v>
                </c:pt>
                <c:pt idx="40">
                  <c:v>1.2296260123094815E-2</c:v>
                </c:pt>
                <c:pt idx="41">
                  <c:v>6.9166463192408267E-3</c:v>
                </c:pt>
                <c:pt idx="42">
                  <c:v>3.0740650307736761E-3</c:v>
                </c:pt>
                <c:pt idx="43">
                  <c:v>7.6851625769336351E-4</c:v>
                </c:pt>
                <c:pt idx="44">
                  <c:v>0</c:v>
                </c:pt>
              </c:numCache>
            </c:numRef>
          </c:yVal>
          <c:smooth val="0"/>
        </c:ser>
        <c:ser>
          <c:idx val="1"/>
          <c:order val="1"/>
          <c:tx>
            <c:strRef>
              <c:f>Probability_Scale_Data_HIDE!$AK$19</c:f>
              <c:strCache>
                <c:ptCount val="1"/>
                <c:pt idx="0">
                  <c:v>Likeliest: 3852</c:v>
                </c:pt>
              </c:strCache>
            </c:strRef>
          </c:tx>
          <c:spPr>
            <a:ln w="12700">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Probability_Scale_Data_HIDE!$AK$21:$AK$22</c:f>
              <c:numCache>
                <c:formatCode>0.0;\-0.0;"--"</c:formatCode>
                <c:ptCount val="2"/>
                <c:pt idx="0">
                  <c:v>3852</c:v>
                </c:pt>
                <c:pt idx="1">
                  <c:v>3852</c:v>
                </c:pt>
              </c:numCache>
            </c:numRef>
          </c:xVal>
          <c:yVal>
            <c:numRef>
              <c:f>Probability_Scale_Data_HIDE!$AK$26:$AK$27</c:f>
              <c:numCache>
                <c:formatCode>#,##0.0000000;\-0.0000000;"--"</c:formatCode>
                <c:ptCount val="2"/>
                <c:pt idx="0" formatCode="#,##0.00;\-0.00;&quot;--&quot;">
                  <c:v>0</c:v>
                </c:pt>
                <c:pt idx="1">
                  <c:v>1</c:v>
                </c:pt>
              </c:numCache>
            </c:numRef>
          </c:yVal>
          <c:smooth val="0"/>
        </c:ser>
        <c:ser>
          <c:idx val="2"/>
          <c:order val="2"/>
          <c:tx>
            <c:strRef>
              <c:f>Probability_Scale_Data_HIDE!$AJ$10</c:f>
              <c:strCache>
                <c:ptCount val="1"/>
                <c:pt idx="0">
                  <c:v>Min.: 500</c:v>
                </c:pt>
              </c:strCache>
            </c:strRef>
          </c:tx>
          <c:spPr>
            <a:ln w="12700">
              <a:solidFill>
                <a:schemeClr val="tx1"/>
              </a:solidFill>
              <a:prstDash val="dash"/>
            </a:ln>
          </c:spPr>
          <c:marker>
            <c:symbol val="square"/>
            <c:size val="4"/>
            <c:spPr>
              <a:solidFill>
                <a:srgbClr val="0000FF"/>
              </a:solidFill>
              <a:ln>
                <a:solidFill>
                  <a:schemeClr val="tx1"/>
                </a:solidFill>
              </a:ln>
            </c:spPr>
          </c:marker>
          <c:dPt>
            <c:idx val="0"/>
            <c:marker>
              <c:symbol val="none"/>
            </c:marker>
            <c:bubble3D val="0"/>
          </c:dPt>
          <c:dPt>
            <c:idx val="1"/>
            <c:marker>
              <c:spPr>
                <a:solidFill>
                  <a:schemeClr val="accent1">
                    <a:lumMod val="40000"/>
                    <a:lumOff val="60000"/>
                  </a:schemeClr>
                </a:solidFill>
                <a:ln>
                  <a:solidFill>
                    <a:schemeClr val="tx1"/>
                  </a:solidFill>
                </a:ln>
              </c:spPr>
            </c:marker>
            <c:bubble3D val="0"/>
          </c:dPt>
          <c:dLbls>
            <c:dLbl>
              <c:idx val="1"/>
              <c:showLegendKey val="0"/>
              <c:showVal val="0"/>
              <c:showCatName val="0"/>
              <c:showSerName val="1"/>
              <c:showPercent val="0"/>
              <c:showBubbleSize val="0"/>
              <c:extLst>
                <c:ext xmlns:c15="http://schemas.microsoft.com/office/drawing/2012/chart" uri="{CE6537A1-D6FC-4f65-9D91-7224C49458BB}"/>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Probability_Scale_Data_HIDE!$AJ$14:$AJ$15</c:f>
              <c:numCache>
                <c:formatCode>0.0;\-0.0;"--"</c:formatCode>
                <c:ptCount val="2"/>
                <c:pt idx="0">
                  <c:v>500</c:v>
                </c:pt>
                <c:pt idx="1">
                  <c:v>500</c:v>
                </c:pt>
              </c:numCache>
            </c:numRef>
          </c:xVal>
          <c:yVal>
            <c:numRef>
              <c:f>Probability_Scale_Data_HIDE!$AL$14:$AL$15</c:f>
              <c:numCache>
                <c:formatCode>General</c:formatCode>
                <c:ptCount val="2"/>
                <c:pt idx="0">
                  <c:v>0</c:v>
                </c:pt>
                <c:pt idx="1">
                  <c:v>0.5</c:v>
                </c:pt>
              </c:numCache>
            </c:numRef>
          </c:yVal>
          <c:smooth val="0"/>
        </c:ser>
        <c:ser>
          <c:idx val="3"/>
          <c:order val="3"/>
          <c:tx>
            <c:strRef>
              <c:f>Probability_Scale_Data_HIDE!$AJ$11</c:f>
              <c:strCache>
                <c:ptCount val="1"/>
                <c:pt idx="0">
                  <c:v>Max.: 10723</c:v>
                </c:pt>
              </c:strCache>
            </c:strRef>
          </c:tx>
          <c:spPr>
            <a:ln w="12700">
              <a:solidFill>
                <a:schemeClr val="tx1"/>
              </a:solidFill>
              <a:prstDash val="dash"/>
            </a:ln>
          </c:spPr>
          <c:marker>
            <c:symbol val="square"/>
            <c:size val="4"/>
            <c:spPr>
              <a:solidFill>
                <a:schemeClr val="accent1">
                  <a:lumMod val="40000"/>
                  <a:lumOff val="60000"/>
                </a:schemeClr>
              </a:solidFill>
              <a:ln>
                <a:solidFill>
                  <a:schemeClr val="tx1"/>
                </a:solidFill>
              </a:ln>
            </c:spPr>
          </c:marker>
          <c:dPt>
            <c:idx val="1"/>
            <c:bubble3D val="0"/>
          </c:dPt>
          <c:dPt>
            <c:idx val="2"/>
            <c:bubble3D val="0"/>
          </c:dPt>
          <c:dLbls>
            <c:dLbl>
              <c:idx val="0"/>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Probability_Scale_Data_HIDE!$AK$14:$AK$16</c:f>
              <c:numCache>
                <c:formatCode>0.0;\-0.0;"--"</c:formatCode>
                <c:ptCount val="3"/>
                <c:pt idx="0">
                  <c:v>10723</c:v>
                </c:pt>
                <c:pt idx="1">
                  <c:v>10723</c:v>
                </c:pt>
                <c:pt idx="2">
                  <c:v>10723</c:v>
                </c:pt>
              </c:numCache>
            </c:numRef>
          </c:xVal>
          <c:yVal>
            <c:numRef>
              <c:f>Probability_Scale_Data_HIDE!$AM$14:$AM$16</c:f>
              <c:numCache>
                <c:formatCode>General</c:formatCode>
                <c:ptCount val="3"/>
                <c:pt idx="0">
                  <c:v>0</c:v>
                </c:pt>
                <c:pt idx="1">
                  <c:v>0.5</c:v>
                </c:pt>
                <c:pt idx="2">
                  <c:v>0</c:v>
                </c:pt>
              </c:numCache>
            </c:numRef>
          </c:yVal>
          <c:smooth val="0"/>
        </c:ser>
        <c:dLbls>
          <c:showLegendKey val="0"/>
          <c:showVal val="0"/>
          <c:showCatName val="0"/>
          <c:showSerName val="0"/>
          <c:showPercent val="0"/>
          <c:showBubbleSize val="0"/>
        </c:dLbls>
        <c:axId val="1250405968"/>
        <c:axId val="1250406528"/>
      </c:scatterChart>
      <c:valAx>
        <c:axId val="1250405968"/>
        <c:scaling>
          <c:orientation val="minMax"/>
        </c:scaling>
        <c:delete val="0"/>
        <c:axPos val="b"/>
        <c:title>
          <c:tx>
            <c:rich>
              <a:bodyPr/>
              <a:lstStyle/>
              <a:p>
                <a:pPr>
                  <a:defRPr/>
                </a:pPr>
                <a:r>
                  <a:rPr lang="es-BO"/>
                  <a:t>Rock</a:t>
                </a:r>
                <a:r>
                  <a:rPr lang="es-BO" baseline="0"/>
                  <a:t> Volume, MM m</a:t>
                </a:r>
                <a:r>
                  <a:rPr lang="es-BO" baseline="30000"/>
                  <a:t>3</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0406528"/>
        <c:crosses val="autoZero"/>
        <c:crossBetween val="midCat"/>
      </c:valAx>
      <c:valAx>
        <c:axId val="1250406528"/>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04059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957845433255276E-2"/>
          <c:y val="4.5548654244306416E-2"/>
          <c:w val="0.83388248600072534"/>
          <c:h val="0.80042125169136447"/>
        </c:manualLayout>
      </c:layout>
      <c:scatterChart>
        <c:scatterStyle val="lineMarker"/>
        <c:varyColors val="0"/>
        <c:ser>
          <c:idx val="0"/>
          <c:order val="0"/>
          <c:tx>
            <c:v>Rock Vol</c:v>
          </c:tx>
          <c:spPr>
            <a:ln w="9525" cap="rnd">
              <a:noFill/>
              <a:round/>
            </a:ln>
            <a:effectLst/>
          </c:spPr>
          <c:marker>
            <c:symbol val="circle"/>
            <c:size val="5"/>
            <c:spPr>
              <a:solidFill>
                <a:srgbClr val="FFC000"/>
              </a:solidFill>
              <a:ln w="9525">
                <a:solidFill>
                  <a:schemeClr val="tx1"/>
                </a:solidFill>
              </a:ln>
              <a:effectLst/>
            </c:spPr>
          </c:marker>
          <c:xVal>
            <c:numRef>
              <c:f>Probability_Scale_Data_HIDE!$B$85:$B$105</c:f>
              <c:numCache>
                <c:formatCode>#,##0.00;\-0.00;"--"</c:formatCode>
                <c:ptCount val="21"/>
                <c:pt idx="0">
                  <c:v>500</c:v>
                </c:pt>
                <c:pt idx="1">
                  <c:v>1011.15</c:v>
                </c:pt>
                <c:pt idx="2">
                  <c:v>1522.3</c:v>
                </c:pt>
                <c:pt idx="3">
                  <c:v>2033.4499999999998</c:v>
                </c:pt>
                <c:pt idx="4">
                  <c:v>2544.6</c:v>
                </c:pt>
                <c:pt idx="5">
                  <c:v>3055.75</c:v>
                </c:pt>
                <c:pt idx="6">
                  <c:v>3566.9</c:v>
                </c:pt>
                <c:pt idx="7">
                  <c:v>4078.05</c:v>
                </c:pt>
                <c:pt idx="8">
                  <c:v>4589.2</c:v>
                </c:pt>
                <c:pt idx="9">
                  <c:v>5100.3499999999995</c:v>
                </c:pt>
                <c:pt idx="10">
                  <c:v>5611.4999999999991</c:v>
                </c:pt>
                <c:pt idx="11">
                  <c:v>6122.6499999999987</c:v>
                </c:pt>
                <c:pt idx="12">
                  <c:v>6633.7999999999984</c:v>
                </c:pt>
                <c:pt idx="13">
                  <c:v>7144.949999999998</c:v>
                </c:pt>
                <c:pt idx="14">
                  <c:v>7656.0999999999976</c:v>
                </c:pt>
                <c:pt idx="15">
                  <c:v>8167.2499999999973</c:v>
                </c:pt>
                <c:pt idx="16">
                  <c:v>8678.3999999999978</c:v>
                </c:pt>
                <c:pt idx="17">
                  <c:v>9189.5499999999975</c:v>
                </c:pt>
                <c:pt idx="18">
                  <c:v>9700.6999999999971</c:v>
                </c:pt>
                <c:pt idx="19">
                  <c:v>10211.849999999997</c:v>
                </c:pt>
                <c:pt idx="20">
                  <c:v>10722.999999999996</c:v>
                </c:pt>
              </c:numCache>
            </c:numRef>
          </c:xVal>
          <c:yVal>
            <c:numRef>
              <c:f>Probability_Scale_Data_HIDE!$E$85:$E$105</c:f>
              <c:numCache>
                <c:formatCode>General</c:formatCode>
                <c:ptCount val="21"/>
                <c:pt idx="0">
                  <c:v>0</c:v>
                </c:pt>
                <c:pt idx="1">
                  <c:v>2.9832935560859186E-5</c:v>
                </c:pt>
                <c:pt idx="2">
                  <c:v>5.9665871121718372E-5</c:v>
                </c:pt>
                <c:pt idx="3">
                  <c:v>8.9498806682577551E-5</c:v>
                </c:pt>
                <c:pt idx="4">
                  <c:v>1.1933174224343674E-4</c:v>
                </c:pt>
                <c:pt idx="5">
                  <c:v>1.4916467780429595E-4</c:v>
                </c:pt>
                <c:pt idx="6">
                  <c:v>1.7899761336515513E-4</c:v>
                </c:pt>
                <c:pt idx="7">
                  <c:v>1.8920098966671516E-4</c:v>
                </c:pt>
                <c:pt idx="8">
                  <c:v>1.7464706738466016E-4</c:v>
                </c:pt>
                <c:pt idx="9">
                  <c:v>1.6009314510260516E-4</c:v>
                </c:pt>
                <c:pt idx="10">
                  <c:v>1.4553922282055015E-4</c:v>
                </c:pt>
                <c:pt idx="11">
                  <c:v>1.3098530053849515E-4</c:v>
                </c:pt>
                <c:pt idx="12">
                  <c:v>1.1643137825644015E-4</c:v>
                </c:pt>
                <c:pt idx="13">
                  <c:v>1.0187745597438515E-4</c:v>
                </c:pt>
                <c:pt idx="14">
                  <c:v>8.7323533692330147E-5</c:v>
                </c:pt>
                <c:pt idx="15">
                  <c:v>7.2769611410275145E-5</c:v>
                </c:pt>
                <c:pt idx="16">
                  <c:v>5.8215689128220116E-5</c:v>
                </c:pt>
                <c:pt idx="17">
                  <c:v>4.3661766846165087E-5</c:v>
                </c:pt>
                <c:pt idx="18">
                  <c:v>2.9107844564110112E-5</c:v>
                </c:pt>
                <c:pt idx="19">
                  <c:v>1.4553922282055083E-5</c:v>
                </c:pt>
                <c:pt idx="20">
                  <c:v>0</c:v>
                </c:pt>
              </c:numCache>
            </c:numRef>
          </c:yVal>
          <c:smooth val="0"/>
        </c:ser>
        <c:ser>
          <c:idx val="1"/>
          <c:order val="1"/>
          <c:spPr>
            <a:ln w="12700">
              <a:solidFill>
                <a:schemeClr val="tx1"/>
              </a:solidFill>
              <a:prstDash val="dash"/>
            </a:ln>
          </c:spPr>
          <c:marker>
            <c:symbol val="circle"/>
            <c:size val="7"/>
            <c:spPr>
              <a:solidFill>
                <a:srgbClr val="FFC000"/>
              </a:solidFill>
              <a:ln>
                <a:solidFill>
                  <a:srgbClr val="0000FF"/>
                </a:solidFill>
              </a:ln>
            </c:spPr>
          </c:marker>
          <c:dLbls>
            <c:dLbl>
              <c:idx val="0"/>
              <c:delete val="1"/>
              <c:extLst>
                <c:ext xmlns:c15="http://schemas.microsoft.com/office/drawing/2012/chart" uri="{CE6537A1-D6FC-4f65-9D91-7224C49458BB}"/>
              </c:extLst>
            </c:dLbl>
            <c:dLbl>
              <c:idx val="2"/>
              <c:delete val="1"/>
              <c:extLst>
                <c:ext xmlns:c15="http://schemas.microsoft.com/office/drawing/2012/chart" uri="{CE6537A1-D6FC-4f65-9D91-7224C49458BB}"/>
              </c:extLst>
            </c:dLbl>
            <c:numFmt formatCode="#,##0.0" sourceLinked="0"/>
            <c:spPr>
              <a:noFill/>
              <a:ln>
                <a:noFill/>
              </a:ln>
              <a:effectLst/>
            </c:spPr>
            <c:txPr>
              <a:bodyPr/>
              <a:lstStyle/>
              <a:p>
                <a:pPr>
                  <a:defRPr sz="900">
                    <a:solidFill>
                      <a:srgbClr val="0000FF"/>
                    </a:solidFill>
                  </a:defRPr>
                </a:pPr>
                <a:endParaRPr lang="es-BO"/>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Probability_Scale_Data_HIDE!$B$80:$D$80</c:f>
              <c:numCache>
                <c:formatCode>General</c:formatCode>
                <c:ptCount val="3"/>
                <c:pt idx="0">
                  <c:v>10723</c:v>
                </c:pt>
                <c:pt idx="1">
                  <c:v>3852</c:v>
                </c:pt>
                <c:pt idx="2">
                  <c:v>500</c:v>
                </c:pt>
              </c:numCache>
            </c:numRef>
          </c:xVal>
          <c:yVal>
            <c:numRef>
              <c:f>Probability_Scale_Data_HIDE!$B$81:$D$81</c:f>
              <c:numCache>
                <c:formatCode>General</c:formatCode>
                <c:ptCount val="3"/>
                <c:pt idx="0">
                  <c:v>0</c:v>
                </c:pt>
                <c:pt idx="1">
                  <c:v>1.9563728846718183E-4</c:v>
                </c:pt>
                <c:pt idx="2">
                  <c:v>0</c:v>
                </c:pt>
              </c:numCache>
            </c:numRef>
          </c:yVal>
          <c:smooth val="0"/>
        </c:ser>
        <c:ser>
          <c:idx val="2"/>
          <c:order val="2"/>
          <c:spPr>
            <a:ln w="19050">
              <a:noFill/>
            </a:ln>
          </c:spPr>
          <c:marker>
            <c:symbol val="square"/>
            <c:size val="4"/>
            <c:spPr>
              <a:solidFill>
                <a:schemeClr val="tx1"/>
              </a:solidFill>
              <a:ln>
                <a:noFill/>
              </a:ln>
            </c:spPr>
          </c:marker>
          <c:dLbls>
            <c:spPr>
              <a:noFill/>
              <a:ln>
                <a:noFill/>
              </a:ln>
              <a:effectLst/>
            </c:spPr>
            <c:txPr>
              <a:bodyPr/>
              <a:lstStyle/>
              <a:p>
                <a:pPr>
                  <a:defRPr sz="900">
                    <a:solidFill>
                      <a:srgbClr val="0000FF"/>
                    </a:solidFill>
                  </a:defRPr>
                </a:pPr>
                <a:endParaRPr lang="es-BO"/>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Probability_Scale_Data_HIDE!$B$107:$B$108</c:f>
              <c:numCache>
                <c:formatCode>#,##0.00;\-0.00;"--"</c:formatCode>
                <c:ptCount val="2"/>
                <c:pt idx="0">
                  <c:v>500</c:v>
                </c:pt>
                <c:pt idx="1">
                  <c:v>10722.999999999996</c:v>
                </c:pt>
              </c:numCache>
            </c:numRef>
          </c:xVal>
          <c:yVal>
            <c:numRef>
              <c:f>Probability_Scale_Data_HIDE!$C$107:$C$108</c:f>
              <c:numCache>
                <c:formatCode>General</c:formatCode>
                <c:ptCount val="2"/>
                <c:pt idx="0" formatCode="0.00E+00">
                  <c:v>-2.5000000000000001E-5</c:v>
                </c:pt>
                <c:pt idx="1">
                  <c:v>-2.5000000000000001E-5</c:v>
                </c:pt>
              </c:numCache>
            </c:numRef>
          </c:yVal>
          <c:smooth val="0"/>
        </c:ser>
        <c:dLbls>
          <c:showLegendKey val="0"/>
          <c:showVal val="0"/>
          <c:showCatName val="0"/>
          <c:showSerName val="0"/>
          <c:showPercent val="0"/>
          <c:showBubbleSize val="0"/>
        </c:dLbls>
        <c:axId val="1250410448"/>
        <c:axId val="1250411008"/>
      </c:scatterChart>
      <c:valAx>
        <c:axId val="1250410448"/>
        <c:scaling>
          <c:orientation val="minMax"/>
        </c:scaling>
        <c:delete val="0"/>
        <c:axPos val="b"/>
        <c:title>
          <c:tx>
            <c:rich>
              <a:bodyPr/>
              <a:lstStyle/>
              <a:p>
                <a:pPr>
                  <a:defRPr/>
                </a:pPr>
                <a:r>
                  <a:rPr lang="es-BO"/>
                  <a:t>Rock</a:t>
                </a:r>
                <a:r>
                  <a:rPr lang="es-BO" baseline="0"/>
                  <a:t> Volume. MM m</a:t>
                </a:r>
                <a:r>
                  <a:rPr lang="es-BO" baseline="30000"/>
                  <a:t>3</a:t>
                </a:r>
              </a:p>
            </c:rich>
          </c:tx>
          <c:overlay val="0"/>
        </c:title>
        <c:numFmt formatCode="0;\-0.00;&quot;--&quot;"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0411008"/>
        <c:crossesAt val="0"/>
        <c:crossBetween val="midCat"/>
      </c:valAx>
      <c:valAx>
        <c:axId val="1250411008"/>
        <c:scaling>
          <c:orientation val="minMax"/>
          <c:min val="-2.5000000000000011E-5"/>
        </c:scaling>
        <c:delete val="0"/>
        <c:axPos val="l"/>
        <c:numFmt formatCode="0.00000;;&quot;--&quot;"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12504104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Probability_Scale_Data_HIDE!$V$30</c:f>
              <c:strCache>
                <c:ptCount val="1"/>
                <c:pt idx="0">
                  <c:v>Net to Gross</c:v>
                </c:pt>
              </c:strCache>
            </c:strRef>
          </c:tx>
          <c:spPr>
            <a:ln w="9525" cap="rnd">
              <a:solidFill>
                <a:srgbClr val="C00000"/>
              </a:solidFill>
              <a:round/>
            </a:ln>
            <a:effectLst/>
          </c:spPr>
          <c:marker>
            <c:symbol val="circle"/>
            <c:size val="5"/>
            <c:spPr>
              <a:solidFill>
                <a:srgbClr val="FFC000"/>
              </a:solidFill>
              <a:ln w="9525">
                <a:solidFill>
                  <a:schemeClr val="tx1"/>
                </a:solidFill>
              </a:ln>
              <a:effectLst/>
            </c:spPr>
          </c:marker>
          <c:xVal>
            <c:numRef>
              <c:f>Probability_Scale_Data_HIDE!$V$32:$V$76</c:f>
              <c:numCache>
                <c:formatCode>0.00;\-0.00;"--"</c:formatCode>
                <c:ptCount val="45"/>
                <c:pt idx="0">
                  <c:v>51.399999999999991</c:v>
                </c:pt>
                <c:pt idx="1">
                  <c:v>51.784444444444439</c:v>
                </c:pt>
                <c:pt idx="2">
                  <c:v>52.168888888888887</c:v>
                </c:pt>
                <c:pt idx="3">
                  <c:v>52.553333333333335</c:v>
                </c:pt>
                <c:pt idx="4">
                  <c:v>52.937777777777782</c:v>
                </c:pt>
                <c:pt idx="5">
                  <c:v>53.32222222222223</c:v>
                </c:pt>
                <c:pt idx="6">
                  <c:v>53.706666666666678</c:v>
                </c:pt>
                <c:pt idx="7">
                  <c:v>54.091111111111125</c:v>
                </c:pt>
                <c:pt idx="8">
                  <c:v>54.475555555555573</c:v>
                </c:pt>
                <c:pt idx="9">
                  <c:v>54.860000000000021</c:v>
                </c:pt>
                <c:pt idx="10">
                  <c:v>55.244444444444468</c:v>
                </c:pt>
                <c:pt idx="11">
                  <c:v>55.628888888888916</c:v>
                </c:pt>
                <c:pt idx="12">
                  <c:v>56.013333333333364</c:v>
                </c:pt>
                <c:pt idx="13">
                  <c:v>56.397777777777812</c:v>
                </c:pt>
                <c:pt idx="14">
                  <c:v>56.782222222222259</c:v>
                </c:pt>
                <c:pt idx="15">
                  <c:v>57.166666666666707</c:v>
                </c:pt>
                <c:pt idx="16">
                  <c:v>57.551111111111155</c:v>
                </c:pt>
                <c:pt idx="17">
                  <c:v>57.935555555555602</c:v>
                </c:pt>
                <c:pt idx="18">
                  <c:v>58.32000000000005</c:v>
                </c:pt>
                <c:pt idx="19">
                  <c:v>58.704444444444498</c:v>
                </c:pt>
                <c:pt idx="20">
                  <c:v>59.088888888888945</c:v>
                </c:pt>
                <c:pt idx="21">
                  <c:v>59.473333333333393</c:v>
                </c:pt>
                <c:pt idx="22">
                  <c:v>59.857777777777841</c:v>
                </c:pt>
                <c:pt idx="23">
                  <c:v>60.242222222222289</c:v>
                </c:pt>
                <c:pt idx="24">
                  <c:v>60.626666666666736</c:v>
                </c:pt>
                <c:pt idx="25">
                  <c:v>61.011111111111184</c:v>
                </c:pt>
                <c:pt idx="26">
                  <c:v>61.395555555555632</c:v>
                </c:pt>
                <c:pt idx="27">
                  <c:v>61.780000000000079</c:v>
                </c:pt>
                <c:pt idx="28">
                  <c:v>62.164444444444527</c:v>
                </c:pt>
                <c:pt idx="29">
                  <c:v>62.548888888888975</c:v>
                </c:pt>
                <c:pt idx="30">
                  <c:v>62.933333333333422</c:v>
                </c:pt>
                <c:pt idx="31">
                  <c:v>63.31777777777787</c:v>
                </c:pt>
                <c:pt idx="32">
                  <c:v>63.702222222222318</c:v>
                </c:pt>
                <c:pt idx="33">
                  <c:v>64.086666666666758</c:v>
                </c:pt>
                <c:pt idx="34">
                  <c:v>64.471111111111199</c:v>
                </c:pt>
                <c:pt idx="35">
                  <c:v>64.85555555555564</c:v>
                </c:pt>
                <c:pt idx="36">
                  <c:v>65.24000000000008</c:v>
                </c:pt>
                <c:pt idx="37">
                  <c:v>65.624444444444521</c:v>
                </c:pt>
                <c:pt idx="38">
                  <c:v>66.008888888888961</c:v>
                </c:pt>
                <c:pt idx="39">
                  <c:v>66.393333333333402</c:v>
                </c:pt>
                <c:pt idx="40">
                  <c:v>66.777777777777843</c:v>
                </c:pt>
                <c:pt idx="41">
                  <c:v>67.162222222222283</c:v>
                </c:pt>
                <c:pt idx="42">
                  <c:v>67.546666666666724</c:v>
                </c:pt>
                <c:pt idx="43">
                  <c:v>67.931111111111164</c:v>
                </c:pt>
                <c:pt idx="44">
                  <c:v>68.315555555555605</c:v>
                </c:pt>
              </c:numCache>
            </c:numRef>
          </c:xVal>
          <c:yVal>
            <c:numRef>
              <c:f>Probability_Scale_Data_HIDE!$W$32:$W$76</c:f>
              <c:numCache>
                <c:formatCode>#,##0.0000000;\-0.0000000;"--"</c:formatCode>
                <c:ptCount val="45"/>
                <c:pt idx="0">
                  <c:v>7.1318331049580614E-9</c:v>
                </c:pt>
                <c:pt idx="1">
                  <c:v>3.7067737820228547E-8</c:v>
                </c:pt>
                <c:pt idx="2">
                  <c:v>1.7549790817205781E-7</c:v>
                </c:pt>
                <c:pt idx="3">
                  <c:v>7.583705160267655E-7</c:v>
                </c:pt>
                <c:pt idx="4">
                  <c:v>2.9967800287417991E-6</c:v>
                </c:pt>
                <c:pt idx="5">
                  <c:v>1.0849278514427791E-5</c:v>
                </c:pt>
                <c:pt idx="6">
                  <c:v>3.6050151646879796E-5</c:v>
                </c:pt>
                <c:pt idx="7">
                  <c:v>1.101389602817865E-4</c:v>
                </c:pt>
                <c:pt idx="8">
                  <c:v>3.0992045658530102E-4</c:v>
                </c:pt>
                <c:pt idx="9">
                  <c:v>8.0456965464197224E-4</c:v>
                </c:pt>
                <c:pt idx="10">
                  <c:v>1.9301520049548363E-3</c:v>
                </c:pt>
                <c:pt idx="11">
                  <c:v>4.2857449061772315E-3</c:v>
                </c:pt>
                <c:pt idx="12">
                  <c:v>8.8215167308352514E-3</c:v>
                </c:pt>
                <c:pt idx="13">
                  <c:v>1.6857795894482892E-2</c:v>
                </c:pt>
                <c:pt idx="14">
                  <c:v>2.995305422812344E-2</c:v>
                </c:pt>
                <c:pt idx="15">
                  <c:v>4.9555366368986081E-2</c:v>
                </c:pt>
                <c:pt idx="16">
                  <c:v>7.6447049076390258E-2</c:v>
                </c:pt>
                <c:pt idx="17">
                  <c:v>0.11011528563589744</c:v>
                </c:pt>
                <c:pt idx="18">
                  <c:v>0.1482973438786096</c:v>
                </c:pt>
                <c:pt idx="19">
                  <c:v>0.18697610509069335</c:v>
                </c:pt>
                <c:pt idx="20">
                  <c:v>0.22098377517670786</c:v>
                </c:pt>
                <c:pt idx="21">
                  <c:v>0.24513067207148531</c:v>
                </c:pt>
                <c:pt idx="22">
                  <c:v>0.25552100765355101</c:v>
                </c:pt>
                <c:pt idx="23">
                  <c:v>0.25058991142159942</c:v>
                </c:pt>
                <c:pt idx="24">
                  <c:v>0.23147968392473561</c:v>
                </c:pt>
                <c:pt idx="25">
                  <c:v>0.20163556916024647</c:v>
                </c:pt>
                <c:pt idx="26">
                  <c:v>0.16580883892544948</c:v>
                </c:pt>
                <c:pt idx="27">
                  <c:v>0.12885603476664872</c:v>
                </c:pt>
                <c:pt idx="28">
                  <c:v>9.4736639860519126E-2</c:v>
                </c:pt>
                <c:pt idx="29">
                  <c:v>6.5962406512210955E-2</c:v>
                </c:pt>
                <c:pt idx="30">
                  <c:v>4.3539091362910155E-2</c:v>
                </c:pt>
                <c:pt idx="31">
                  <c:v>2.7270669763992589E-2</c:v>
                </c:pt>
                <c:pt idx="32">
                  <c:v>1.6224281530218602E-2</c:v>
                </c:pt>
                <c:pt idx="33">
                  <c:v>9.1769574880719469E-3</c:v>
                </c:pt>
                <c:pt idx="34">
                  <c:v>4.9396575642952174E-3</c:v>
                </c:pt>
                <c:pt idx="35">
                  <c:v>2.5325168255354441E-3</c:v>
                </c:pt>
                <c:pt idx="36">
                  <c:v>1.23779617962612E-3</c:v>
                </c:pt>
                <c:pt idx="37">
                  <c:v>5.7724852259446807E-4</c:v>
                </c:pt>
                <c:pt idx="38">
                  <c:v>2.5707562001997005E-4</c:v>
                </c:pt>
                <c:pt idx="39">
                  <c:v>1.0942155934118644E-4</c:v>
                </c:pt>
                <c:pt idx="40">
                  <c:v>4.4549284886073929E-5</c:v>
                </c:pt>
                <c:pt idx="41">
                  <c:v>1.7362761458631386E-5</c:v>
                </c:pt>
                <c:pt idx="42">
                  <c:v>6.4829725666665542E-6</c:v>
                </c:pt>
                <c:pt idx="43">
                  <c:v>2.3207955701407173E-6</c:v>
                </c:pt>
                <c:pt idx="44">
                  <c:v>7.9713151578643328E-7</c:v>
                </c:pt>
              </c:numCache>
            </c:numRef>
          </c:yVal>
          <c:smooth val="0"/>
        </c:ser>
        <c:ser>
          <c:idx val="1"/>
          <c:order val="1"/>
          <c:tx>
            <c:strRef>
              <c:f>Probability_Scale_Data_HIDE!$W$19</c:f>
              <c:strCache>
                <c:ptCount val="1"/>
                <c:pt idx="0">
                  <c:v>Pmean: 59.97 %</c:v>
                </c:pt>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Probability_Scale_Data_HIDE!$W$21:$W$22</c:f>
              <c:numCache>
                <c:formatCode>0.000;\-0.000;"--"</c:formatCode>
                <c:ptCount val="2"/>
                <c:pt idx="0">
                  <c:v>59.97</c:v>
                </c:pt>
                <c:pt idx="1">
                  <c:v>59.97</c:v>
                </c:pt>
              </c:numCache>
            </c:numRef>
          </c:xVal>
          <c:yVal>
            <c:numRef>
              <c:f>Probability_Scale_Data_HIDE!$W$24:$W$25</c:f>
              <c:numCache>
                <c:formatCode>#,##0.0000000;\-0.0000000;"--"</c:formatCode>
                <c:ptCount val="2"/>
                <c:pt idx="0" formatCode="#,##0.00;\-0.00;&quot;--&quot;">
                  <c:v>0</c:v>
                </c:pt>
                <c:pt idx="1">
                  <c:v>0.26552100765355102</c:v>
                </c:pt>
              </c:numCache>
            </c:numRef>
          </c:yVal>
          <c:smooth val="0"/>
        </c:ser>
        <c:dLbls>
          <c:showLegendKey val="0"/>
          <c:showVal val="0"/>
          <c:showCatName val="0"/>
          <c:showSerName val="0"/>
          <c:showPercent val="0"/>
          <c:showBubbleSize val="0"/>
        </c:dLbls>
        <c:axId val="1250653152"/>
        <c:axId val="1250653712"/>
      </c:scatterChart>
      <c:valAx>
        <c:axId val="1250653152"/>
        <c:scaling>
          <c:orientation val="minMax"/>
        </c:scaling>
        <c:delete val="0"/>
        <c:axPos val="b"/>
        <c:title>
          <c:tx>
            <c:rich>
              <a:bodyPr/>
              <a:lstStyle/>
              <a:p>
                <a:pPr>
                  <a:defRPr/>
                </a:pPr>
                <a:r>
                  <a:rPr lang="es-BO"/>
                  <a:t>Net to Gross,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0653712"/>
        <c:crosses val="autoZero"/>
        <c:crossBetween val="midCat"/>
      </c:valAx>
      <c:valAx>
        <c:axId val="1250653712"/>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06531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Probability_Scale_Data_HIDE!$V$30</c:f>
              <c:strCache>
                <c:ptCount val="1"/>
                <c:pt idx="0">
                  <c:v>Net to Gross</c:v>
                </c:pt>
              </c:strCache>
            </c:strRef>
          </c:tx>
          <c:spPr>
            <a:ln w="9525" cap="rnd">
              <a:solidFill>
                <a:srgbClr val="C00000"/>
              </a:solidFill>
              <a:round/>
            </a:ln>
            <a:effectLst/>
          </c:spPr>
          <c:marker>
            <c:symbol val="circle"/>
            <c:size val="5"/>
            <c:spPr>
              <a:solidFill>
                <a:srgbClr val="FFC000"/>
              </a:solidFill>
              <a:ln w="9525">
                <a:solidFill>
                  <a:schemeClr val="tx1"/>
                </a:solidFill>
              </a:ln>
              <a:effectLst/>
            </c:spPr>
          </c:marker>
          <c:xVal>
            <c:numRef>
              <c:f>Probability_Scale_Data_HIDE!$D$5:$D$16</c:f>
              <c:numCache>
                <c:formatCode>General</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xVal>
          <c:yVal>
            <c:numRef>
              <c:f>Probability_Scale_Data_HIDE!$B$5:$B$16</c:f>
              <c:numCache>
                <c:formatCode>0.00%</c:formatCode>
                <c:ptCount val="12"/>
                <c:pt idx="0">
                  <c:v>0.99</c:v>
                </c:pt>
                <c:pt idx="1">
                  <c:v>0.9</c:v>
                </c:pt>
                <c:pt idx="2">
                  <c:v>0.8</c:v>
                </c:pt>
                <c:pt idx="3">
                  <c:v>0.7</c:v>
                </c:pt>
                <c:pt idx="4">
                  <c:v>0.6</c:v>
                </c:pt>
                <c:pt idx="5">
                  <c:v>0.5</c:v>
                </c:pt>
                <c:pt idx="6">
                  <c:v>0.4</c:v>
                </c:pt>
                <c:pt idx="7">
                  <c:v>0.3</c:v>
                </c:pt>
                <c:pt idx="8">
                  <c:v>0.2</c:v>
                </c:pt>
                <c:pt idx="9">
                  <c:v>0.1</c:v>
                </c:pt>
                <c:pt idx="10">
                  <c:v>0.05</c:v>
                </c:pt>
                <c:pt idx="11">
                  <c:v>0.01</c:v>
                </c:pt>
              </c:numCache>
            </c:numRef>
          </c:yVal>
          <c:smooth val="0"/>
        </c:ser>
        <c:dLbls>
          <c:showLegendKey val="0"/>
          <c:showVal val="0"/>
          <c:showCatName val="0"/>
          <c:showSerName val="0"/>
          <c:showPercent val="0"/>
          <c:showBubbleSize val="0"/>
        </c:dLbls>
        <c:axId val="1250656512"/>
        <c:axId val="1250657072"/>
      </c:scatterChart>
      <c:valAx>
        <c:axId val="1250656512"/>
        <c:scaling>
          <c:orientation val="minMax"/>
        </c:scaling>
        <c:delete val="0"/>
        <c:axPos val="b"/>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0657072"/>
        <c:crosses val="autoZero"/>
        <c:crossBetween val="midCat"/>
      </c:valAx>
      <c:valAx>
        <c:axId val="1250657072"/>
        <c:scaling>
          <c:orientation val="minMax"/>
          <c:max val="1"/>
        </c:scaling>
        <c:delete val="0"/>
        <c:axPos val="r"/>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0656512"/>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Probability_Scale_Data_HIDE!$V$30</c:f>
              <c:strCache>
                <c:ptCount val="1"/>
                <c:pt idx="0">
                  <c:v>Net to Gross</c:v>
                </c:pt>
              </c:strCache>
            </c:strRef>
          </c:tx>
          <c:spPr>
            <a:ln w="9525" cap="rnd">
              <a:solidFill>
                <a:srgbClr val="C00000"/>
              </a:solidFill>
              <a:round/>
            </a:ln>
            <a:effectLst/>
          </c:spPr>
          <c:marker>
            <c:symbol val="circle"/>
            <c:size val="5"/>
            <c:spPr>
              <a:solidFill>
                <a:srgbClr val="FFC000"/>
              </a:solidFill>
              <a:ln w="9525">
                <a:solidFill>
                  <a:schemeClr val="tx1"/>
                </a:solidFill>
              </a:ln>
              <a:effectLst/>
            </c:spPr>
          </c:marker>
          <c:xVal>
            <c:numRef>
              <c:f>Probability_Scale_Data_HIDE!$V$32:$V$76</c:f>
              <c:numCache>
                <c:formatCode>0.00;\-0.00;"--"</c:formatCode>
                <c:ptCount val="45"/>
                <c:pt idx="0">
                  <c:v>51.399999999999991</c:v>
                </c:pt>
                <c:pt idx="1">
                  <c:v>51.784444444444439</c:v>
                </c:pt>
                <c:pt idx="2">
                  <c:v>52.168888888888887</c:v>
                </c:pt>
                <c:pt idx="3">
                  <c:v>52.553333333333335</c:v>
                </c:pt>
                <c:pt idx="4">
                  <c:v>52.937777777777782</c:v>
                </c:pt>
                <c:pt idx="5">
                  <c:v>53.32222222222223</c:v>
                </c:pt>
                <c:pt idx="6">
                  <c:v>53.706666666666678</c:v>
                </c:pt>
                <c:pt idx="7">
                  <c:v>54.091111111111125</c:v>
                </c:pt>
                <c:pt idx="8">
                  <c:v>54.475555555555573</c:v>
                </c:pt>
                <c:pt idx="9">
                  <c:v>54.860000000000021</c:v>
                </c:pt>
                <c:pt idx="10">
                  <c:v>55.244444444444468</c:v>
                </c:pt>
                <c:pt idx="11">
                  <c:v>55.628888888888916</c:v>
                </c:pt>
                <c:pt idx="12">
                  <c:v>56.013333333333364</c:v>
                </c:pt>
                <c:pt idx="13">
                  <c:v>56.397777777777812</c:v>
                </c:pt>
                <c:pt idx="14">
                  <c:v>56.782222222222259</c:v>
                </c:pt>
                <c:pt idx="15">
                  <c:v>57.166666666666707</c:v>
                </c:pt>
                <c:pt idx="16">
                  <c:v>57.551111111111155</c:v>
                </c:pt>
                <c:pt idx="17">
                  <c:v>57.935555555555602</c:v>
                </c:pt>
                <c:pt idx="18">
                  <c:v>58.32000000000005</c:v>
                </c:pt>
                <c:pt idx="19">
                  <c:v>58.704444444444498</c:v>
                </c:pt>
                <c:pt idx="20">
                  <c:v>59.088888888888945</c:v>
                </c:pt>
                <c:pt idx="21">
                  <c:v>59.473333333333393</c:v>
                </c:pt>
                <c:pt idx="22">
                  <c:v>59.857777777777841</c:v>
                </c:pt>
                <c:pt idx="23">
                  <c:v>60.242222222222289</c:v>
                </c:pt>
                <c:pt idx="24">
                  <c:v>60.626666666666736</c:v>
                </c:pt>
                <c:pt idx="25">
                  <c:v>61.011111111111184</c:v>
                </c:pt>
                <c:pt idx="26">
                  <c:v>61.395555555555632</c:v>
                </c:pt>
                <c:pt idx="27">
                  <c:v>61.780000000000079</c:v>
                </c:pt>
                <c:pt idx="28">
                  <c:v>62.164444444444527</c:v>
                </c:pt>
                <c:pt idx="29">
                  <c:v>62.548888888888975</c:v>
                </c:pt>
                <c:pt idx="30">
                  <c:v>62.933333333333422</c:v>
                </c:pt>
                <c:pt idx="31">
                  <c:v>63.31777777777787</c:v>
                </c:pt>
                <c:pt idx="32">
                  <c:v>63.702222222222318</c:v>
                </c:pt>
                <c:pt idx="33">
                  <c:v>64.086666666666758</c:v>
                </c:pt>
                <c:pt idx="34">
                  <c:v>64.471111111111199</c:v>
                </c:pt>
                <c:pt idx="35">
                  <c:v>64.85555555555564</c:v>
                </c:pt>
                <c:pt idx="36">
                  <c:v>65.24000000000008</c:v>
                </c:pt>
                <c:pt idx="37">
                  <c:v>65.624444444444521</c:v>
                </c:pt>
                <c:pt idx="38">
                  <c:v>66.008888888888961</c:v>
                </c:pt>
                <c:pt idx="39">
                  <c:v>66.393333333333402</c:v>
                </c:pt>
                <c:pt idx="40">
                  <c:v>66.777777777777843</c:v>
                </c:pt>
                <c:pt idx="41">
                  <c:v>67.162222222222283</c:v>
                </c:pt>
                <c:pt idx="42">
                  <c:v>67.546666666666724</c:v>
                </c:pt>
                <c:pt idx="43">
                  <c:v>67.931111111111164</c:v>
                </c:pt>
                <c:pt idx="44">
                  <c:v>68.315555555555605</c:v>
                </c:pt>
              </c:numCache>
            </c:numRef>
          </c:xVal>
          <c:yVal>
            <c:numRef>
              <c:f>Probability_Scale_Data_HIDE!$X$32:$X$76</c:f>
              <c:numCache>
                <c:formatCode>#,##0.0000000;\-0.0000000;"--"</c:formatCode>
                <c:ptCount val="45"/>
                <c:pt idx="0">
                  <c:v>0.99999999843241771</c:v>
                </c:pt>
                <c:pt idx="1">
                  <c:v>0.99999999139699502</c:v>
                </c:pt>
                <c:pt idx="2">
                  <c:v>0.99999995691584143</c:v>
                </c:pt>
                <c:pt idx="3">
                  <c:v>0.9999998026884096</c:v>
                </c:pt>
                <c:pt idx="4">
                  <c:v>0.99999917194196086</c:v>
                </c:pt>
                <c:pt idx="5">
                  <c:v>0.99999680893547893</c:v>
                </c:pt>
                <c:pt idx="6">
                  <c:v>0.99998868484676995</c:v>
                </c:pt>
                <c:pt idx="7">
                  <c:v>0.99996300770757818</c:v>
                </c:pt>
                <c:pt idx="8">
                  <c:v>0.99988827272262204</c:v>
                </c:pt>
                <c:pt idx="9">
                  <c:v>0.99968762656201149</c:v>
                </c:pt>
                <c:pt idx="10">
                  <c:v>0.99918992002681462</c:v>
                </c:pt>
                <c:pt idx="11">
                  <c:v>0.99804746331066141</c:v>
                </c:pt>
                <c:pt idx="12">
                  <c:v>0.99561693144886776</c:v>
                </c:pt>
                <c:pt idx="13">
                  <c:v>0.99081724689728912</c:v>
                </c:pt>
                <c:pt idx="14">
                  <c:v>0.98200650467198813</c:v>
                </c:pt>
                <c:pt idx="15">
                  <c:v>0.96695001347690701</c:v>
                </c:pt>
                <c:pt idx="16">
                  <c:v>0.9429641966973602</c:v>
                </c:pt>
                <c:pt idx="17">
                  <c:v>0.90729461063829819</c:v>
                </c:pt>
                <c:pt idx="18">
                  <c:v>0.85771151544380797</c:v>
                </c:pt>
                <c:pt idx="19">
                  <c:v>0.79320157481491405</c:v>
                </c:pt>
                <c:pt idx="20">
                  <c:v>0.71454605757190792</c:v>
                </c:pt>
                <c:pt idx="21">
                  <c:v>0.6245589210607041</c:v>
                </c:pt>
                <c:pt idx="22">
                  <c:v>0.52784100062066575</c:v>
                </c:pt>
                <c:pt idx="23">
                  <c:v>0.43006705765507636</c:v>
                </c:pt>
                <c:pt idx="24">
                  <c:v>0.33699238700735767</c:v>
                </c:pt>
                <c:pt idx="25">
                  <c:v>0.25346611155635312</c:v>
                </c:pt>
                <c:pt idx="26">
                  <c:v>0.18272403497462064</c:v>
                </c:pt>
                <c:pt idx="27">
                  <c:v>0.12611776221774118</c:v>
                </c:pt>
                <c:pt idx="28">
                  <c:v>8.3278516783752088E-2</c:v>
                </c:pt>
                <c:pt idx="29">
                  <c:v>5.2584217084118534E-2</c:v>
                </c:pt>
                <c:pt idx="30">
                  <c:v>3.1741684109974466E-2</c:v>
                </c:pt>
                <c:pt idx="31">
                  <c:v>1.8315623601421915E-2</c:v>
                </c:pt>
                <c:pt idx="32">
                  <c:v>1.0103204909170049E-2</c:v>
                </c:pt>
                <c:pt idx="33">
                  <c:v>5.3287058940748588E-3</c:v>
                </c:pt>
                <c:pt idx="34">
                  <c:v>2.6880020083213108E-3</c:v>
                </c:pt>
                <c:pt idx="35">
                  <c:v>1.2972842311583799E-3</c:v>
                </c:pt>
                <c:pt idx="36">
                  <c:v>5.9926163045842529E-4</c:v>
                </c:pt>
                <c:pt idx="37">
                  <c:v>2.6507684577292689E-4</c:v>
                </c:pt>
                <c:pt idx="38">
                  <c:v>1.1233498302409828E-4</c:v>
                </c:pt>
                <c:pt idx="39">
                  <c:v>4.5632282809182634E-5</c:v>
                </c:pt>
                <c:pt idx="40">
                  <c:v>1.7777821564979313E-5</c:v>
                </c:pt>
                <c:pt idx="41">
                  <c:v>6.6462416636881017E-6</c:v>
                </c:pt>
                <c:pt idx="42">
                  <c:v>2.3856784575615464E-6</c:v>
                </c:pt>
                <c:pt idx="43">
                  <c:v>8.2268988343958682E-7</c:v>
                </c:pt>
                <c:pt idx="44">
                  <c:v>2.7271006819429289E-7</c:v>
                </c:pt>
              </c:numCache>
            </c:numRef>
          </c:yVal>
          <c:smooth val="0"/>
        </c:ser>
        <c:ser>
          <c:idx val="1"/>
          <c:order val="1"/>
          <c:tx>
            <c:strRef>
              <c:f>Probability_Scale_Data_HIDE!$W$19</c:f>
              <c:strCache>
                <c:ptCount val="1"/>
                <c:pt idx="0">
                  <c:v>Pmean: 59.97 %</c:v>
                </c:pt>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Probability_Scale_Data_HIDE!$W$21:$W$22</c:f>
              <c:numCache>
                <c:formatCode>0.000;\-0.000;"--"</c:formatCode>
                <c:ptCount val="2"/>
                <c:pt idx="0">
                  <c:v>59.97</c:v>
                </c:pt>
                <c:pt idx="1">
                  <c:v>59.97</c:v>
                </c:pt>
              </c:numCache>
            </c:numRef>
          </c:xVal>
          <c:yVal>
            <c:numRef>
              <c:f>Probability_Scale_Data_HIDE!$W$26:$W$27</c:f>
              <c:numCache>
                <c:formatCode>#,##0.0000000;\-0.0000000;"--"</c:formatCode>
                <c:ptCount val="2"/>
                <c:pt idx="0" formatCode="#,##0.00;\-0.00;&quot;--&quot;">
                  <c:v>0</c:v>
                </c:pt>
                <c:pt idx="1">
                  <c:v>0.99999999843241771</c:v>
                </c:pt>
              </c:numCache>
            </c:numRef>
          </c:yVal>
          <c:smooth val="0"/>
        </c:ser>
        <c:dLbls>
          <c:showLegendKey val="0"/>
          <c:showVal val="0"/>
          <c:showCatName val="0"/>
          <c:showSerName val="0"/>
          <c:showPercent val="0"/>
          <c:showBubbleSize val="0"/>
        </c:dLbls>
        <c:axId val="1245441280"/>
        <c:axId val="1245441840"/>
      </c:scatterChart>
      <c:valAx>
        <c:axId val="1245441280"/>
        <c:scaling>
          <c:orientation val="minMax"/>
        </c:scaling>
        <c:delete val="0"/>
        <c:axPos val="b"/>
        <c:title>
          <c:tx>
            <c:rich>
              <a:bodyPr/>
              <a:lstStyle/>
              <a:p>
                <a:pPr>
                  <a:defRPr/>
                </a:pPr>
                <a:r>
                  <a:rPr lang="es-BO"/>
                  <a:t>Net to Gross,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45441840"/>
        <c:crosses val="autoZero"/>
        <c:crossBetween val="midCat"/>
        <c:majorUnit val="10"/>
      </c:valAx>
      <c:valAx>
        <c:axId val="1245441840"/>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45441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Probability_Scale_Data_HIDE!$V$30</c:f>
              <c:strCache>
                <c:ptCount val="1"/>
                <c:pt idx="0">
                  <c:v>Net to Gross</c:v>
                </c:pt>
              </c:strCache>
            </c:strRef>
          </c:tx>
          <c:spPr>
            <a:ln w="9525" cap="rnd">
              <a:solidFill>
                <a:srgbClr val="C00000"/>
              </a:solidFill>
              <a:round/>
            </a:ln>
            <a:effectLst/>
          </c:spPr>
          <c:marker>
            <c:symbol val="circle"/>
            <c:size val="5"/>
            <c:spPr>
              <a:solidFill>
                <a:srgbClr val="FFC000"/>
              </a:solidFill>
              <a:ln w="9525">
                <a:solidFill>
                  <a:schemeClr val="tx1"/>
                </a:solidFill>
              </a:ln>
              <a:effectLst/>
            </c:spPr>
          </c:marker>
          <c:xVal>
            <c:numRef>
              <c:f>Probability_Scale_Data_HIDE!$Y$32:$Y$76</c:f>
              <c:numCache>
                <c:formatCode>#,##0.00;\-0.00;"--"</c:formatCode>
                <c:ptCount val="45"/>
                <c:pt idx="0">
                  <c:v>3.5999999999999996</c:v>
                </c:pt>
                <c:pt idx="1">
                  <c:v>3.6866666666666665</c:v>
                </c:pt>
                <c:pt idx="2">
                  <c:v>3.7733333333333334</c:v>
                </c:pt>
                <c:pt idx="3">
                  <c:v>3.8600000000000003</c:v>
                </c:pt>
                <c:pt idx="4">
                  <c:v>3.9466666666666672</c:v>
                </c:pt>
                <c:pt idx="5">
                  <c:v>4.0333333333333341</c:v>
                </c:pt>
                <c:pt idx="6">
                  <c:v>4.120000000000001</c:v>
                </c:pt>
                <c:pt idx="7">
                  <c:v>4.2066666666666679</c:v>
                </c:pt>
                <c:pt idx="8">
                  <c:v>4.2933333333333348</c:v>
                </c:pt>
                <c:pt idx="9">
                  <c:v>4.3800000000000017</c:v>
                </c:pt>
                <c:pt idx="10">
                  <c:v>4.4666666666666686</c:v>
                </c:pt>
                <c:pt idx="11">
                  <c:v>4.5533333333333355</c:v>
                </c:pt>
                <c:pt idx="12">
                  <c:v>4.6400000000000023</c:v>
                </c:pt>
                <c:pt idx="13">
                  <c:v>4.7266666666666692</c:v>
                </c:pt>
                <c:pt idx="14">
                  <c:v>4.8133333333333361</c:v>
                </c:pt>
                <c:pt idx="15">
                  <c:v>4.900000000000003</c:v>
                </c:pt>
                <c:pt idx="16">
                  <c:v>4.9866666666666699</c:v>
                </c:pt>
                <c:pt idx="17">
                  <c:v>5.0733333333333368</c:v>
                </c:pt>
                <c:pt idx="18">
                  <c:v>5.1600000000000037</c:v>
                </c:pt>
                <c:pt idx="19">
                  <c:v>5.2466666666666706</c:v>
                </c:pt>
                <c:pt idx="20">
                  <c:v>5.3333333333333375</c:v>
                </c:pt>
                <c:pt idx="21">
                  <c:v>5.4200000000000044</c:v>
                </c:pt>
                <c:pt idx="22">
                  <c:v>5.5066666666666713</c:v>
                </c:pt>
                <c:pt idx="23">
                  <c:v>5.5933333333333382</c:v>
                </c:pt>
                <c:pt idx="24">
                  <c:v>5.680000000000005</c:v>
                </c:pt>
                <c:pt idx="25">
                  <c:v>5.7666666666666719</c:v>
                </c:pt>
                <c:pt idx="26">
                  <c:v>5.8533333333333388</c:v>
                </c:pt>
                <c:pt idx="27">
                  <c:v>5.9400000000000057</c:v>
                </c:pt>
                <c:pt idx="28">
                  <c:v>6.0266666666666726</c:v>
                </c:pt>
                <c:pt idx="29">
                  <c:v>6.1133333333333395</c:v>
                </c:pt>
                <c:pt idx="30">
                  <c:v>6.2000000000000064</c:v>
                </c:pt>
                <c:pt idx="31">
                  <c:v>6.2866666666666733</c:v>
                </c:pt>
                <c:pt idx="32">
                  <c:v>6.3733333333333402</c:v>
                </c:pt>
                <c:pt idx="33">
                  <c:v>6.4600000000000071</c:v>
                </c:pt>
                <c:pt idx="34">
                  <c:v>6.546666666666674</c:v>
                </c:pt>
                <c:pt idx="35">
                  <c:v>6.6333333333333409</c:v>
                </c:pt>
                <c:pt idx="36">
                  <c:v>6.7200000000000077</c:v>
                </c:pt>
                <c:pt idx="37">
                  <c:v>6.8066666666666746</c:v>
                </c:pt>
                <c:pt idx="38">
                  <c:v>6.8933333333333415</c:v>
                </c:pt>
                <c:pt idx="39">
                  <c:v>6.9800000000000084</c:v>
                </c:pt>
                <c:pt idx="40">
                  <c:v>7.0666666666666753</c:v>
                </c:pt>
                <c:pt idx="41">
                  <c:v>7.1533333333333422</c:v>
                </c:pt>
                <c:pt idx="42">
                  <c:v>7.2400000000000091</c:v>
                </c:pt>
                <c:pt idx="43">
                  <c:v>7.326666666666676</c:v>
                </c:pt>
                <c:pt idx="44">
                  <c:v>7.4133333333333429</c:v>
                </c:pt>
              </c:numCache>
            </c:numRef>
          </c:xVal>
          <c:yVal>
            <c:numRef>
              <c:f>Probability_Scale_Data_HIDE!$Z$32:$Z$76</c:f>
              <c:numCache>
                <c:formatCode>#,##0.0000000;\-0.0000000;"--"</c:formatCode>
                <c:ptCount val="45"/>
                <c:pt idx="0">
                  <c:v>4.3090713649785645E-8</c:v>
                </c:pt>
                <c:pt idx="1">
                  <c:v>2.8618025851658376E-7</c:v>
                </c:pt>
                <c:pt idx="2">
                  <c:v>1.632662733172964E-6</c:v>
                </c:pt>
                <c:pt idx="3">
                  <c:v>8.0761560265458875E-6</c:v>
                </c:pt>
                <c:pt idx="4">
                  <c:v>3.4938063131479804E-5</c:v>
                </c:pt>
                <c:pt idx="5">
                  <c:v>1.3323787470086157E-4</c:v>
                </c:pt>
                <c:pt idx="6">
                  <c:v>4.5121286372689626E-4</c:v>
                </c:pt>
                <c:pt idx="7">
                  <c:v>1.366204028423293E-3</c:v>
                </c:pt>
                <c:pt idx="8">
                  <c:v>3.7219619076284626E-3</c:v>
                </c:pt>
                <c:pt idx="9">
                  <c:v>9.1769438548315405E-3</c:v>
                </c:pt>
                <c:pt idx="10">
                  <c:v>2.0590366293268245E-2</c:v>
                </c:pt>
                <c:pt idx="11">
                  <c:v>4.2254964915696684E-2</c:v>
                </c:pt>
                <c:pt idx="12">
                  <c:v>7.9688996868218842E-2</c:v>
                </c:pt>
                <c:pt idx="13">
                  <c:v>0.13872314365342059</c:v>
                </c:pt>
                <c:pt idx="14">
                  <c:v>0.22383462347286365</c:v>
                </c:pt>
                <c:pt idx="15">
                  <c:v>0.33605941576197212</c:v>
                </c:pt>
                <c:pt idx="16">
                  <c:v>0.47118549527061099</c:v>
                </c:pt>
                <c:pt idx="17">
                  <c:v>0.61906108314980224</c:v>
                </c:pt>
                <c:pt idx="18">
                  <c:v>0.76459089149437653</c:v>
                </c:pt>
                <c:pt idx="19">
                  <c:v>0.8903964172306329</c:v>
                </c:pt>
                <c:pt idx="20">
                  <c:v>0.98044566887898532</c:v>
                </c:pt>
                <c:pt idx="21">
                  <c:v>1.023540083713538</c:v>
                </c:pt>
                <c:pt idx="22">
                  <c:v>1.0155844459084375</c:v>
                </c:pt>
                <c:pt idx="23">
                  <c:v>0.96002775034476728</c:v>
                </c:pt>
                <c:pt idx="24">
                  <c:v>0.86651708982865283</c:v>
                </c:pt>
                <c:pt idx="25">
                  <c:v>0.74836146479544852</c:v>
                </c:pt>
                <c:pt idx="26">
                  <c:v>0.61965778548966055</c:v>
                </c:pt>
                <c:pt idx="27">
                  <c:v>0.49285272586514639</c:v>
                </c:pt>
                <c:pt idx="28">
                  <c:v>0.3772090237785532</c:v>
                </c:pt>
                <c:pt idx="29">
                  <c:v>0.2782791911222966</c:v>
                </c:pt>
                <c:pt idx="30">
                  <c:v>0.19820245769702</c:v>
                </c:pt>
                <c:pt idx="31">
                  <c:v>0.13649825652763781</c:v>
                </c:pt>
                <c:pt idx="32">
                  <c:v>9.1025174828872096E-2</c:v>
                </c:pt>
                <c:pt idx="33">
                  <c:v>5.8858257823132532E-2</c:v>
                </c:pt>
                <c:pt idx="34">
                  <c:v>3.695135038929806E-2</c:v>
                </c:pt>
                <c:pt idx="35">
                  <c:v>2.2551116734174471E-2</c:v>
                </c:pt>
                <c:pt idx="36">
                  <c:v>1.3394678706836837E-2</c:v>
                </c:pt>
                <c:pt idx="37">
                  <c:v>7.7519356622849367E-3</c:v>
                </c:pt>
                <c:pt idx="38">
                  <c:v>4.3758817858964762E-3</c:v>
                </c:pt>
                <c:pt idx="39">
                  <c:v>2.4117967024130057E-3</c:v>
                </c:pt>
                <c:pt idx="40">
                  <c:v>1.2991433052949503E-3</c:v>
                </c:pt>
                <c:pt idx="41">
                  <c:v>6.8456832111871071E-4</c:v>
                </c:pt>
                <c:pt idx="42">
                  <c:v>3.5318617665721058E-4</c:v>
                </c:pt>
                <c:pt idx="43">
                  <c:v>1.7856001277053143E-4</c:v>
                </c:pt>
                <c:pt idx="44">
                  <c:v>8.8533654005981913E-5</c:v>
                </c:pt>
              </c:numCache>
            </c:numRef>
          </c:yVal>
          <c:smooth val="0"/>
        </c:ser>
        <c:ser>
          <c:idx val="1"/>
          <c:order val="1"/>
          <c:tx>
            <c:strRef>
              <c:f>Probability_Scale_Data_HIDE!$Z$19</c:f>
              <c:strCache>
                <c:ptCount val="1"/>
                <c:pt idx="0">
                  <c:v>Pmean: 5.48 %</c:v>
                </c:pt>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Probability_Scale_Data_HIDE!$Z$21:$Z$22</c:f>
              <c:numCache>
                <c:formatCode>0.000;\-0.000;"--"</c:formatCode>
                <c:ptCount val="2"/>
                <c:pt idx="0">
                  <c:v>5.48</c:v>
                </c:pt>
                <c:pt idx="1">
                  <c:v>5.48</c:v>
                </c:pt>
              </c:numCache>
            </c:numRef>
          </c:xVal>
          <c:yVal>
            <c:numRef>
              <c:f>Probability_Scale_Data_HIDE!$Z$24:$Z$25</c:f>
              <c:numCache>
                <c:formatCode>#,##0.0000000;\-0.0000000;"--"</c:formatCode>
                <c:ptCount val="2"/>
                <c:pt idx="0" formatCode="#,##0.00;\-0.00;&quot;--&quot;">
                  <c:v>0</c:v>
                </c:pt>
                <c:pt idx="1">
                  <c:v>1.033540083713538</c:v>
                </c:pt>
              </c:numCache>
            </c:numRef>
          </c:yVal>
          <c:smooth val="0"/>
        </c:ser>
        <c:dLbls>
          <c:showLegendKey val="0"/>
          <c:showVal val="0"/>
          <c:showCatName val="0"/>
          <c:showSerName val="0"/>
          <c:showPercent val="0"/>
          <c:showBubbleSize val="0"/>
        </c:dLbls>
        <c:axId val="1245445200"/>
        <c:axId val="1245445760"/>
      </c:scatterChart>
      <c:valAx>
        <c:axId val="1245445200"/>
        <c:scaling>
          <c:orientation val="minMax"/>
        </c:scaling>
        <c:delete val="0"/>
        <c:axPos val="b"/>
        <c:title>
          <c:tx>
            <c:rich>
              <a:bodyPr/>
              <a:lstStyle/>
              <a:p>
                <a:pPr>
                  <a:defRPr/>
                </a:pPr>
                <a:r>
                  <a:rPr lang="es-BO"/>
                  <a:t>Porosity,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45445760"/>
        <c:crosses val="autoZero"/>
        <c:crossBetween val="midCat"/>
      </c:valAx>
      <c:valAx>
        <c:axId val="1245445760"/>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454452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Probability_Scale_Data_HIDE!$V$30</c:f>
              <c:strCache>
                <c:ptCount val="1"/>
                <c:pt idx="0">
                  <c:v>Net to Gross</c:v>
                </c:pt>
              </c:strCache>
            </c:strRef>
          </c:tx>
          <c:spPr>
            <a:ln w="9525" cap="rnd">
              <a:solidFill>
                <a:srgbClr val="C00000"/>
              </a:solidFill>
              <a:round/>
            </a:ln>
            <a:effectLst/>
          </c:spPr>
          <c:marker>
            <c:symbol val="circle"/>
            <c:size val="5"/>
            <c:spPr>
              <a:solidFill>
                <a:srgbClr val="FFC000"/>
              </a:solidFill>
              <a:ln w="9525">
                <a:solidFill>
                  <a:schemeClr val="tx1"/>
                </a:solidFill>
              </a:ln>
              <a:effectLst/>
            </c:spPr>
          </c:marker>
          <c:xVal>
            <c:numRef>
              <c:f>Probability_Scale_Data_HIDE!$Y$32:$Y$76</c:f>
              <c:numCache>
                <c:formatCode>#,##0.00;\-0.00;"--"</c:formatCode>
                <c:ptCount val="45"/>
                <c:pt idx="0">
                  <c:v>3.5999999999999996</c:v>
                </c:pt>
                <c:pt idx="1">
                  <c:v>3.6866666666666665</c:v>
                </c:pt>
                <c:pt idx="2">
                  <c:v>3.7733333333333334</c:v>
                </c:pt>
                <c:pt idx="3">
                  <c:v>3.8600000000000003</c:v>
                </c:pt>
                <c:pt idx="4">
                  <c:v>3.9466666666666672</c:v>
                </c:pt>
                <c:pt idx="5">
                  <c:v>4.0333333333333341</c:v>
                </c:pt>
                <c:pt idx="6">
                  <c:v>4.120000000000001</c:v>
                </c:pt>
                <c:pt idx="7">
                  <c:v>4.2066666666666679</c:v>
                </c:pt>
                <c:pt idx="8">
                  <c:v>4.2933333333333348</c:v>
                </c:pt>
                <c:pt idx="9">
                  <c:v>4.3800000000000017</c:v>
                </c:pt>
                <c:pt idx="10">
                  <c:v>4.4666666666666686</c:v>
                </c:pt>
                <c:pt idx="11">
                  <c:v>4.5533333333333355</c:v>
                </c:pt>
                <c:pt idx="12">
                  <c:v>4.6400000000000023</c:v>
                </c:pt>
                <c:pt idx="13">
                  <c:v>4.7266666666666692</c:v>
                </c:pt>
                <c:pt idx="14">
                  <c:v>4.8133333333333361</c:v>
                </c:pt>
                <c:pt idx="15">
                  <c:v>4.900000000000003</c:v>
                </c:pt>
                <c:pt idx="16">
                  <c:v>4.9866666666666699</c:v>
                </c:pt>
                <c:pt idx="17">
                  <c:v>5.0733333333333368</c:v>
                </c:pt>
                <c:pt idx="18">
                  <c:v>5.1600000000000037</c:v>
                </c:pt>
                <c:pt idx="19">
                  <c:v>5.2466666666666706</c:v>
                </c:pt>
                <c:pt idx="20">
                  <c:v>5.3333333333333375</c:v>
                </c:pt>
                <c:pt idx="21">
                  <c:v>5.4200000000000044</c:v>
                </c:pt>
                <c:pt idx="22">
                  <c:v>5.5066666666666713</c:v>
                </c:pt>
                <c:pt idx="23">
                  <c:v>5.5933333333333382</c:v>
                </c:pt>
                <c:pt idx="24">
                  <c:v>5.680000000000005</c:v>
                </c:pt>
                <c:pt idx="25">
                  <c:v>5.7666666666666719</c:v>
                </c:pt>
                <c:pt idx="26">
                  <c:v>5.8533333333333388</c:v>
                </c:pt>
                <c:pt idx="27">
                  <c:v>5.9400000000000057</c:v>
                </c:pt>
                <c:pt idx="28">
                  <c:v>6.0266666666666726</c:v>
                </c:pt>
                <c:pt idx="29">
                  <c:v>6.1133333333333395</c:v>
                </c:pt>
                <c:pt idx="30">
                  <c:v>6.2000000000000064</c:v>
                </c:pt>
                <c:pt idx="31">
                  <c:v>6.2866666666666733</c:v>
                </c:pt>
                <c:pt idx="32">
                  <c:v>6.3733333333333402</c:v>
                </c:pt>
                <c:pt idx="33">
                  <c:v>6.4600000000000071</c:v>
                </c:pt>
                <c:pt idx="34">
                  <c:v>6.546666666666674</c:v>
                </c:pt>
                <c:pt idx="35">
                  <c:v>6.6333333333333409</c:v>
                </c:pt>
                <c:pt idx="36">
                  <c:v>6.7200000000000077</c:v>
                </c:pt>
                <c:pt idx="37">
                  <c:v>6.8066666666666746</c:v>
                </c:pt>
                <c:pt idx="38">
                  <c:v>6.8933333333333415</c:v>
                </c:pt>
                <c:pt idx="39">
                  <c:v>6.9800000000000084</c:v>
                </c:pt>
                <c:pt idx="40">
                  <c:v>7.0666666666666753</c:v>
                </c:pt>
                <c:pt idx="41">
                  <c:v>7.1533333333333422</c:v>
                </c:pt>
                <c:pt idx="42">
                  <c:v>7.2400000000000091</c:v>
                </c:pt>
                <c:pt idx="43">
                  <c:v>7.326666666666676</c:v>
                </c:pt>
                <c:pt idx="44">
                  <c:v>7.4133333333333429</c:v>
                </c:pt>
              </c:numCache>
            </c:numRef>
          </c:xVal>
          <c:yVal>
            <c:numRef>
              <c:f>Probability_Scale_Data_HIDE!$AA$32:$AA$76</c:f>
              <c:numCache>
                <c:formatCode>#,##0.0000000;\-0.0000000;"--"</c:formatCode>
                <c:ptCount val="45"/>
                <c:pt idx="0">
                  <c:v>0.99999999817929286</c:v>
                </c:pt>
                <c:pt idx="1">
                  <c:v>0.99999998691359882</c:v>
                </c:pt>
                <c:pt idx="2">
                  <c:v>0.99999991911189967</c:v>
                </c:pt>
                <c:pt idx="3">
                  <c:v>0.99999956592463846</c:v>
                </c:pt>
                <c:pt idx="4">
                  <c:v>0.99999795974604655</c:v>
                </c:pt>
                <c:pt idx="5">
                  <c:v>0.99999153188493461</c:v>
                </c:pt>
                <c:pt idx="6">
                  <c:v>0.99996872709546769</c:v>
                </c:pt>
                <c:pt idx="7">
                  <c:v>0.99989650953221643</c:v>
                </c:pt>
                <c:pt idx="8">
                  <c:v>0.99969107419288528</c:v>
                </c:pt>
                <c:pt idx="9">
                  <c:v>0.99916300815587245</c:v>
                </c:pt>
                <c:pt idx="10">
                  <c:v>0.99792970227895439</c:v>
                </c:pt>
                <c:pt idx="11">
                  <c:v>0.99529913108419577</c:v>
                </c:pt>
                <c:pt idx="12">
                  <c:v>0.99015034131603785</c:v>
                </c:pt>
                <c:pt idx="13">
                  <c:v>0.98086112068939868</c:v>
                </c:pt>
                <c:pt idx="14">
                  <c:v>0.9653483080892924</c:v>
                </c:pt>
                <c:pt idx="15">
                  <c:v>0.94127465959950618</c:v>
                </c:pt>
                <c:pt idx="16">
                  <c:v>0.90643049196037451</c:v>
                </c:pt>
                <c:pt idx="17">
                  <c:v>0.85922922386701628</c:v>
                </c:pt>
                <c:pt idx="18">
                  <c:v>0.79919202003069223</c:v>
                </c:pt>
                <c:pt idx="19">
                  <c:v>0.72727126241839413</c:v>
                </c:pt>
                <c:pt idx="20">
                  <c:v>0.64589440292426437</c:v>
                </c:pt>
                <c:pt idx="21">
                  <c:v>0.55869088196431504</c:v>
                </c:pt>
                <c:pt idx="22">
                  <c:v>0.4699630477707113</c:v>
                </c:pt>
                <c:pt idx="23">
                  <c:v>0.38403749588488456</c:v>
                </c:pt>
                <c:pt idx="24">
                  <c:v>0.30465824883022241</c:v>
                </c:pt>
                <c:pt idx="25">
                  <c:v>0.23455386879801365</c:v>
                </c:pt>
                <c:pt idx="26">
                  <c:v>0.1752452834889352</c:v>
                </c:pt>
                <c:pt idx="27">
                  <c:v>0.12708848355353863</c:v>
                </c:pt>
                <c:pt idx="28">
                  <c:v>8.9491368804377913E-2</c:v>
                </c:pt>
                <c:pt idx="29">
                  <c:v>6.1219397290802613E-2</c:v>
                </c:pt>
                <c:pt idx="30">
                  <c:v>4.0709123852816775E-2</c:v>
                </c:pt>
                <c:pt idx="31">
                  <c:v>2.6331954744589381E-2</c:v>
                </c:pt>
                <c:pt idx="32">
                  <c:v>1.657979898628581E-2</c:v>
                </c:pt>
                <c:pt idx="33">
                  <c:v>1.0169770363760877E-2</c:v>
                </c:pt>
                <c:pt idx="34">
                  <c:v>6.0816079456545991E-3</c:v>
                </c:pt>
                <c:pt idx="35">
                  <c:v>3.5485002626348683E-3</c:v>
                </c:pt>
                <c:pt idx="36">
                  <c:v>2.021783624233553E-3</c:v>
                </c:pt>
                <c:pt idx="37">
                  <c:v>1.1257188084928815E-3</c:v>
                </c:pt>
                <c:pt idx="38">
                  <c:v>6.1301095837806852E-4</c:v>
                </c:pt>
                <c:pt idx="39">
                  <c:v>3.2672424040736114E-4</c:v>
                </c:pt>
                <c:pt idx="40">
                  <c:v>1.7056658005321079E-4</c:v>
                </c:pt>
                <c:pt idx="41">
                  <c:v>8.7281611443779106E-5</c:v>
                </c:pt>
                <c:pt idx="42">
                  <c:v>4.3810286263767928E-5</c:v>
                </c:pt>
                <c:pt idx="43">
                  <c:v>2.1585066691698351E-5</c:v>
                </c:pt>
                <c:pt idx="44">
                  <c:v>1.044588057030893E-5</c:v>
                </c:pt>
              </c:numCache>
            </c:numRef>
          </c:yVal>
          <c:smooth val="0"/>
        </c:ser>
        <c:ser>
          <c:idx val="1"/>
          <c:order val="1"/>
          <c:tx>
            <c:strRef>
              <c:f>Probability_Scale_Data_HIDE!$Z$19</c:f>
              <c:strCache>
                <c:ptCount val="1"/>
                <c:pt idx="0">
                  <c:v>Pmean: 5.48 %</c:v>
                </c:pt>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Probability_Scale_Data_HIDE!$Z$21:$Z$22</c:f>
              <c:numCache>
                <c:formatCode>0.000;\-0.000;"--"</c:formatCode>
                <c:ptCount val="2"/>
                <c:pt idx="0">
                  <c:v>5.48</c:v>
                </c:pt>
                <c:pt idx="1">
                  <c:v>5.48</c:v>
                </c:pt>
              </c:numCache>
            </c:numRef>
          </c:xVal>
          <c:yVal>
            <c:numRef>
              <c:f>Probability_Scale_Data_HIDE!$Z$26:$Z$27</c:f>
              <c:numCache>
                <c:formatCode>#,##0.0000000;\-0.0000000;"--"</c:formatCode>
                <c:ptCount val="2"/>
                <c:pt idx="0" formatCode="#,##0.00;\-0.00;&quot;--&quot;">
                  <c:v>0</c:v>
                </c:pt>
                <c:pt idx="1">
                  <c:v>0.99999999817929286</c:v>
                </c:pt>
              </c:numCache>
            </c:numRef>
          </c:yVal>
          <c:smooth val="0"/>
        </c:ser>
        <c:dLbls>
          <c:showLegendKey val="0"/>
          <c:showVal val="0"/>
          <c:showCatName val="0"/>
          <c:showSerName val="0"/>
          <c:showPercent val="0"/>
          <c:showBubbleSize val="0"/>
        </c:dLbls>
        <c:axId val="1284769840"/>
        <c:axId val="1284770400"/>
      </c:scatterChart>
      <c:valAx>
        <c:axId val="1284769840"/>
        <c:scaling>
          <c:orientation val="minMax"/>
        </c:scaling>
        <c:delete val="0"/>
        <c:axPos val="b"/>
        <c:title>
          <c:tx>
            <c:rich>
              <a:bodyPr/>
              <a:lstStyle/>
              <a:p>
                <a:pPr>
                  <a:defRPr/>
                </a:pPr>
                <a:r>
                  <a:rPr lang="es-BO"/>
                  <a:t>Porosity,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84770400"/>
        <c:crosses val="autoZero"/>
        <c:crossBetween val="midCat"/>
      </c:valAx>
      <c:valAx>
        <c:axId val="1284770400"/>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847698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Probability_Scale_Data_HIDE!$V$30</c:f>
              <c:strCache>
                <c:ptCount val="1"/>
                <c:pt idx="0">
                  <c:v>Net to Gross</c:v>
                </c:pt>
              </c:strCache>
            </c:strRef>
          </c:tx>
          <c:spPr>
            <a:ln w="9525" cap="rnd">
              <a:solidFill>
                <a:srgbClr val="FF0000"/>
              </a:solidFill>
              <a:round/>
            </a:ln>
            <a:effectLst/>
          </c:spPr>
          <c:marker>
            <c:symbol val="circle"/>
            <c:size val="5"/>
            <c:spPr>
              <a:solidFill>
                <a:srgbClr val="FF0000"/>
              </a:solidFill>
              <a:ln w="9525">
                <a:solidFill>
                  <a:schemeClr val="tx1"/>
                </a:solidFill>
              </a:ln>
              <a:effectLst/>
            </c:spPr>
          </c:marker>
          <c:xVal>
            <c:numRef>
              <c:f>Probability_Scale_Data_HIDE!$AC$32:$AC$76</c:f>
              <c:numCache>
                <c:formatCode>#,##0.00;\-0.00;"--"</c:formatCode>
                <c:ptCount val="45"/>
                <c:pt idx="0">
                  <c:v>30.627397667737249</c:v>
                </c:pt>
                <c:pt idx="1">
                  <c:v>31.648715519346219</c:v>
                </c:pt>
                <c:pt idx="2">
                  <c:v>32.670033370955188</c:v>
                </c:pt>
                <c:pt idx="3">
                  <c:v>33.691351222564158</c:v>
                </c:pt>
                <c:pt idx="4">
                  <c:v>34.712669074173128</c:v>
                </c:pt>
                <c:pt idx="5">
                  <c:v>35.733986925782098</c:v>
                </c:pt>
                <c:pt idx="6">
                  <c:v>36.755304777391068</c:v>
                </c:pt>
                <c:pt idx="7">
                  <c:v>37.776622629000038</c:v>
                </c:pt>
                <c:pt idx="8">
                  <c:v>38.797940480609007</c:v>
                </c:pt>
                <c:pt idx="9">
                  <c:v>39.819258332217977</c:v>
                </c:pt>
                <c:pt idx="10">
                  <c:v>40.840576183826947</c:v>
                </c:pt>
                <c:pt idx="11">
                  <c:v>41.861894035435917</c:v>
                </c:pt>
                <c:pt idx="12">
                  <c:v>42.883211887044887</c:v>
                </c:pt>
                <c:pt idx="13">
                  <c:v>43.904529738653856</c:v>
                </c:pt>
                <c:pt idx="14">
                  <c:v>44.925847590262826</c:v>
                </c:pt>
                <c:pt idx="15">
                  <c:v>45.947165441871796</c:v>
                </c:pt>
                <c:pt idx="16">
                  <c:v>46.968483293480766</c:v>
                </c:pt>
                <c:pt idx="17">
                  <c:v>47.989801145089736</c:v>
                </c:pt>
                <c:pt idx="18">
                  <c:v>49.011118996698706</c:v>
                </c:pt>
                <c:pt idx="19">
                  <c:v>50.032436848307675</c:v>
                </c:pt>
                <c:pt idx="20">
                  <c:v>51.053754699916645</c:v>
                </c:pt>
                <c:pt idx="21">
                  <c:v>52.075072551525615</c:v>
                </c:pt>
                <c:pt idx="22">
                  <c:v>53.096390403134585</c:v>
                </c:pt>
                <c:pt idx="23">
                  <c:v>54.117708254743555</c:v>
                </c:pt>
                <c:pt idx="24">
                  <c:v>55.139026106352524</c:v>
                </c:pt>
                <c:pt idx="25">
                  <c:v>56.160343957961494</c:v>
                </c:pt>
                <c:pt idx="26">
                  <c:v>57.181661809570464</c:v>
                </c:pt>
                <c:pt idx="27">
                  <c:v>58.202979661179434</c:v>
                </c:pt>
                <c:pt idx="28">
                  <c:v>59.224297512788404</c:v>
                </c:pt>
                <c:pt idx="29">
                  <c:v>60.245615364397374</c:v>
                </c:pt>
                <c:pt idx="30">
                  <c:v>61.266933216006343</c:v>
                </c:pt>
                <c:pt idx="31">
                  <c:v>62.288251067615313</c:v>
                </c:pt>
                <c:pt idx="32">
                  <c:v>63.309568919224283</c:v>
                </c:pt>
                <c:pt idx="33">
                  <c:v>64.330886770833246</c:v>
                </c:pt>
                <c:pt idx="34">
                  <c:v>65.352204622442216</c:v>
                </c:pt>
                <c:pt idx="35">
                  <c:v>66.373522474051185</c:v>
                </c:pt>
                <c:pt idx="36">
                  <c:v>67.394840325660155</c:v>
                </c:pt>
                <c:pt idx="37">
                  <c:v>68.416158177269125</c:v>
                </c:pt>
                <c:pt idx="38">
                  <c:v>69.437476028878095</c:v>
                </c:pt>
                <c:pt idx="39">
                  <c:v>70.458793880487065</c:v>
                </c:pt>
                <c:pt idx="40">
                  <c:v>71.480111732096034</c:v>
                </c:pt>
                <c:pt idx="41">
                  <c:v>72.501429583705004</c:v>
                </c:pt>
                <c:pt idx="42">
                  <c:v>73.522747435313974</c:v>
                </c:pt>
                <c:pt idx="43">
                  <c:v>74.544065286922944</c:v>
                </c:pt>
                <c:pt idx="44">
                  <c:v>75.565383138531914</c:v>
                </c:pt>
              </c:numCache>
            </c:numRef>
          </c:xVal>
          <c:yVal>
            <c:numRef>
              <c:f>Probability_Scale_Data_HIDE!$AD$32:$AD$76</c:f>
              <c:numCache>
                <c:formatCode>#,##0.0000000;\-0.0000000;"--"</c:formatCode>
                <c:ptCount val="45"/>
                <c:pt idx="0">
                  <c:v>1.0025977806289693E-3</c:v>
                </c:pt>
                <c:pt idx="1">
                  <c:v>1.7576789121129162E-3</c:v>
                </c:pt>
                <c:pt idx="2">
                  <c:v>2.9054591510592909E-3</c:v>
                </c:pt>
                <c:pt idx="3">
                  <c:v>4.5505545220768419E-3</c:v>
                </c:pt>
                <c:pt idx="4">
                  <c:v>6.7823325496668991E-3</c:v>
                </c:pt>
                <c:pt idx="5">
                  <c:v>9.6573352804007941E-3</c:v>
                </c:pt>
                <c:pt idx="6">
                  <c:v>1.3183438658091417E-2</c:v>
                </c:pt>
                <c:pt idx="7">
                  <c:v>1.7309116295070173E-2</c:v>
                </c:pt>
                <c:pt idx="8">
                  <c:v>2.1920326930879596E-2</c:v>
                </c:pt>
                <c:pt idx="9">
                  <c:v>2.6846077323625078E-2</c:v>
                </c:pt>
                <c:pt idx="10">
                  <c:v>3.1872028020016763E-2</c:v>
                </c:pt>
                <c:pt idx="11">
                  <c:v>3.6760034667207543E-2</c:v>
                </c:pt>
                <c:pt idx="12">
                  <c:v>4.1270575200053533E-2</c:v>
                </c:pt>
                <c:pt idx="13">
                  <c:v>4.5184749766500935E-2</c:v>
                </c:pt>
                <c:pt idx="14">
                  <c:v>4.8322918298441486E-2</c:v>
                </c:pt>
                <c:pt idx="15">
                  <c:v>5.0557884556664066E-2</c:v>
                </c:pt>
                <c:pt idx="16">
                  <c:v>5.1821602984653242E-2</c:v>
                </c:pt>
                <c:pt idx="17">
                  <c:v>5.2105437757792451E-2</c:v>
                </c:pt>
                <c:pt idx="18">
                  <c:v>5.145485966452587E-2</c:v>
                </c:pt>
                <c:pt idx="19">
                  <c:v>4.9960023695216613E-2</c:v>
                </c:pt>
                <c:pt idx="20">
                  <c:v>4.7743905932715658E-2</c:v>
                </c:pt>
                <c:pt idx="21">
                  <c:v>4.4949632226766484E-2</c:v>
                </c:pt>
                <c:pt idx="22">
                  <c:v>4.1728379952973536E-2</c:v>
                </c:pt>
                <c:pt idx="23">
                  <c:v>3.8228866979250119E-2</c:v>
                </c:pt>
                <c:pt idx="24">
                  <c:v>3.4589040900110071E-2</c:v>
                </c:pt>
                <c:pt idx="25">
                  <c:v>3.0930210076155904E-2</c:v>
                </c:pt>
                <c:pt idx="26">
                  <c:v>2.7353556284758163E-2</c:v>
                </c:pt>
                <c:pt idx="27">
                  <c:v>2.3938754986936515E-2</c:v>
                </c:pt>
                <c:pt idx="28">
                  <c:v>2.0744303794480674E-2</c:v>
                </c:pt>
                <c:pt idx="29">
                  <c:v>1.7809111220481153E-2</c:v>
                </c:pt>
                <c:pt idx="30">
                  <c:v>1.5154908482807431E-2</c:v>
                </c:pt>
                <c:pt idx="31">
                  <c:v>1.2789097596532403E-2</c:v>
                </c:pt>
                <c:pt idx="32">
                  <c:v>1.0707721355192656E-2</c:v>
                </c:pt>
                <c:pt idx="33">
                  <c:v>8.8983205234822761E-3</c:v>
                </c:pt>
                <c:pt idx="34">
                  <c:v>7.3425201352566409E-3</c:v>
                </c:pt>
                <c:pt idx="35">
                  <c:v>6.0182536099827972E-3</c:v>
                </c:pt>
                <c:pt idx="36">
                  <c:v>4.9015871816650387E-3</c:v>
                </c:pt>
                <c:pt idx="37">
                  <c:v>3.9681471020378339E-3</c:v>
                </c:pt>
                <c:pt idx="38">
                  <c:v>3.1941791527972815E-3</c:v>
                </c:pt>
                <c:pt idx="39">
                  <c:v>2.5572860734488509E-3</c:v>
                </c:pt>
                <c:pt idx="40">
                  <c:v>2.0368958883118845E-3</c:v>
                </c:pt>
                <c:pt idx="41">
                  <c:v>1.6145151208676065E-3</c:v>
                </c:pt>
                <c:pt idx="42">
                  <c:v>1.2738176079891547E-3</c:v>
                </c:pt>
                <c:pt idx="43">
                  <c:v>1.0006138058690421E-3</c:v>
                </c:pt>
                <c:pt idx="44">
                  <c:v>7.8273845328408697E-4</c:v>
                </c:pt>
              </c:numCache>
            </c:numRef>
          </c:yVal>
          <c:smooth val="0"/>
        </c:ser>
        <c:ser>
          <c:idx val="1"/>
          <c:order val="1"/>
          <c:tx>
            <c:strRef>
              <c:f>Probability_Scale_Data_HIDE!$AD$19</c:f>
              <c:strCache>
                <c:ptCount val="1"/>
                <c:pt idx="0">
                  <c:v>Pmean: 48.99 %</c:v>
                </c:pt>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Probability_Scale_Data_HIDE!$AD$21:$AD$22</c:f>
              <c:numCache>
                <c:formatCode>0.000;\-0.000;"--"</c:formatCode>
                <c:ptCount val="2"/>
                <c:pt idx="0">
                  <c:v>48.99</c:v>
                </c:pt>
                <c:pt idx="1">
                  <c:v>48.99</c:v>
                </c:pt>
              </c:numCache>
            </c:numRef>
          </c:xVal>
          <c:yVal>
            <c:numRef>
              <c:f>Probability_Scale_Data_HIDE!$AD$24:$AD$25</c:f>
              <c:numCache>
                <c:formatCode>#,##0.0000000;\-0.0000000;"--"</c:formatCode>
                <c:ptCount val="2"/>
                <c:pt idx="0" formatCode="#,##0.00;\-0.00;&quot;--&quot;">
                  <c:v>0</c:v>
                </c:pt>
                <c:pt idx="1">
                  <c:v>6.2105437757792453E-2</c:v>
                </c:pt>
              </c:numCache>
            </c:numRef>
          </c:yVal>
          <c:smooth val="0"/>
        </c:ser>
        <c:dLbls>
          <c:showLegendKey val="0"/>
          <c:showVal val="0"/>
          <c:showCatName val="0"/>
          <c:showSerName val="0"/>
          <c:showPercent val="0"/>
          <c:showBubbleSize val="0"/>
        </c:dLbls>
        <c:axId val="1284773760"/>
        <c:axId val="1284774320"/>
      </c:scatterChart>
      <c:valAx>
        <c:axId val="1284773760"/>
        <c:scaling>
          <c:orientation val="minMax"/>
        </c:scaling>
        <c:delete val="0"/>
        <c:axPos val="b"/>
        <c:title>
          <c:tx>
            <c:rich>
              <a:bodyPr/>
              <a:lstStyle/>
              <a:p>
                <a:pPr>
                  <a:defRPr/>
                </a:pPr>
                <a:r>
                  <a:rPr lang="es-BO"/>
                  <a:t>Gas</a:t>
                </a:r>
                <a:r>
                  <a:rPr lang="es-BO" baseline="0"/>
                  <a:t> Saturation</a:t>
                </a:r>
                <a:r>
                  <a:rPr lang="es-BO"/>
                  <a:t>,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84774320"/>
        <c:crosses val="autoZero"/>
        <c:crossBetween val="midCat"/>
      </c:valAx>
      <c:valAx>
        <c:axId val="1284774320"/>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847737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Probability_Scale_Data_HIDE!$V$30</c:f>
              <c:strCache>
                <c:ptCount val="1"/>
                <c:pt idx="0">
                  <c:v>Net to Gross</c:v>
                </c:pt>
              </c:strCache>
            </c:strRef>
          </c:tx>
          <c:spPr>
            <a:ln w="9525" cap="rnd">
              <a:solidFill>
                <a:srgbClr val="FF0000"/>
              </a:solidFill>
              <a:round/>
            </a:ln>
            <a:effectLst/>
          </c:spPr>
          <c:marker>
            <c:symbol val="circle"/>
            <c:size val="5"/>
            <c:spPr>
              <a:solidFill>
                <a:srgbClr val="FF0000"/>
              </a:solidFill>
              <a:ln w="9525">
                <a:solidFill>
                  <a:schemeClr val="tx1"/>
                </a:solidFill>
              </a:ln>
              <a:effectLst/>
            </c:spPr>
          </c:marker>
          <c:xVal>
            <c:numRef>
              <c:f>Probability_Scale_Data_HIDE!$AC$32:$AC$76</c:f>
              <c:numCache>
                <c:formatCode>#,##0.00;\-0.00;"--"</c:formatCode>
                <c:ptCount val="45"/>
                <c:pt idx="0">
                  <c:v>30.627397667737249</c:v>
                </c:pt>
                <c:pt idx="1">
                  <c:v>31.648715519346219</c:v>
                </c:pt>
                <c:pt idx="2">
                  <c:v>32.670033370955188</c:v>
                </c:pt>
                <c:pt idx="3">
                  <c:v>33.691351222564158</c:v>
                </c:pt>
                <c:pt idx="4">
                  <c:v>34.712669074173128</c:v>
                </c:pt>
                <c:pt idx="5">
                  <c:v>35.733986925782098</c:v>
                </c:pt>
                <c:pt idx="6">
                  <c:v>36.755304777391068</c:v>
                </c:pt>
                <c:pt idx="7">
                  <c:v>37.776622629000038</c:v>
                </c:pt>
                <c:pt idx="8">
                  <c:v>38.797940480609007</c:v>
                </c:pt>
                <c:pt idx="9">
                  <c:v>39.819258332217977</c:v>
                </c:pt>
                <c:pt idx="10">
                  <c:v>40.840576183826947</c:v>
                </c:pt>
                <c:pt idx="11">
                  <c:v>41.861894035435917</c:v>
                </c:pt>
                <c:pt idx="12">
                  <c:v>42.883211887044887</c:v>
                </c:pt>
                <c:pt idx="13">
                  <c:v>43.904529738653856</c:v>
                </c:pt>
                <c:pt idx="14">
                  <c:v>44.925847590262826</c:v>
                </c:pt>
                <c:pt idx="15">
                  <c:v>45.947165441871796</c:v>
                </c:pt>
                <c:pt idx="16">
                  <c:v>46.968483293480766</c:v>
                </c:pt>
                <c:pt idx="17">
                  <c:v>47.989801145089736</c:v>
                </c:pt>
                <c:pt idx="18">
                  <c:v>49.011118996698706</c:v>
                </c:pt>
                <c:pt idx="19">
                  <c:v>50.032436848307675</c:v>
                </c:pt>
                <c:pt idx="20">
                  <c:v>51.053754699916645</c:v>
                </c:pt>
                <c:pt idx="21">
                  <c:v>52.075072551525615</c:v>
                </c:pt>
                <c:pt idx="22">
                  <c:v>53.096390403134585</c:v>
                </c:pt>
                <c:pt idx="23">
                  <c:v>54.117708254743555</c:v>
                </c:pt>
                <c:pt idx="24">
                  <c:v>55.139026106352524</c:v>
                </c:pt>
                <c:pt idx="25">
                  <c:v>56.160343957961494</c:v>
                </c:pt>
                <c:pt idx="26">
                  <c:v>57.181661809570464</c:v>
                </c:pt>
                <c:pt idx="27">
                  <c:v>58.202979661179434</c:v>
                </c:pt>
                <c:pt idx="28">
                  <c:v>59.224297512788404</c:v>
                </c:pt>
                <c:pt idx="29">
                  <c:v>60.245615364397374</c:v>
                </c:pt>
                <c:pt idx="30">
                  <c:v>61.266933216006343</c:v>
                </c:pt>
                <c:pt idx="31">
                  <c:v>62.288251067615313</c:v>
                </c:pt>
                <c:pt idx="32">
                  <c:v>63.309568919224283</c:v>
                </c:pt>
                <c:pt idx="33">
                  <c:v>64.330886770833246</c:v>
                </c:pt>
                <c:pt idx="34">
                  <c:v>65.352204622442216</c:v>
                </c:pt>
                <c:pt idx="35">
                  <c:v>66.373522474051185</c:v>
                </c:pt>
                <c:pt idx="36">
                  <c:v>67.394840325660155</c:v>
                </c:pt>
                <c:pt idx="37">
                  <c:v>68.416158177269125</c:v>
                </c:pt>
                <c:pt idx="38">
                  <c:v>69.437476028878095</c:v>
                </c:pt>
                <c:pt idx="39">
                  <c:v>70.458793880487065</c:v>
                </c:pt>
                <c:pt idx="40">
                  <c:v>71.480111732096034</c:v>
                </c:pt>
                <c:pt idx="41">
                  <c:v>72.501429583705004</c:v>
                </c:pt>
                <c:pt idx="42">
                  <c:v>73.522747435313974</c:v>
                </c:pt>
                <c:pt idx="43">
                  <c:v>74.544065286922944</c:v>
                </c:pt>
                <c:pt idx="44">
                  <c:v>75.565383138531914</c:v>
                </c:pt>
              </c:numCache>
            </c:numRef>
          </c:xVal>
          <c:yVal>
            <c:numRef>
              <c:f>Probability_Scale_Data_HIDE!$AE$32:$AE$76</c:f>
              <c:numCache>
                <c:formatCode>#,##0.0000000;\-0.0000000;"--"</c:formatCode>
                <c:ptCount val="45"/>
                <c:pt idx="0">
                  <c:v>0.99850743348119286</c:v>
                </c:pt>
                <c:pt idx="1">
                  <c:v>0.99712675474233181</c:v>
                </c:pt>
                <c:pt idx="2">
                  <c:v>0.99478345946667024</c:v>
                </c:pt>
                <c:pt idx="3">
                  <c:v>0.9910224838791255</c:v>
                </c:pt>
                <c:pt idx="4">
                  <c:v>0.98528822966072438</c:v>
                </c:pt>
                <c:pt idx="5">
                  <c:v>0.97694911096220227</c:v>
                </c:pt>
                <c:pt idx="6">
                  <c:v>0.96533946686614225</c:v>
                </c:pt>
                <c:pt idx="7">
                  <c:v>0.94981530833408478</c:v>
                </c:pt>
                <c:pt idx="8">
                  <c:v>0.92981729595142637</c:v>
                </c:pt>
                <c:pt idx="9">
                  <c:v>0.90493248411838978</c:v>
                </c:pt>
                <c:pt idx="10">
                  <c:v>0.87494615371022466</c:v>
                </c:pt>
                <c:pt idx="11">
                  <c:v>0.83987648835215822</c:v>
                </c:pt>
                <c:pt idx="12">
                  <c:v>0.79998753748787288</c:v>
                </c:pt>
                <c:pt idx="13">
                  <c:v>0.75577921747526822</c:v>
                </c:pt>
                <c:pt idx="14">
                  <c:v>0.70795634141903185</c:v>
                </c:pt>
                <c:pt idx="15">
                  <c:v>0.65738126494265758</c:v>
                </c:pt>
                <c:pt idx="16">
                  <c:v>0.6050163340707384</c:v>
                </c:pt>
                <c:pt idx="17">
                  <c:v>0.55186281899068668</c:v>
                </c:pt>
                <c:pt idx="18">
                  <c:v>0.4989025277819874</c:v>
                </c:pt>
                <c:pt idx="19">
                  <c:v>0.44704707757205286</c:v>
                </c:pt>
                <c:pt idx="20">
                  <c:v>0.39709818011144682</c:v>
                </c:pt>
                <c:pt idx="21">
                  <c:v>0.34972058683706542</c:v>
                </c:pt>
                <c:pt idx="22">
                  <c:v>0.30542778579512309</c:v>
                </c:pt>
                <c:pt idx="23">
                  <c:v>0.26457931339840934</c:v>
                </c:pt>
                <c:pt idx="24">
                  <c:v>0.22738771321953455</c:v>
                </c:pt>
                <c:pt idx="25">
                  <c:v>0.19393274220869383</c:v>
                </c:pt>
                <c:pt idx="26">
                  <c:v>0.16418033914959729</c:v>
                </c:pt>
                <c:pt idx="27">
                  <c:v>0.13800404855908488</c:v>
                </c:pt>
                <c:pt idx="28">
                  <c:v>0.115206944293202</c:v>
                </c:pt>
                <c:pt idx="29">
                  <c:v>9.5542535670250617E-2</c:v>
                </c:pt>
                <c:pt idx="30">
                  <c:v>7.8733595137787882E-2</c:v>
                </c:pt>
                <c:pt idx="31">
                  <c:v>6.4488269873194448E-2</c:v>
                </c:pt>
                <c:pt idx="32">
                  <c:v>5.2513198947441553E-2</c:v>
                </c:pt>
                <c:pt idx="33">
                  <c:v>4.2523638188163404E-2</c:v>
                </c:pt>
                <c:pt idx="34">
                  <c:v>3.4250794849977617E-2</c:v>
                </c:pt>
                <c:pt idx="35">
                  <c:v>2.7446700539188962E-2</c:v>
                </c:pt>
                <c:pt idx="36">
                  <c:v>2.1887015433934787E-2</c:v>
                </c:pt>
                <c:pt idx="37">
                  <c:v>1.7372173579524364E-2</c:v>
                </c:pt>
                <c:pt idx="38">
                  <c:v>1.3727261672224378E-2</c:v>
                </c:pt>
                <c:pt idx="39">
                  <c:v>1.0800984532157387E-2</c:v>
                </c:pt>
                <c:pt idx="40">
                  <c:v>8.464019480983076E-3</c:v>
                </c:pt>
                <c:pt idx="41">
                  <c:v>6.6070067655626952E-3</c:v>
                </c:pt>
                <c:pt idx="42">
                  <c:v>5.1383694180970885E-3</c:v>
                </c:pt>
                <c:pt idx="43">
                  <c:v>3.9821069685740396E-3</c:v>
                </c:pt>
                <c:pt idx="44">
                  <c:v>3.0756651084472564E-3</c:v>
                </c:pt>
              </c:numCache>
            </c:numRef>
          </c:yVal>
          <c:smooth val="0"/>
        </c:ser>
        <c:ser>
          <c:idx val="1"/>
          <c:order val="1"/>
          <c:tx>
            <c:strRef>
              <c:f>Probability_Scale_Data_HIDE!$AD$19</c:f>
              <c:strCache>
                <c:ptCount val="1"/>
                <c:pt idx="0">
                  <c:v>Pmean: 48.99 %</c:v>
                </c:pt>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Probability_Scale_Data_HIDE!$AD$21:$AD$22</c:f>
              <c:numCache>
                <c:formatCode>0.000;\-0.000;"--"</c:formatCode>
                <c:ptCount val="2"/>
                <c:pt idx="0">
                  <c:v>48.99</c:v>
                </c:pt>
                <c:pt idx="1">
                  <c:v>48.99</c:v>
                </c:pt>
              </c:numCache>
            </c:numRef>
          </c:xVal>
          <c:yVal>
            <c:numRef>
              <c:f>Probability_Scale_Data_HIDE!$AD$26:$AD$27</c:f>
              <c:numCache>
                <c:formatCode>#,##0.0000000;\-0.0000000;"--"</c:formatCode>
                <c:ptCount val="2"/>
                <c:pt idx="0" formatCode="#,##0.00;\-0.00;&quot;--&quot;">
                  <c:v>0</c:v>
                </c:pt>
                <c:pt idx="1">
                  <c:v>0.99850743348119286</c:v>
                </c:pt>
              </c:numCache>
            </c:numRef>
          </c:yVal>
          <c:smooth val="0"/>
        </c:ser>
        <c:dLbls>
          <c:showLegendKey val="0"/>
          <c:showVal val="0"/>
          <c:showCatName val="0"/>
          <c:showSerName val="0"/>
          <c:showPercent val="0"/>
          <c:showBubbleSize val="0"/>
        </c:dLbls>
        <c:axId val="1251249152"/>
        <c:axId val="1251249712"/>
      </c:scatterChart>
      <c:valAx>
        <c:axId val="1251249152"/>
        <c:scaling>
          <c:orientation val="minMax"/>
        </c:scaling>
        <c:delete val="0"/>
        <c:axPos val="b"/>
        <c:title>
          <c:tx>
            <c:rich>
              <a:bodyPr/>
              <a:lstStyle/>
              <a:p>
                <a:pPr>
                  <a:defRPr/>
                </a:pPr>
                <a:r>
                  <a:rPr lang="es-BO"/>
                  <a:t>Gas Saturation,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249712"/>
        <c:crosses val="autoZero"/>
        <c:crossBetween val="midCat"/>
      </c:valAx>
      <c:valAx>
        <c:axId val="1251249712"/>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2491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Probability_Scale_Data_HIDE!$V$30</c:f>
              <c:strCache>
                <c:ptCount val="1"/>
                <c:pt idx="0">
                  <c:v>Net to Gross</c:v>
                </c:pt>
              </c:strCache>
            </c:strRef>
          </c:tx>
          <c:spPr>
            <a:ln w="9525" cap="rnd">
              <a:solidFill>
                <a:srgbClr val="C00000"/>
              </a:solidFill>
              <a:round/>
            </a:ln>
            <a:effectLst/>
          </c:spPr>
          <c:marker>
            <c:symbol val="circle"/>
            <c:size val="5"/>
            <c:spPr>
              <a:solidFill>
                <a:schemeClr val="accent1">
                  <a:lumMod val="40000"/>
                  <a:lumOff val="60000"/>
                </a:schemeClr>
              </a:solidFill>
              <a:ln w="9525">
                <a:solidFill>
                  <a:srgbClr val="0000FF"/>
                </a:solidFill>
              </a:ln>
              <a:effectLst/>
            </c:spPr>
          </c:marker>
          <c:xVal>
            <c:numRef>
              <c:f>Probability_Scale_Data_HIDE!$AG$32:$AG$76</c:f>
              <c:numCache>
                <c:formatCode>#,##0.0000;\-0.0000;"--"</c:formatCode>
                <c:ptCount val="45"/>
                <c:pt idx="0">
                  <c:v>29.51576526198722</c:v>
                </c:pt>
                <c:pt idx="1">
                  <c:v>30.537083113596189</c:v>
                </c:pt>
                <c:pt idx="2">
                  <c:v>31.558400965205159</c:v>
                </c:pt>
                <c:pt idx="3">
                  <c:v>32.579718816814129</c:v>
                </c:pt>
                <c:pt idx="4">
                  <c:v>33.601036668423099</c:v>
                </c:pt>
                <c:pt idx="5">
                  <c:v>34.622354520032069</c:v>
                </c:pt>
                <c:pt idx="6">
                  <c:v>35.643672371641038</c:v>
                </c:pt>
                <c:pt idx="7">
                  <c:v>36.664990223250008</c:v>
                </c:pt>
                <c:pt idx="8">
                  <c:v>37.686308074858978</c:v>
                </c:pt>
                <c:pt idx="9">
                  <c:v>38.707625926467948</c:v>
                </c:pt>
                <c:pt idx="10">
                  <c:v>39.728943778076918</c:v>
                </c:pt>
                <c:pt idx="11">
                  <c:v>40.750261629685887</c:v>
                </c:pt>
                <c:pt idx="12">
                  <c:v>41.771579481294857</c:v>
                </c:pt>
                <c:pt idx="13">
                  <c:v>42.792897332903827</c:v>
                </c:pt>
                <c:pt idx="14">
                  <c:v>43.814215184512797</c:v>
                </c:pt>
                <c:pt idx="15">
                  <c:v>44.835533036121767</c:v>
                </c:pt>
                <c:pt idx="16">
                  <c:v>45.856850887730737</c:v>
                </c:pt>
                <c:pt idx="17">
                  <c:v>46.878168739339706</c:v>
                </c:pt>
                <c:pt idx="18">
                  <c:v>47.899486590948676</c:v>
                </c:pt>
                <c:pt idx="19">
                  <c:v>48.920804442557646</c:v>
                </c:pt>
                <c:pt idx="20">
                  <c:v>49.942122294166616</c:v>
                </c:pt>
                <c:pt idx="21">
                  <c:v>50.963440145775586</c:v>
                </c:pt>
                <c:pt idx="22">
                  <c:v>51.984757997384555</c:v>
                </c:pt>
                <c:pt idx="23">
                  <c:v>53.006075848993525</c:v>
                </c:pt>
                <c:pt idx="24">
                  <c:v>54.027393700602495</c:v>
                </c:pt>
                <c:pt idx="25">
                  <c:v>55.048711552211465</c:v>
                </c:pt>
                <c:pt idx="26">
                  <c:v>56.070029403820435</c:v>
                </c:pt>
                <c:pt idx="27">
                  <c:v>57.091347255429405</c:v>
                </c:pt>
                <c:pt idx="28">
                  <c:v>58.112665107038374</c:v>
                </c:pt>
                <c:pt idx="29">
                  <c:v>59.133982958647344</c:v>
                </c:pt>
                <c:pt idx="30">
                  <c:v>60.155300810256314</c:v>
                </c:pt>
                <c:pt idx="31">
                  <c:v>61.176618661865284</c:v>
                </c:pt>
                <c:pt idx="32">
                  <c:v>62.197936513474254</c:v>
                </c:pt>
                <c:pt idx="33">
                  <c:v>63.219254365083223</c:v>
                </c:pt>
                <c:pt idx="34">
                  <c:v>64.240572216692186</c:v>
                </c:pt>
                <c:pt idx="35">
                  <c:v>65.261890068301156</c:v>
                </c:pt>
                <c:pt idx="36">
                  <c:v>66.283207919910126</c:v>
                </c:pt>
                <c:pt idx="37">
                  <c:v>67.304525771519096</c:v>
                </c:pt>
                <c:pt idx="38">
                  <c:v>68.325843623128065</c:v>
                </c:pt>
                <c:pt idx="39">
                  <c:v>69.347161474737035</c:v>
                </c:pt>
                <c:pt idx="40">
                  <c:v>70.368479326346005</c:v>
                </c:pt>
                <c:pt idx="41">
                  <c:v>71.389797177954975</c:v>
                </c:pt>
                <c:pt idx="42">
                  <c:v>72.411115029563945</c:v>
                </c:pt>
                <c:pt idx="43">
                  <c:v>73.432432881172915</c:v>
                </c:pt>
                <c:pt idx="44">
                  <c:v>74.453750732781884</c:v>
                </c:pt>
              </c:numCache>
            </c:numRef>
          </c:xVal>
          <c:yVal>
            <c:numRef>
              <c:f>Probability_Scale_Data_HIDE!$AH$32:$AH$76</c:f>
              <c:numCache>
                <c:formatCode>#,##0.0000000;\-0.0000000;"--"</c:formatCode>
                <c:ptCount val="45"/>
                <c:pt idx="0">
                  <c:v>5.0576940196752783E-4</c:v>
                </c:pt>
                <c:pt idx="1">
                  <c:v>9.51174869076341E-4</c:v>
                </c:pt>
                <c:pt idx="2">
                  <c:v>1.6766457867260728E-3</c:v>
                </c:pt>
                <c:pt idx="3">
                  <c:v>2.7853914353291281E-3</c:v>
                </c:pt>
                <c:pt idx="4">
                  <c:v>4.3825620351989909E-3</c:v>
                </c:pt>
                <c:pt idx="5">
                  <c:v>6.5595803164388332E-3</c:v>
                </c:pt>
                <c:pt idx="6">
                  <c:v>9.3765797092863652E-3</c:v>
                </c:pt>
                <c:pt idx="7">
                  <c:v>1.2846268212637223E-2</c:v>
                </c:pt>
                <c:pt idx="8">
                  <c:v>1.6922621504090584E-2</c:v>
                </c:pt>
                <c:pt idx="9">
                  <c:v>2.1497029575760444E-2</c:v>
                </c:pt>
                <c:pt idx="10">
                  <c:v>2.6403093627026419E-2</c:v>
                </c:pt>
                <c:pt idx="11">
                  <c:v>3.1429586980665593E-2</c:v>
                </c:pt>
                <c:pt idx="12">
                  <c:v>3.6339585246439765E-2</c:v>
                </c:pt>
                <c:pt idx="13">
                  <c:v>4.0892772823164156E-2</c:v>
                </c:pt>
                <c:pt idx="14">
                  <c:v>4.4867608343812711E-2</c:v>
                </c:pt>
                <c:pt idx="15">
                  <c:v>4.8080358506292241E-2</c:v>
                </c:pt>
                <c:pt idx="16">
                  <c:v>5.0398821778457538E-2</c:v>
                </c:pt>
                <c:pt idx="17">
                  <c:v>5.1749621290865459E-2</c:v>
                </c:pt>
                <c:pt idx="18">
                  <c:v>5.2119008976249839E-2</c:v>
                </c:pt>
                <c:pt idx="19">
                  <c:v>5.1548002019855946E-2</c:v>
                </c:pt>
                <c:pt idx="20">
                  <c:v>5.0123258352041455E-2</c:v>
                </c:pt>
                <c:pt idx="21">
                  <c:v>4.796536120833747E-2</c:v>
                </c:pt>
                <c:pt idx="22">
                  <c:v>4.5216158857254232E-2</c:v>
                </c:pt>
                <c:pt idx="23">
                  <c:v>4.2026568983473019E-2</c:v>
                </c:pt>
                <c:pt idx="24">
                  <c:v>3.8545896777722174E-2</c:v>
                </c:pt>
                <c:pt idx="25">
                  <c:v>3.4913314838288148E-2</c:v>
                </c:pt>
                <c:pt idx="26">
                  <c:v>3.125177688697648E-2</c:v>
                </c:pt>
                <c:pt idx="27">
                  <c:v>2.7664328369096575E-2</c:v>
                </c:pt>
                <c:pt idx="28">
                  <c:v>2.4232555192570102E-2</c:v>
                </c:pt>
                <c:pt idx="29">
                  <c:v>2.1016778954074285E-2</c:v>
                </c:pt>
                <c:pt idx="30">
                  <c:v>1.8057552356233519E-2</c:v>
                </c:pt>
                <c:pt idx="31">
                  <c:v>1.5378014756655345E-2</c:v>
                </c:pt>
                <c:pt idx="32">
                  <c:v>1.2986715497882368E-2</c:v>
                </c:pt>
                <c:pt idx="33">
                  <c:v>1.0880583737365779E-2</c:v>
                </c:pt>
                <c:pt idx="34">
                  <c:v>9.0478030520845121E-3</c:v>
                </c:pt>
                <c:pt idx="35">
                  <c:v>7.4704262624022758E-3</c:v>
                </c:pt>
                <c:pt idx="36">
                  <c:v>6.1266337769782294E-3</c:v>
                </c:pt>
                <c:pt idx="37">
                  <c:v>4.9925937564784017E-3</c:v>
                </c:pt>
                <c:pt idx="38">
                  <c:v>4.0439235654173619E-3</c:v>
                </c:pt>
                <c:pt idx="39">
                  <c:v>3.2567801282284126E-3</c:v>
                </c:pt>
                <c:pt idx="40">
                  <c:v>2.6086237601336444E-3</c:v>
                </c:pt>
                <c:pt idx="41">
                  <c:v>2.0787080937277932E-3</c:v>
                </c:pt>
                <c:pt idx="42">
                  <c:v>1.6483502014627248E-3</c:v>
                </c:pt>
                <c:pt idx="43">
                  <c:v>1.3010320414367667E-3</c:v>
                </c:pt>
                <c:pt idx="44">
                  <c:v>1.0223786984541231E-3</c:v>
                </c:pt>
              </c:numCache>
            </c:numRef>
          </c:yVal>
          <c:smooth val="0"/>
        </c:ser>
        <c:ser>
          <c:idx val="1"/>
          <c:order val="1"/>
          <c:tx>
            <c:strRef>
              <c:f>Probability_Scale_Data_HIDE!$AH$19</c:f>
              <c:strCache>
                <c:ptCount val="1"/>
                <c:pt idx="0">
                  <c:v>Pmean: 48.99 %</c:v>
                </c:pt>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Probability_Scale_Data_HIDE!$AH$21:$AH$22</c:f>
              <c:numCache>
                <c:formatCode>0.000;\-0.000;"--"</c:formatCode>
                <c:ptCount val="2"/>
                <c:pt idx="0">
                  <c:v>48.99</c:v>
                </c:pt>
                <c:pt idx="1">
                  <c:v>48.99</c:v>
                </c:pt>
              </c:numCache>
            </c:numRef>
          </c:xVal>
          <c:yVal>
            <c:numRef>
              <c:f>Probability_Scale_Data_HIDE!$AH$24:$AH$25</c:f>
              <c:numCache>
                <c:formatCode>#,##0.0000000;\-0.0000000;"--"</c:formatCode>
                <c:ptCount val="2"/>
                <c:pt idx="0" formatCode="#,##0.00;\-0.00;&quot;--&quot;">
                  <c:v>0</c:v>
                </c:pt>
                <c:pt idx="1">
                  <c:v>6.2119008976249841E-2</c:v>
                </c:pt>
              </c:numCache>
            </c:numRef>
          </c:yVal>
          <c:smooth val="0"/>
        </c:ser>
        <c:dLbls>
          <c:showLegendKey val="0"/>
          <c:showVal val="0"/>
          <c:showCatName val="0"/>
          <c:showSerName val="0"/>
          <c:showPercent val="0"/>
          <c:showBubbleSize val="0"/>
        </c:dLbls>
        <c:axId val="1251253072"/>
        <c:axId val="1251253632"/>
      </c:scatterChart>
      <c:valAx>
        <c:axId val="1251253072"/>
        <c:scaling>
          <c:orientation val="minMax"/>
        </c:scaling>
        <c:delete val="0"/>
        <c:axPos val="b"/>
        <c:title>
          <c:tx>
            <c:rich>
              <a:bodyPr/>
              <a:lstStyle/>
              <a:p>
                <a:pPr>
                  <a:defRPr/>
                </a:pPr>
                <a:r>
                  <a:rPr lang="es-BO" baseline="0"/>
                  <a:t>Water Saturation</a:t>
                </a:r>
                <a:r>
                  <a:rPr lang="es-BO"/>
                  <a:t>,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253632"/>
        <c:crosses val="autoZero"/>
        <c:crossBetween val="midCat"/>
      </c:valAx>
      <c:valAx>
        <c:axId val="1251253632"/>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253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Probability_Scale_Data_HIDE!$V$30</c:f>
              <c:strCache>
                <c:ptCount val="1"/>
                <c:pt idx="0">
                  <c:v>Net to Gross</c:v>
                </c:pt>
              </c:strCache>
            </c:strRef>
          </c:tx>
          <c:spPr>
            <a:ln w="9525" cap="rnd">
              <a:solidFill>
                <a:srgbClr val="C00000"/>
              </a:solidFill>
              <a:round/>
            </a:ln>
            <a:effectLst/>
          </c:spPr>
          <c:marker>
            <c:symbol val="circle"/>
            <c:size val="5"/>
            <c:spPr>
              <a:solidFill>
                <a:schemeClr val="accent1">
                  <a:lumMod val="20000"/>
                  <a:lumOff val="80000"/>
                </a:schemeClr>
              </a:solidFill>
              <a:ln w="9525">
                <a:solidFill>
                  <a:srgbClr val="0000FF"/>
                </a:solidFill>
              </a:ln>
              <a:effectLst/>
            </c:spPr>
          </c:marker>
          <c:xVal>
            <c:numRef>
              <c:f>Probability_Scale_Data_HIDE!$AG$32:$AG$76</c:f>
              <c:numCache>
                <c:formatCode>#,##0.0000;\-0.0000;"--"</c:formatCode>
                <c:ptCount val="45"/>
                <c:pt idx="0">
                  <c:v>29.51576526198722</c:v>
                </c:pt>
                <c:pt idx="1">
                  <c:v>30.537083113596189</c:v>
                </c:pt>
                <c:pt idx="2">
                  <c:v>31.558400965205159</c:v>
                </c:pt>
                <c:pt idx="3">
                  <c:v>32.579718816814129</c:v>
                </c:pt>
                <c:pt idx="4">
                  <c:v>33.601036668423099</c:v>
                </c:pt>
                <c:pt idx="5">
                  <c:v>34.622354520032069</c:v>
                </c:pt>
                <c:pt idx="6">
                  <c:v>35.643672371641038</c:v>
                </c:pt>
                <c:pt idx="7">
                  <c:v>36.664990223250008</c:v>
                </c:pt>
                <c:pt idx="8">
                  <c:v>37.686308074858978</c:v>
                </c:pt>
                <c:pt idx="9">
                  <c:v>38.707625926467948</c:v>
                </c:pt>
                <c:pt idx="10">
                  <c:v>39.728943778076918</c:v>
                </c:pt>
                <c:pt idx="11">
                  <c:v>40.750261629685887</c:v>
                </c:pt>
                <c:pt idx="12">
                  <c:v>41.771579481294857</c:v>
                </c:pt>
                <c:pt idx="13">
                  <c:v>42.792897332903827</c:v>
                </c:pt>
                <c:pt idx="14">
                  <c:v>43.814215184512797</c:v>
                </c:pt>
                <c:pt idx="15">
                  <c:v>44.835533036121767</c:v>
                </c:pt>
                <c:pt idx="16">
                  <c:v>45.856850887730737</c:v>
                </c:pt>
                <c:pt idx="17">
                  <c:v>46.878168739339706</c:v>
                </c:pt>
                <c:pt idx="18">
                  <c:v>47.899486590948676</c:v>
                </c:pt>
                <c:pt idx="19">
                  <c:v>48.920804442557646</c:v>
                </c:pt>
                <c:pt idx="20">
                  <c:v>49.942122294166616</c:v>
                </c:pt>
                <c:pt idx="21">
                  <c:v>50.963440145775586</c:v>
                </c:pt>
                <c:pt idx="22">
                  <c:v>51.984757997384555</c:v>
                </c:pt>
                <c:pt idx="23">
                  <c:v>53.006075848993525</c:v>
                </c:pt>
                <c:pt idx="24">
                  <c:v>54.027393700602495</c:v>
                </c:pt>
                <c:pt idx="25">
                  <c:v>55.048711552211465</c:v>
                </c:pt>
                <c:pt idx="26">
                  <c:v>56.070029403820435</c:v>
                </c:pt>
                <c:pt idx="27">
                  <c:v>57.091347255429405</c:v>
                </c:pt>
                <c:pt idx="28">
                  <c:v>58.112665107038374</c:v>
                </c:pt>
                <c:pt idx="29">
                  <c:v>59.133982958647344</c:v>
                </c:pt>
                <c:pt idx="30">
                  <c:v>60.155300810256314</c:v>
                </c:pt>
                <c:pt idx="31">
                  <c:v>61.176618661865284</c:v>
                </c:pt>
                <c:pt idx="32">
                  <c:v>62.197936513474254</c:v>
                </c:pt>
                <c:pt idx="33">
                  <c:v>63.219254365083223</c:v>
                </c:pt>
                <c:pt idx="34">
                  <c:v>64.240572216692186</c:v>
                </c:pt>
                <c:pt idx="35">
                  <c:v>65.261890068301156</c:v>
                </c:pt>
                <c:pt idx="36">
                  <c:v>66.283207919910126</c:v>
                </c:pt>
                <c:pt idx="37">
                  <c:v>67.304525771519096</c:v>
                </c:pt>
                <c:pt idx="38">
                  <c:v>68.325843623128065</c:v>
                </c:pt>
                <c:pt idx="39">
                  <c:v>69.347161474737035</c:v>
                </c:pt>
                <c:pt idx="40">
                  <c:v>70.368479326346005</c:v>
                </c:pt>
                <c:pt idx="41">
                  <c:v>71.389797177954975</c:v>
                </c:pt>
                <c:pt idx="42">
                  <c:v>72.411115029563945</c:v>
                </c:pt>
                <c:pt idx="43">
                  <c:v>73.432432881172915</c:v>
                </c:pt>
                <c:pt idx="44">
                  <c:v>74.453750732781884</c:v>
                </c:pt>
              </c:numCache>
            </c:numRef>
          </c:xVal>
          <c:yVal>
            <c:numRef>
              <c:f>Probability_Scale_Data_HIDE!$AI$32:$AI$76</c:f>
              <c:numCache>
                <c:formatCode>#,##0.0000000;\-0.0000000;"--"</c:formatCode>
                <c:ptCount val="45"/>
                <c:pt idx="0">
                  <c:v>0.99931990732116627</c:v>
                </c:pt>
                <c:pt idx="1">
                  <c:v>0.99859564386223532</c:v>
                </c:pt>
                <c:pt idx="2">
                  <c:v>0.99728181666953564</c:v>
                </c:pt>
                <c:pt idx="3">
                  <c:v>0.99504041370592422</c:v>
                </c:pt>
                <c:pt idx="4">
                  <c:v>0.99142584461184058</c:v>
                </c:pt>
                <c:pt idx="5">
                  <c:v>0.9858906761150551</c:v>
                </c:pt>
                <c:pt idx="6">
                  <c:v>0.97780859207146376</c:v>
                </c:pt>
                <c:pt idx="7">
                  <c:v>0.9665148617402779</c:v>
                </c:pt>
                <c:pt idx="8">
                  <c:v>0.9513610911693029</c:v>
                </c:pt>
                <c:pt idx="9">
                  <c:v>0.93177788631115865</c:v>
                </c:pt>
                <c:pt idx="10">
                  <c:v>0.90733706506783784</c:v>
                </c:pt>
                <c:pt idx="11">
                  <c:v>0.87780468975352655</c:v>
                </c:pt>
                <c:pt idx="12">
                  <c:v>0.84317748984937779</c:v>
                </c:pt>
                <c:pt idx="13">
                  <c:v>0.80369784532199962</c:v>
                </c:pt>
                <c:pt idx="14">
                  <c:v>0.7598457822838649</c:v>
                </c:pt>
                <c:pt idx="15">
                  <c:v>0.71230970409060024</c:v>
                </c:pt>
                <c:pt idx="16">
                  <c:v>0.66194025225676745</c:v>
                </c:pt>
                <c:pt idx="17">
                  <c:v>0.60969338652842686</c:v>
                </c:pt>
                <c:pt idx="18">
                  <c:v>0.55656936660383038</c:v>
                </c:pt>
                <c:pt idx="19">
                  <c:v>0.50355390667810451</c:v>
                </c:pt>
                <c:pt idx="20">
                  <c:v>0.45156660897080614</c:v>
                </c:pt>
                <c:pt idx="21">
                  <c:v>0.40142018446053129</c:v>
                </c:pt>
                <c:pt idx="22">
                  <c:v>0.35379225395940628</c:v>
                </c:pt>
                <c:pt idx="23">
                  <c:v>0.30920994793072187</c:v>
                </c:pt>
                <c:pt idx="24">
                  <c:v>0.26804626119359853</c:v>
                </c:pt>
                <c:pt idx="25">
                  <c:v>0.23052625166547724</c:v>
                </c:pt>
                <c:pt idx="26">
                  <c:v>0.19674070671689547</c:v>
                </c:pt>
                <c:pt idx="27">
                  <c:v>0.16666478756108005</c:v>
                </c:pt>
                <c:pt idx="28">
                  <c:v>0.1401793208215294</c:v>
                </c:pt>
                <c:pt idx="29">
                  <c:v>0.11709274581324802</c:v>
                </c:pt>
                <c:pt idx="30">
                  <c:v>9.7162159964444217E-2</c:v>
                </c:pt>
                <c:pt idx="31">
                  <c:v>8.0112361787215924E-2</c:v>
                </c:pt>
                <c:pt idx="32">
                  <c:v>6.5652218602852086E-2</c:v>
                </c:pt>
                <c:pt idx="33">
                  <c:v>5.3488051945308812E-2</c:v>
                </c:pt>
                <c:pt idx="34">
                  <c:v>4.3334021266084544E-2</c:v>
                </c:pt>
                <c:pt idx="35">
                  <c:v>3.4919693478503655E-2</c:v>
                </c:pt>
                <c:pt idx="36">
                  <c:v>2.7995118300437993E-2</c:v>
                </c:pt>
                <c:pt idx="37">
                  <c:v>2.2333798860495468E-2</c:v>
                </c:pt>
                <c:pt idx="38">
                  <c:v>1.7733967435421327E-2</c:v>
                </c:pt>
                <c:pt idx="39">
                  <c:v>1.4018561313383637E-2</c:v>
                </c:pt>
                <c:pt idx="40">
                  <c:v>1.1034256056489E-2</c:v>
                </c:pt>
                <c:pt idx="41">
                  <c:v>8.6498631473839183E-3</c:v>
                </c:pt>
                <c:pt idx="42">
                  <c:v>6.7543440423766254E-3</c:v>
                </c:pt>
                <c:pt idx="43">
                  <c:v>5.2546386205338802E-3</c:v>
                </c:pt>
                <c:pt idx="44">
                  <c:v>4.073456525244934E-3</c:v>
                </c:pt>
              </c:numCache>
            </c:numRef>
          </c:yVal>
          <c:smooth val="0"/>
        </c:ser>
        <c:ser>
          <c:idx val="1"/>
          <c:order val="1"/>
          <c:tx>
            <c:strRef>
              <c:f>Probability_Scale_Data_HIDE!$AH$19</c:f>
              <c:strCache>
                <c:ptCount val="1"/>
                <c:pt idx="0">
                  <c:v>Pmean: 48.99 %</c:v>
                </c:pt>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Probability_Scale_Data_HIDE!$AH$21:$AH$22</c:f>
              <c:numCache>
                <c:formatCode>0.000;\-0.000;"--"</c:formatCode>
                <c:ptCount val="2"/>
                <c:pt idx="0">
                  <c:v>48.99</c:v>
                </c:pt>
                <c:pt idx="1">
                  <c:v>48.99</c:v>
                </c:pt>
              </c:numCache>
            </c:numRef>
          </c:xVal>
          <c:yVal>
            <c:numRef>
              <c:f>Probability_Scale_Data_HIDE!$AH$26:$AH$27</c:f>
              <c:numCache>
                <c:formatCode>#,##0.0000000;\-0.0000000;"--"</c:formatCode>
                <c:ptCount val="2"/>
                <c:pt idx="0" formatCode="#,##0.00;\-0.00;&quot;--&quot;">
                  <c:v>0</c:v>
                </c:pt>
                <c:pt idx="1">
                  <c:v>0.99931990732116627</c:v>
                </c:pt>
              </c:numCache>
            </c:numRef>
          </c:yVal>
          <c:smooth val="0"/>
        </c:ser>
        <c:dLbls>
          <c:showLegendKey val="0"/>
          <c:showVal val="0"/>
          <c:showCatName val="0"/>
          <c:showSerName val="0"/>
          <c:showPercent val="0"/>
          <c:showBubbleSize val="0"/>
        </c:dLbls>
        <c:axId val="1251256992"/>
        <c:axId val="1251257552"/>
      </c:scatterChart>
      <c:valAx>
        <c:axId val="1251256992"/>
        <c:scaling>
          <c:orientation val="minMax"/>
        </c:scaling>
        <c:delete val="0"/>
        <c:axPos val="b"/>
        <c:title>
          <c:tx>
            <c:rich>
              <a:bodyPr/>
              <a:lstStyle/>
              <a:p>
                <a:pPr>
                  <a:defRPr/>
                </a:pPr>
                <a:r>
                  <a:rPr lang="es-BO"/>
                  <a:t>Water Saturation,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257552"/>
        <c:crosses val="autoZero"/>
        <c:crossBetween val="midCat"/>
      </c:valAx>
      <c:valAx>
        <c:axId val="1251257552"/>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2569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1900820250760591"/>
          <c:w val="0.83725244294821244"/>
          <c:h val="0.66081022408526113"/>
        </c:manualLayout>
      </c:layout>
      <c:scatterChart>
        <c:scatterStyle val="lineMarker"/>
        <c:varyColors val="0"/>
        <c:ser>
          <c:idx val="0"/>
          <c:order val="0"/>
          <c:tx>
            <c:strRef>
              <c:f>Probability_Scale_Data_HIDE!$V$30</c:f>
              <c:strCache>
                <c:ptCount val="1"/>
                <c:pt idx="0">
                  <c:v>Net to Gross</c:v>
                </c:pt>
              </c:strCache>
            </c:strRef>
          </c:tx>
          <c:spPr>
            <a:ln w="9525" cap="rnd">
              <a:solidFill>
                <a:srgbClr val="C00000"/>
              </a:solidFill>
              <a:round/>
            </a:ln>
            <a:effectLst/>
          </c:spPr>
          <c:marker>
            <c:symbol val="circle"/>
            <c:size val="5"/>
            <c:spPr>
              <a:solidFill>
                <a:srgbClr val="FFFF00"/>
              </a:solidFill>
              <a:ln w="9525">
                <a:solidFill>
                  <a:schemeClr val="tx1"/>
                </a:solidFill>
              </a:ln>
              <a:effectLst/>
            </c:spPr>
          </c:marker>
          <c:xVal>
            <c:numRef>
              <c:f>Probability_Scale_Data_HIDE!$AJ$32:$AJ$76</c:f>
              <c:numCache>
                <c:formatCode>0.0;\-0.0;"--"</c:formatCode>
                <c:ptCount val="45"/>
                <c:pt idx="0">
                  <c:v>500</c:v>
                </c:pt>
                <c:pt idx="1">
                  <c:v>732.34090909090912</c:v>
                </c:pt>
                <c:pt idx="2">
                  <c:v>964.68181818181824</c:v>
                </c:pt>
                <c:pt idx="3">
                  <c:v>1197.0227272727273</c:v>
                </c:pt>
                <c:pt idx="4">
                  <c:v>1429.3636363636363</c:v>
                </c:pt>
                <c:pt idx="5">
                  <c:v>1661.7045454545453</c:v>
                </c:pt>
                <c:pt idx="6">
                  <c:v>1894.0454545454543</c:v>
                </c:pt>
                <c:pt idx="7">
                  <c:v>2126.3863636363635</c:v>
                </c:pt>
                <c:pt idx="8">
                  <c:v>2358.7272727272725</c:v>
                </c:pt>
                <c:pt idx="9">
                  <c:v>2591.0681818181815</c:v>
                </c:pt>
                <c:pt idx="10">
                  <c:v>2823.4090909090905</c:v>
                </c:pt>
                <c:pt idx="11">
                  <c:v>3055.7499999999995</c:v>
                </c:pt>
                <c:pt idx="12">
                  <c:v>3288.0909090909086</c:v>
                </c:pt>
                <c:pt idx="13">
                  <c:v>3520.4318181818176</c:v>
                </c:pt>
                <c:pt idx="14">
                  <c:v>3752.7727272727266</c:v>
                </c:pt>
                <c:pt idx="15">
                  <c:v>3985.1136363636356</c:v>
                </c:pt>
                <c:pt idx="16">
                  <c:v>4217.454545454545</c:v>
                </c:pt>
                <c:pt idx="17">
                  <c:v>4449.795454545454</c:v>
                </c:pt>
                <c:pt idx="18">
                  <c:v>4682.1363636363631</c:v>
                </c:pt>
                <c:pt idx="19">
                  <c:v>4914.4772727272721</c:v>
                </c:pt>
                <c:pt idx="20">
                  <c:v>5146.8181818181811</c:v>
                </c:pt>
                <c:pt idx="21">
                  <c:v>5379.1590909090901</c:v>
                </c:pt>
                <c:pt idx="22">
                  <c:v>5611.4999999999991</c:v>
                </c:pt>
                <c:pt idx="23">
                  <c:v>5843.8409090909081</c:v>
                </c:pt>
                <c:pt idx="24">
                  <c:v>6076.1818181818171</c:v>
                </c:pt>
                <c:pt idx="25">
                  <c:v>6308.5227272727261</c:v>
                </c:pt>
                <c:pt idx="26">
                  <c:v>6540.8636363636351</c:v>
                </c:pt>
                <c:pt idx="27">
                  <c:v>6773.2045454545441</c:v>
                </c:pt>
                <c:pt idx="28">
                  <c:v>7005.5454545454531</c:v>
                </c:pt>
                <c:pt idx="29">
                  <c:v>7237.8863636363621</c:v>
                </c:pt>
                <c:pt idx="30">
                  <c:v>7470.2272727272712</c:v>
                </c:pt>
                <c:pt idx="31">
                  <c:v>7702.5681818181802</c:v>
                </c:pt>
                <c:pt idx="32">
                  <c:v>7934.9090909090892</c:v>
                </c:pt>
                <c:pt idx="33">
                  <c:v>8167.2499999999982</c:v>
                </c:pt>
                <c:pt idx="34">
                  <c:v>8399.5909090909081</c:v>
                </c:pt>
                <c:pt idx="35">
                  <c:v>8631.931818181818</c:v>
                </c:pt>
                <c:pt idx="36">
                  <c:v>8864.2727272727279</c:v>
                </c:pt>
                <c:pt idx="37">
                  <c:v>9096.6136363636379</c:v>
                </c:pt>
                <c:pt idx="38">
                  <c:v>9328.9545454545478</c:v>
                </c:pt>
                <c:pt idx="39">
                  <c:v>9561.2954545454577</c:v>
                </c:pt>
                <c:pt idx="40">
                  <c:v>9793.6363636363676</c:v>
                </c:pt>
                <c:pt idx="41">
                  <c:v>10025.977272727278</c:v>
                </c:pt>
                <c:pt idx="42">
                  <c:v>10258.318181818187</c:v>
                </c:pt>
                <c:pt idx="43">
                  <c:v>10490.659090909097</c:v>
                </c:pt>
                <c:pt idx="44">
                  <c:v>10723.000000000007</c:v>
                </c:pt>
              </c:numCache>
            </c:numRef>
          </c:xVal>
          <c:yVal>
            <c:numRef>
              <c:f>Probability_Scale_Data_HIDE!$AM$32:$AM$76</c:f>
              <c:numCache>
                <c:formatCode>General</c:formatCode>
                <c:ptCount val="45"/>
                <c:pt idx="0">
                  <c:v>1</c:v>
                </c:pt>
                <c:pt idx="1">
                  <c:v>0.99842467923430445</c:v>
                </c:pt>
                <c:pt idx="2">
                  <c:v>0.99369871693721767</c:v>
                </c:pt>
                <c:pt idx="3">
                  <c:v>0.98582211310873979</c:v>
                </c:pt>
                <c:pt idx="4">
                  <c:v>0.97479486774887081</c:v>
                </c:pt>
                <c:pt idx="5">
                  <c:v>0.9606169808576106</c:v>
                </c:pt>
                <c:pt idx="6">
                  <c:v>0.94328845243495929</c:v>
                </c:pt>
                <c:pt idx="7">
                  <c:v>0.92280928248091676</c:v>
                </c:pt>
                <c:pt idx="8">
                  <c:v>0.89917947099548312</c:v>
                </c:pt>
                <c:pt idx="9">
                  <c:v>0.87239901797865838</c:v>
                </c:pt>
                <c:pt idx="10">
                  <c:v>0.84246792343044241</c:v>
                </c:pt>
                <c:pt idx="11">
                  <c:v>0.80938618735083534</c:v>
                </c:pt>
                <c:pt idx="12">
                  <c:v>0.77315380973983716</c:v>
                </c:pt>
                <c:pt idx="13">
                  <c:v>0.73377079059744776</c:v>
                </c:pt>
                <c:pt idx="14">
                  <c:v>0.69123712992366726</c:v>
                </c:pt>
                <c:pt idx="15">
                  <c:v>0.64632217272017634</c:v>
                </c:pt>
                <c:pt idx="16">
                  <c:v>0.60251674603165062</c:v>
                </c:pt>
                <c:pt idx="17">
                  <c:v>0.56024835185851185</c:v>
                </c:pt>
                <c:pt idx="18">
                  <c:v>0.51951699020076003</c:v>
                </c:pt>
                <c:pt idx="19">
                  <c:v>0.48032266105839505</c:v>
                </c:pt>
                <c:pt idx="20">
                  <c:v>0.44266536443141691</c:v>
                </c:pt>
                <c:pt idx="21">
                  <c:v>0.40654510031982549</c:v>
                </c:pt>
                <c:pt idx="22">
                  <c:v>0.37196186872362114</c:v>
                </c:pt>
                <c:pt idx="23">
                  <c:v>0.33891566964280362</c:v>
                </c:pt>
                <c:pt idx="24">
                  <c:v>0.30740650307737294</c:v>
                </c:pt>
                <c:pt idx="25">
                  <c:v>0.2774343690273291</c:v>
                </c:pt>
                <c:pt idx="26">
                  <c:v>0.24899926749267209</c:v>
                </c:pt>
                <c:pt idx="27">
                  <c:v>0.22210119847340193</c:v>
                </c:pt>
                <c:pt idx="28">
                  <c:v>0.19674016196951871</c:v>
                </c:pt>
                <c:pt idx="29">
                  <c:v>0.17291615798102233</c:v>
                </c:pt>
                <c:pt idx="30">
                  <c:v>0.15062918650791279</c:v>
                </c:pt>
                <c:pt idx="31">
                  <c:v>0.12987924755019009</c:v>
                </c:pt>
                <c:pt idx="32">
                  <c:v>0.11066634110785434</c:v>
                </c:pt>
                <c:pt idx="33">
                  <c:v>9.2990467180905423E-2</c:v>
                </c:pt>
                <c:pt idx="34">
                  <c:v>7.6851625769343235E-2</c:v>
                </c:pt>
                <c:pt idx="35">
                  <c:v>6.2249816873167996E-2</c:v>
                </c:pt>
                <c:pt idx="36">
                  <c:v>4.9185040492379595E-2</c:v>
                </c:pt>
                <c:pt idx="37">
                  <c:v>3.7657296626978143E-2</c:v>
                </c:pt>
                <c:pt idx="38">
                  <c:v>2.7666585276963418E-2</c:v>
                </c:pt>
                <c:pt idx="39">
                  <c:v>1.9212906442335642E-2</c:v>
                </c:pt>
                <c:pt idx="40">
                  <c:v>1.2296260123094815E-2</c:v>
                </c:pt>
                <c:pt idx="41">
                  <c:v>6.9166463192408267E-3</c:v>
                </c:pt>
                <c:pt idx="42">
                  <c:v>3.0740650307736761E-3</c:v>
                </c:pt>
                <c:pt idx="43">
                  <c:v>7.6851625769336351E-4</c:v>
                </c:pt>
                <c:pt idx="44">
                  <c:v>0</c:v>
                </c:pt>
              </c:numCache>
            </c:numRef>
          </c:yVal>
          <c:smooth val="0"/>
        </c:ser>
        <c:ser>
          <c:idx val="1"/>
          <c:order val="1"/>
          <c:tx>
            <c:strRef>
              <c:f>Probability_Scale_Data_HIDE!$AK$19</c:f>
              <c:strCache>
                <c:ptCount val="1"/>
                <c:pt idx="0">
                  <c:v>Likeliest: 3852</c:v>
                </c:pt>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c:ext xmlns:c15="http://schemas.microsoft.com/office/drawing/2012/chart" uri="{CE6537A1-D6FC-4f65-9D91-7224C49458BB}"/>
              </c:extLst>
            </c:dLbl>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Probability_Scale_Data_HIDE!$AK$21:$AK$22</c:f>
              <c:numCache>
                <c:formatCode>0.0;\-0.0;"--"</c:formatCode>
                <c:ptCount val="2"/>
                <c:pt idx="0">
                  <c:v>3852</c:v>
                </c:pt>
                <c:pt idx="1">
                  <c:v>3852</c:v>
                </c:pt>
              </c:numCache>
            </c:numRef>
          </c:xVal>
          <c:yVal>
            <c:numRef>
              <c:f>Probability_Scale_Data_HIDE!$AK$26:$AK$27</c:f>
              <c:numCache>
                <c:formatCode>#,##0.0000000;\-0.0000000;"--"</c:formatCode>
                <c:ptCount val="2"/>
                <c:pt idx="0" formatCode="#,##0.00;\-0.00;&quot;--&quot;">
                  <c:v>0</c:v>
                </c:pt>
                <c:pt idx="1">
                  <c:v>1</c:v>
                </c:pt>
              </c:numCache>
            </c:numRef>
          </c:yVal>
          <c:smooth val="0"/>
        </c:ser>
        <c:ser>
          <c:idx val="2"/>
          <c:order val="2"/>
          <c:tx>
            <c:strRef>
              <c:f>Probability_Scale_Data_HIDE!$AJ$10</c:f>
              <c:strCache>
                <c:ptCount val="1"/>
                <c:pt idx="0">
                  <c:v>Min.: 500</c:v>
                </c:pt>
              </c:strCache>
            </c:strRef>
          </c:tx>
          <c:spPr>
            <a:ln>
              <a:solidFill>
                <a:schemeClr val="tx1"/>
              </a:solidFill>
              <a:prstDash val="dash"/>
            </a:ln>
          </c:spPr>
          <c:marker>
            <c:symbol val="square"/>
            <c:size val="4"/>
            <c:spPr>
              <a:solidFill>
                <a:srgbClr val="0000FF"/>
              </a:solidFill>
              <a:ln>
                <a:solidFill>
                  <a:schemeClr val="tx1"/>
                </a:solidFill>
              </a:ln>
            </c:spPr>
          </c:marker>
          <c:dPt>
            <c:idx val="0"/>
            <c:marker>
              <c:symbol val="none"/>
            </c:marker>
            <c:bubble3D val="0"/>
          </c:dPt>
          <c:dPt>
            <c:idx val="1"/>
            <c:marker>
              <c:spPr>
                <a:solidFill>
                  <a:schemeClr val="accent1">
                    <a:lumMod val="40000"/>
                    <a:lumOff val="60000"/>
                  </a:schemeClr>
                </a:solidFill>
                <a:ln>
                  <a:solidFill>
                    <a:schemeClr val="tx1"/>
                  </a:solidFill>
                </a:ln>
              </c:spPr>
            </c:marker>
            <c:bubble3D val="0"/>
          </c:dPt>
          <c:dLbls>
            <c:dLbl>
              <c:idx val="1"/>
              <c:showLegendKey val="0"/>
              <c:showVal val="0"/>
              <c:showCatName val="0"/>
              <c:showSerName val="1"/>
              <c:showPercent val="0"/>
              <c:showBubbleSize val="0"/>
              <c:extLst>
                <c:ext xmlns:c15="http://schemas.microsoft.com/office/drawing/2012/chart" uri="{CE6537A1-D6FC-4f65-9D91-7224C49458BB}"/>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Probability_Scale_Data_HIDE!$AJ$14:$AJ$15</c:f>
              <c:numCache>
                <c:formatCode>0.0;\-0.0;"--"</c:formatCode>
                <c:ptCount val="2"/>
                <c:pt idx="0">
                  <c:v>500</c:v>
                </c:pt>
                <c:pt idx="1">
                  <c:v>500</c:v>
                </c:pt>
              </c:numCache>
            </c:numRef>
          </c:xVal>
          <c:yVal>
            <c:numRef>
              <c:f>Probability_Scale_Data_HIDE!$AL$14:$AL$15</c:f>
              <c:numCache>
                <c:formatCode>General</c:formatCode>
                <c:ptCount val="2"/>
                <c:pt idx="0">
                  <c:v>0</c:v>
                </c:pt>
                <c:pt idx="1">
                  <c:v>0.5</c:v>
                </c:pt>
              </c:numCache>
            </c:numRef>
          </c:yVal>
          <c:smooth val="0"/>
        </c:ser>
        <c:ser>
          <c:idx val="3"/>
          <c:order val="3"/>
          <c:tx>
            <c:strRef>
              <c:f>Probability_Scale_Data_HIDE!$AJ$11</c:f>
              <c:strCache>
                <c:ptCount val="1"/>
                <c:pt idx="0">
                  <c:v>Max.: 10723</c:v>
                </c:pt>
              </c:strCache>
            </c:strRef>
          </c:tx>
          <c:spPr>
            <a:ln>
              <a:solidFill>
                <a:schemeClr val="tx1"/>
              </a:solidFill>
              <a:prstDash val="dash"/>
            </a:ln>
          </c:spPr>
          <c:marker>
            <c:symbol val="square"/>
            <c:size val="4"/>
            <c:spPr>
              <a:solidFill>
                <a:schemeClr val="accent1">
                  <a:lumMod val="40000"/>
                  <a:lumOff val="60000"/>
                </a:schemeClr>
              </a:solidFill>
              <a:ln>
                <a:solidFill>
                  <a:schemeClr val="tx1"/>
                </a:solidFill>
              </a:ln>
            </c:spPr>
          </c:marker>
          <c:dPt>
            <c:idx val="1"/>
            <c:bubble3D val="0"/>
          </c:dPt>
          <c:dLbls>
            <c:dLbl>
              <c:idx val="0"/>
              <c:delete val="1"/>
              <c:extLst>
                <c:ext xmlns:c15="http://schemas.microsoft.com/office/drawing/2012/chart" uri="{CE6537A1-D6FC-4f65-9D91-7224C49458BB}"/>
              </c:extLst>
            </c:dLbl>
            <c:dLbl>
              <c:idx val="2"/>
              <c:delete val="1"/>
              <c:extLst>
                <c:ext xmlns:c15="http://schemas.microsoft.com/office/drawing/2012/chart" uri="{CE6537A1-D6FC-4f65-9D91-7224C49458BB}"/>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Probability_Scale_Data_HIDE!$AK$14:$AK$16</c:f>
              <c:numCache>
                <c:formatCode>0.0;\-0.0;"--"</c:formatCode>
                <c:ptCount val="3"/>
                <c:pt idx="0">
                  <c:v>10723</c:v>
                </c:pt>
                <c:pt idx="1">
                  <c:v>10723</c:v>
                </c:pt>
                <c:pt idx="2">
                  <c:v>10723</c:v>
                </c:pt>
              </c:numCache>
            </c:numRef>
          </c:xVal>
          <c:yVal>
            <c:numRef>
              <c:f>Probability_Scale_Data_HIDE!$AM$14:$AM$15</c:f>
              <c:numCache>
                <c:formatCode>General</c:formatCode>
                <c:ptCount val="2"/>
                <c:pt idx="0">
                  <c:v>0</c:v>
                </c:pt>
                <c:pt idx="1">
                  <c:v>0.5</c:v>
                </c:pt>
              </c:numCache>
            </c:numRef>
          </c:yVal>
          <c:smooth val="0"/>
        </c:ser>
        <c:dLbls>
          <c:showLegendKey val="0"/>
          <c:showVal val="0"/>
          <c:showCatName val="0"/>
          <c:showSerName val="0"/>
          <c:showPercent val="0"/>
          <c:showBubbleSize val="0"/>
        </c:dLbls>
        <c:axId val="1251262032"/>
        <c:axId val="1251262592"/>
      </c:scatterChart>
      <c:valAx>
        <c:axId val="1251262032"/>
        <c:scaling>
          <c:orientation val="minMax"/>
        </c:scaling>
        <c:delete val="0"/>
        <c:axPos val="b"/>
        <c:title>
          <c:tx>
            <c:rich>
              <a:bodyPr/>
              <a:lstStyle/>
              <a:p>
                <a:pPr>
                  <a:defRPr/>
                </a:pPr>
                <a:r>
                  <a:rPr lang="es-BO"/>
                  <a:t>Rock</a:t>
                </a:r>
                <a:r>
                  <a:rPr lang="es-BO" baseline="0"/>
                  <a:t> Volume, MM m</a:t>
                </a:r>
                <a:r>
                  <a:rPr lang="es-BO" baseline="30000"/>
                  <a:t>3</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262592"/>
        <c:crosses val="autoZero"/>
        <c:crossBetween val="midCat"/>
      </c:valAx>
      <c:valAx>
        <c:axId val="1251262592"/>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262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11811638299311"/>
          <c:y val="8.6389201349831246E-2"/>
          <c:w val="0.80553996324229959"/>
          <c:h val="0.75401183547708728"/>
        </c:manualLayout>
      </c:layout>
      <c:areaChart>
        <c:grouping val="standard"/>
        <c:varyColors val="0"/>
        <c:ser>
          <c:idx val="0"/>
          <c:order val="0"/>
          <c:spPr>
            <a:solidFill>
              <a:srgbClr val="FFFF00">
                <a:alpha val="68000"/>
              </a:srgbClr>
            </a:solidFill>
            <a:ln>
              <a:solidFill>
                <a:schemeClr val="tx1"/>
              </a:solidFill>
            </a:ln>
          </c:spPr>
          <c:cat>
            <c:numRef>
              <c:f>Probability_Scale_Data_HIDE!$D$82:$D$92</c:f>
              <c:numCache>
                <c:formatCode>#,##0.00;\-0.00;"--"</c:formatCode>
                <c:ptCount val="11"/>
                <c:pt idx="3" formatCode="0.0000">
                  <c:v>2.9107844564110026E-4</c:v>
                </c:pt>
                <c:pt idx="4" formatCode="0.0000">
                  <c:v>2.7652452335904528E-4</c:v>
                </c:pt>
                <c:pt idx="5" formatCode="0.0000">
                  <c:v>2.6197060107699025E-4</c:v>
                </c:pt>
                <c:pt idx="6" formatCode="0.0000">
                  <c:v>2.4741667879493522E-4</c:v>
                </c:pt>
                <c:pt idx="7" formatCode="0.0000">
                  <c:v>2.3286275651288022E-4</c:v>
                </c:pt>
                <c:pt idx="8" formatCode="0.0000">
                  <c:v>2.1830883423082522E-4</c:v>
                </c:pt>
                <c:pt idx="9" formatCode="0.0000">
                  <c:v>2.0375491194877019E-4</c:v>
                </c:pt>
                <c:pt idx="10" formatCode="0.0000">
                  <c:v>1.8920098966671516E-4</c:v>
                </c:pt>
              </c:numCache>
            </c:numRef>
          </c:cat>
          <c:val>
            <c:numRef>
              <c:f>Probability_Scale_Data_HIDE!$E$82:$E$92</c:f>
              <c:numCache>
                <c:formatCode>General</c:formatCode>
                <c:ptCount val="11"/>
                <c:pt idx="3">
                  <c:v>0</c:v>
                </c:pt>
                <c:pt idx="4">
                  <c:v>2.9832935560859186E-5</c:v>
                </c:pt>
                <c:pt idx="5">
                  <c:v>5.9665871121718372E-5</c:v>
                </c:pt>
                <c:pt idx="6">
                  <c:v>8.9498806682577551E-5</c:v>
                </c:pt>
                <c:pt idx="7">
                  <c:v>1.1933174224343674E-4</c:v>
                </c:pt>
                <c:pt idx="8">
                  <c:v>1.4916467780429595E-4</c:v>
                </c:pt>
                <c:pt idx="9">
                  <c:v>1.7899761336515513E-4</c:v>
                </c:pt>
                <c:pt idx="10">
                  <c:v>1.8920098966671516E-4</c:v>
                </c:pt>
              </c:numCache>
            </c:numRef>
          </c:val>
        </c:ser>
        <c:dLbls>
          <c:showLegendKey val="0"/>
          <c:showVal val="0"/>
          <c:showCatName val="0"/>
          <c:showSerName val="0"/>
          <c:showPercent val="0"/>
          <c:showBubbleSize val="0"/>
        </c:dLbls>
        <c:axId val="1251339360"/>
        <c:axId val="1251339920"/>
      </c:areaChart>
      <c:catAx>
        <c:axId val="1251339360"/>
        <c:scaling>
          <c:orientation val="minMax"/>
        </c:scaling>
        <c:delete val="0"/>
        <c:axPos val="b"/>
        <c:title>
          <c:tx>
            <c:rich>
              <a:bodyPr/>
              <a:lstStyle/>
              <a:p>
                <a:pPr>
                  <a:defRPr/>
                </a:pPr>
                <a:r>
                  <a:rPr lang="es-BO"/>
                  <a:t>Rock Volume, MM m</a:t>
                </a:r>
                <a:r>
                  <a:rPr lang="es-BO" baseline="30000"/>
                  <a:t>3</a:t>
                </a:r>
              </a:p>
            </c:rich>
          </c:tx>
          <c:layout>
            <c:manualLayout>
              <c:xMode val="edge"/>
              <c:yMode val="edge"/>
              <c:x val="0.36101618445235334"/>
              <c:y val="0.92040462333512663"/>
            </c:manualLayout>
          </c:layout>
          <c:overlay val="0"/>
        </c:title>
        <c:numFmt formatCode="General" sourceLinked="1"/>
        <c:majorTickMark val="out"/>
        <c:minorTickMark val="none"/>
        <c:tickLblPos val="nextTo"/>
        <c:spPr>
          <a:ln>
            <a:solidFill>
              <a:schemeClr val="tx1"/>
            </a:solidFill>
          </a:ln>
        </c:spPr>
        <c:txPr>
          <a:bodyPr/>
          <a:lstStyle/>
          <a:p>
            <a:pPr>
              <a:defRPr b="1"/>
            </a:pPr>
            <a:endParaRPr lang="es-BO"/>
          </a:p>
        </c:txPr>
        <c:crossAx val="1251339920"/>
        <c:crosses val="autoZero"/>
        <c:auto val="1"/>
        <c:lblAlgn val="ctr"/>
        <c:lblOffset val="100"/>
        <c:noMultiLvlLbl val="0"/>
      </c:catAx>
      <c:valAx>
        <c:axId val="1251339920"/>
        <c:scaling>
          <c:orientation val="minMax"/>
        </c:scaling>
        <c:delete val="0"/>
        <c:axPos val="l"/>
        <c:title>
          <c:tx>
            <c:rich>
              <a:bodyPr rot="0" vert="horz"/>
              <a:lstStyle/>
              <a:p>
                <a:pPr>
                  <a:defRPr b="1"/>
                </a:pPr>
                <a:r>
                  <a:rPr lang="es-BO" b="1"/>
                  <a:t>f(x)</a:t>
                </a:r>
              </a:p>
            </c:rich>
          </c:tx>
          <c:layout>
            <c:manualLayout>
              <c:xMode val="edge"/>
              <c:yMode val="edge"/>
              <c:x val="7.8064012490242002E-2"/>
              <c:y val="1.1624851241420917E-2"/>
            </c:manualLayout>
          </c:layout>
          <c:overlay val="0"/>
        </c:title>
        <c:numFmt formatCode="#,##0.0000" sourceLinked="0"/>
        <c:majorTickMark val="out"/>
        <c:minorTickMark val="none"/>
        <c:tickLblPos val="nextTo"/>
        <c:spPr>
          <a:ln>
            <a:solidFill>
              <a:schemeClr val="tx1"/>
            </a:solidFill>
          </a:ln>
        </c:spPr>
        <c:txPr>
          <a:bodyPr/>
          <a:lstStyle/>
          <a:p>
            <a:pPr>
              <a:defRPr sz="800">
                <a:solidFill>
                  <a:schemeClr val="tx1"/>
                </a:solidFill>
              </a:defRPr>
            </a:pPr>
            <a:endParaRPr lang="es-BO"/>
          </a:p>
        </c:txPr>
        <c:crossAx val="1251339360"/>
        <c:crosses val="autoZero"/>
        <c:crossBetween val="midCat"/>
      </c:valAx>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Rock Vol</c:v>
          </c:tx>
          <c:spPr>
            <a:ln w="9525" cap="rnd">
              <a:noFill/>
              <a:round/>
            </a:ln>
            <a:effectLst/>
          </c:spPr>
          <c:marker>
            <c:symbol val="circle"/>
            <c:size val="5"/>
            <c:spPr>
              <a:solidFill>
                <a:srgbClr val="FFC000"/>
              </a:solidFill>
              <a:ln w="9525">
                <a:solidFill>
                  <a:schemeClr val="tx1"/>
                </a:solidFill>
              </a:ln>
              <a:effectLst/>
            </c:spPr>
          </c:marker>
          <c:xVal>
            <c:numRef>
              <c:f>Probability_Scale_Data_HIDE!$B$85:$B$105</c:f>
              <c:numCache>
                <c:formatCode>#,##0.00;\-0.00;"--"</c:formatCode>
                <c:ptCount val="21"/>
                <c:pt idx="0">
                  <c:v>500</c:v>
                </c:pt>
                <c:pt idx="1">
                  <c:v>1011.15</c:v>
                </c:pt>
                <c:pt idx="2">
                  <c:v>1522.3</c:v>
                </c:pt>
                <c:pt idx="3">
                  <c:v>2033.4499999999998</c:v>
                </c:pt>
                <c:pt idx="4">
                  <c:v>2544.6</c:v>
                </c:pt>
                <c:pt idx="5">
                  <c:v>3055.75</c:v>
                </c:pt>
                <c:pt idx="6">
                  <c:v>3566.9</c:v>
                </c:pt>
                <c:pt idx="7">
                  <c:v>4078.05</c:v>
                </c:pt>
                <c:pt idx="8">
                  <c:v>4589.2</c:v>
                </c:pt>
                <c:pt idx="9">
                  <c:v>5100.3499999999995</c:v>
                </c:pt>
                <c:pt idx="10">
                  <c:v>5611.4999999999991</c:v>
                </c:pt>
                <c:pt idx="11">
                  <c:v>6122.6499999999987</c:v>
                </c:pt>
                <c:pt idx="12">
                  <c:v>6633.7999999999984</c:v>
                </c:pt>
                <c:pt idx="13">
                  <c:v>7144.949999999998</c:v>
                </c:pt>
                <c:pt idx="14">
                  <c:v>7656.0999999999976</c:v>
                </c:pt>
                <c:pt idx="15">
                  <c:v>8167.2499999999973</c:v>
                </c:pt>
                <c:pt idx="16">
                  <c:v>8678.3999999999978</c:v>
                </c:pt>
                <c:pt idx="17">
                  <c:v>9189.5499999999975</c:v>
                </c:pt>
                <c:pt idx="18">
                  <c:v>9700.6999999999971</c:v>
                </c:pt>
                <c:pt idx="19">
                  <c:v>10211.849999999997</c:v>
                </c:pt>
                <c:pt idx="20">
                  <c:v>10722.999999999996</c:v>
                </c:pt>
              </c:numCache>
            </c:numRef>
          </c:xVal>
          <c:yVal>
            <c:numRef>
              <c:f>Probability_Scale_Data_HIDE!$E$85:$E$105</c:f>
              <c:numCache>
                <c:formatCode>General</c:formatCode>
                <c:ptCount val="21"/>
                <c:pt idx="0">
                  <c:v>0</c:v>
                </c:pt>
                <c:pt idx="1">
                  <c:v>2.9832935560859186E-5</c:v>
                </c:pt>
                <c:pt idx="2">
                  <c:v>5.9665871121718372E-5</c:v>
                </c:pt>
                <c:pt idx="3">
                  <c:v>8.9498806682577551E-5</c:v>
                </c:pt>
                <c:pt idx="4">
                  <c:v>1.1933174224343674E-4</c:v>
                </c:pt>
                <c:pt idx="5">
                  <c:v>1.4916467780429595E-4</c:v>
                </c:pt>
                <c:pt idx="6">
                  <c:v>1.7899761336515513E-4</c:v>
                </c:pt>
                <c:pt idx="7">
                  <c:v>1.8920098966671516E-4</c:v>
                </c:pt>
                <c:pt idx="8">
                  <c:v>1.7464706738466016E-4</c:v>
                </c:pt>
                <c:pt idx="9">
                  <c:v>1.6009314510260516E-4</c:v>
                </c:pt>
                <c:pt idx="10">
                  <c:v>1.4553922282055015E-4</c:v>
                </c:pt>
                <c:pt idx="11">
                  <c:v>1.3098530053849515E-4</c:v>
                </c:pt>
                <c:pt idx="12">
                  <c:v>1.1643137825644015E-4</c:v>
                </c:pt>
                <c:pt idx="13">
                  <c:v>1.0187745597438515E-4</c:v>
                </c:pt>
                <c:pt idx="14">
                  <c:v>8.7323533692330147E-5</c:v>
                </c:pt>
                <c:pt idx="15">
                  <c:v>7.2769611410275145E-5</c:v>
                </c:pt>
                <c:pt idx="16">
                  <c:v>5.8215689128220116E-5</c:v>
                </c:pt>
                <c:pt idx="17">
                  <c:v>4.3661766846165087E-5</c:v>
                </c:pt>
                <c:pt idx="18">
                  <c:v>2.9107844564110112E-5</c:v>
                </c:pt>
                <c:pt idx="19">
                  <c:v>1.4553922282055083E-5</c:v>
                </c:pt>
                <c:pt idx="20">
                  <c:v>0</c:v>
                </c:pt>
              </c:numCache>
            </c:numRef>
          </c:yVal>
          <c:smooth val="0"/>
        </c:ser>
        <c:ser>
          <c:idx val="1"/>
          <c:order val="1"/>
          <c:spPr>
            <a:ln w="12700">
              <a:solidFill>
                <a:schemeClr val="tx1"/>
              </a:solidFill>
              <a:prstDash val="dash"/>
            </a:ln>
          </c:spPr>
          <c:marker>
            <c:symbol val="circle"/>
            <c:size val="7"/>
            <c:spPr>
              <a:solidFill>
                <a:srgbClr val="FFC000"/>
              </a:solidFill>
              <a:ln>
                <a:solidFill>
                  <a:srgbClr val="0000FF"/>
                </a:solidFill>
              </a:ln>
            </c:spPr>
          </c:marker>
          <c:dLbls>
            <c:dLbl>
              <c:idx val="0"/>
              <c:layout>
                <c:manualLayout>
                  <c:x val="-1.6345287016517898E-2"/>
                  <c:y val="-5.4944859415130623E-2"/>
                </c:manualLayout>
              </c:layout>
              <c:dLblPos val="r"/>
              <c:showLegendKey val="0"/>
              <c:showVal val="0"/>
              <c:showCatName val="1"/>
              <c:showSerName val="0"/>
              <c:showPercent val="0"/>
              <c:showBubbleSize val="0"/>
              <c:extLst>
                <c:ext xmlns:c15="http://schemas.microsoft.com/office/drawing/2012/chart" uri="{CE6537A1-D6FC-4f65-9D91-7224C49458BB}"/>
              </c:extLst>
            </c:dLbl>
            <c:dLbl>
              <c:idx val="2"/>
              <c:layout>
                <c:manualLayout>
                  <c:x val="-8.6415955456340496E-2"/>
                  <c:y val="-5.4944859415130623E-2"/>
                </c:manualLayout>
              </c:layout>
              <c:dLblPos val="r"/>
              <c:showLegendKey val="0"/>
              <c:showVal val="0"/>
              <c:showCatName val="1"/>
              <c:showSerName val="0"/>
              <c:showPercent val="0"/>
              <c:showBubbleSize val="0"/>
              <c:extLst>
                <c:ext xmlns:c15="http://schemas.microsoft.com/office/drawing/2012/chart" uri="{CE6537A1-D6FC-4f65-9D91-7224C49458BB}"/>
              </c:extLst>
            </c:dLbl>
            <c:numFmt formatCode="#,##0.0" sourceLinked="0"/>
            <c:spPr>
              <a:noFill/>
              <a:ln>
                <a:noFill/>
              </a:ln>
              <a:effectLst/>
            </c:spPr>
            <c:dLblPos val="t"/>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Probability_Scale_Data_HIDE!$B$80:$D$80</c:f>
              <c:numCache>
                <c:formatCode>General</c:formatCode>
                <c:ptCount val="3"/>
                <c:pt idx="0">
                  <c:v>10723</c:v>
                </c:pt>
                <c:pt idx="1">
                  <c:v>3852</c:v>
                </c:pt>
                <c:pt idx="2">
                  <c:v>500</c:v>
                </c:pt>
              </c:numCache>
            </c:numRef>
          </c:xVal>
          <c:yVal>
            <c:numRef>
              <c:f>Probability_Scale_Data_HIDE!$B$81:$D$81</c:f>
              <c:numCache>
                <c:formatCode>General</c:formatCode>
                <c:ptCount val="3"/>
                <c:pt idx="0">
                  <c:v>0</c:v>
                </c:pt>
                <c:pt idx="1">
                  <c:v>1.9563728846718183E-4</c:v>
                </c:pt>
                <c:pt idx="2">
                  <c:v>0</c:v>
                </c:pt>
              </c:numCache>
            </c:numRef>
          </c:yVal>
          <c:smooth val="0"/>
        </c:ser>
        <c:dLbls>
          <c:showLegendKey val="0"/>
          <c:showVal val="0"/>
          <c:showCatName val="0"/>
          <c:showSerName val="0"/>
          <c:showPercent val="0"/>
          <c:showBubbleSize val="0"/>
        </c:dLbls>
        <c:axId val="1251342720"/>
        <c:axId val="1251343280"/>
      </c:scatterChart>
      <c:valAx>
        <c:axId val="1251342720"/>
        <c:scaling>
          <c:orientation val="minMax"/>
        </c:scaling>
        <c:delete val="0"/>
        <c:axPos val="b"/>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343280"/>
        <c:crosses val="autoZero"/>
        <c:crossBetween val="midCat"/>
      </c:valAx>
      <c:valAx>
        <c:axId val="1251343280"/>
        <c:scaling>
          <c:orientation val="minMax"/>
        </c:scaling>
        <c:delete val="0"/>
        <c:axPos val="r"/>
        <c:numFmt formatCode="General"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342720"/>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rgbClr val="FF0000"/>
              </a:solidFill>
              <a:ln>
                <a:solidFill>
                  <a:srgbClr val="C00000"/>
                </a:solidFill>
              </a:ln>
            </c:spPr>
          </c:marker>
          <c:xVal>
            <c:numRef>
              <c:f>'Poro vs Sw Corr'!$N$10:$N$210</c:f>
              <c:numCache>
                <c:formatCode>#,##0.00;\-0.00;"--"</c:formatCode>
                <c:ptCount val="201"/>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pt idx="121">
                  <c:v>30.25</c:v>
                </c:pt>
                <c:pt idx="122">
                  <c:v>30.5</c:v>
                </c:pt>
                <c:pt idx="123">
                  <c:v>30.75</c:v>
                </c:pt>
                <c:pt idx="124">
                  <c:v>31</c:v>
                </c:pt>
                <c:pt idx="125">
                  <c:v>31.25</c:v>
                </c:pt>
                <c:pt idx="126">
                  <c:v>31.5</c:v>
                </c:pt>
                <c:pt idx="127">
                  <c:v>31.75</c:v>
                </c:pt>
                <c:pt idx="128">
                  <c:v>32</c:v>
                </c:pt>
                <c:pt idx="129">
                  <c:v>32.25</c:v>
                </c:pt>
                <c:pt idx="130">
                  <c:v>32.5</c:v>
                </c:pt>
                <c:pt idx="131">
                  <c:v>32.75</c:v>
                </c:pt>
                <c:pt idx="132">
                  <c:v>33</c:v>
                </c:pt>
                <c:pt idx="133">
                  <c:v>33.25</c:v>
                </c:pt>
                <c:pt idx="134">
                  <c:v>33.5</c:v>
                </c:pt>
                <c:pt idx="135">
                  <c:v>33.75</c:v>
                </c:pt>
                <c:pt idx="136">
                  <c:v>34</c:v>
                </c:pt>
                <c:pt idx="137">
                  <c:v>34.25</c:v>
                </c:pt>
                <c:pt idx="138">
                  <c:v>34.5</c:v>
                </c:pt>
                <c:pt idx="139">
                  <c:v>34.75</c:v>
                </c:pt>
                <c:pt idx="140">
                  <c:v>35</c:v>
                </c:pt>
                <c:pt idx="141">
                  <c:v>35.25</c:v>
                </c:pt>
                <c:pt idx="142">
                  <c:v>35.5</c:v>
                </c:pt>
                <c:pt idx="143">
                  <c:v>35.75</c:v>
                </c:pt>
                <c:pt idx="144">
                  <c:v>36</c:v>
                </c:pt>
                <c:pt idx="145">
                  <c:v>36.25</c:v>
                </c:pt>
                <c:pt idx="146">
                  <c:v>36.5</c:v>
                </c:pt>
                <c:pt idx="147">
                  <c:v>36.75</c:v>
                </c:pt>
                <c:pt idx="148">
                  <c:v>37</c:v>
                </c:pt>
                <c:pt idx="149">
                  <c:v>37.25</c:v>
                </c:pt>
                <c:pt idx="150">
                  <c:v>37.5</c:v>
                </c:pt>
                <c:pt idx="151">
                  <c:v>37.75</c:v>
                </c:pt>
                <c:pt idx="152">
                  <c:v>38</c:v>
                </c:pt>
                <c:pt idx="153">
                  <c:v>38.25</c:v>
                </c:pt>
                <c:pt idx="154">
                  <c:v>38.5</c:v>
                </c:pt>
                <c:pt idx="155">
                  <c:v>38.75</c:v>
                </c:pt>
                <c:pt idx="156">
                  <c:v>39</c:v>
                </c:pt>
                <c:pt idx="157">
                  <c:v>39.25</c:v>
                </c:pt>
                <c:pt idx="158">
                  <c:v>39.5</c:v>
                </c:pt>
                <c:pt idx="159">
                  <c:v>39.75</c:v>
                </c:pt>
                <c:pt idx="160">
                  <c:v>40</c:v>
                </c:pt>
                <c:pt idx="161">
                  <c:v>40.25</c:v>
                </c:pt>
                <c:pt idx="162">
                  <c:v>40.5</c:v>
                </c:pt>
                <c:pt idx="163">
                  <c:v>40.75</c:v>
                </c:pt>
                <c:pt idx="164">
                  <c:v>41</c:v>
                </c:pt>
                <c:pt idx="165">
                  <c:v>41.25</c:v>
                </c:pt>
                <c:pt idx="166">
                  <c:v>41.5</c:v>
                </c:pt>
                <c:pt idx="167">
                  <c:v>41.75</c:v>
                </c:pt>
                <c:pt idx="168">
                  <c:v>42</c:v>
                </c:pt>
                <c:pt idx="169">
                  <c:v>42.25</c:v>
                </c:pt>
                <c:pt idx="170">
                  <c:v>42.5</c:v>
                </c:pt>
                <c:pt idx="171">
                  <c:v>42.75</c:v>
                </c:pt>
                <c:pt idx="172">
                  <c:v>43</c:v>
                </c:pt>
                <c:pt idx="173">
                  <c:v>43.25</c:v>
                </c:pt>
                <c:pt idx="174">
                  <c:v>43.5</c:v>
                </c:pt>
                <c:pt idx="175">
                  <c:v>43.75</c:v>
                </c:pt>
                <c:pt idx="176">
                  <c:v>44</c:v>
                </c:pt>
                <c:pt idx="177">
                  <c:v>44.25</c:v>
                </c:pt>
                <c:pt idx="178">
                  <c:v>44.5</c:v>
                </c:pt>
                <c:pt idx="179">
                  <c:v>44.75</c:v>
                </c:pt>
                <c:pt idx="180">
                  <c:v>45</c:v>
                </c:pt>
                <c:pt idx="181">
                  <c:v>45.25</c:v>
                </c:pt>
                <c:pt idx="182">
                  <c:v>45.5</c:v>
                </c:pt>
                <c:pt idx="183">
                  <c:v>45.75</c:v>
                </c:pt>
                <c:pt idx="184">
                  <c:v>46</c:v>
                </c:pt>
                <c:pt idx="185">
                  <c:v>46.25</c:v>
                </c:pt>
                <c:pt idx="186">
                  <c:v>46.5</c:v>
                </c:pt>
                <c:pt idx="187">
                  <c:v>46.75</c:v>
                </c:pt>
                <c:pt idx="188">
                  <c:v>47</c:v>
                </c:pt>
                <c:pt idx="189">
                  <c:v>47.25</c:v>
                </c:pt>
                <c:pt idx="190">
                  <c:v>47.5</c:v>
                </c:pt>
                <c:pt idx="191">
                  <c:v>47.75</c:v>
                </c:pt>
                <c:pt idx="192">
                  <c:v>48</c:v>
                </c:pt>
                <c:pt idx="193">
                  <c:v>48.25</c:v>
                </c:pt>
                <c:pt idx="194">
                  <c:v>48.5</c:v>
                </c:pt>
                <c:pt idx="195">
                  <c:v>48.75</c:v>
                </c:pt>
                <c:pt idx="196">
                  <c:v>49</c:v>
                </c:pt>
                <c:pt idx="197">
                  <c:v>49.25</c:v>
                </c:pt>
                <c:pt idx="198">
                  <c:v>49.5</c:v>
                </c:pt>
                <c:pt idx="199">
                  <c:v>49.75</c:v>
                </c:pt>
                <c:pt idx="200">
                  <c:v>50</c:v>
                </c:pt>
              </c:numCache>
            </c:numRef>
          </c:xVal>
          <c:yVal>
            <c:numRef>
              <c:f>'Poro vs Sw Corr'!$O$10:$O$210</c:f>
              <c:numCache>
                <c:formatCode>#,##0.00;\-0.00;"--"</c:formatCode>
                <c:ptCount val="201"/>
                <c:pt idx="1">
                  <c:v>0.5</c:v>
                </c:pt>
                <c:pt idx="2">
                  <c:v>1</c:v>
                </c:pt>
                <c:pt idx="3">
                  <c:v>1.5</c:v>
                </c:pt>
                <c:pt idx="4">
                  <c:v>3.5999999999999996</c:v>
                </c:pt>
                <c:pt idx="5">
                  <c:v>0.90000000000000036</c:v>
                </c:pt>
                <c:pt idx="6">
                  <c:v>1.4000000000000004</c:v>
                </c:pt>
                <c:pt idx="7">
                  <c:v>3.5</c:v>
                </c:pt>
                <c:pt idx="8">
                  <c:v>2.4000000000000004</c:v>
                </c:pt>
                <c:pt idx="9">
                  <c:v>2.9000000000000004</c:v>
                </c:pt>
                <c:pt idx="10">
                  <c:v>5</c:v>
                </c:pt>
                <c:pt idx="11">
                  <c:v>8.6999999999999993</c:v>
                </c:pt>
                <c:pt idx="12">
                  <c:v>6</c:v>
                </c:pt>
                <c:pt idx="13">
                  <c:v>8.1</c:v>
                </c:pt>
                <c:pt idx="14">
                  <c:v>7</c:v>
                </c:pt>
                <c:pt idx="15">
                  <c:v>5.9</c:v>
                </c:pt>
                <c:pt idx="16">
                  <c:v>4.8000000000000007</c:v>
                </c:pt>
                <c:pt idx="17">
                  <c:v>10.1</c:v>
                </c:pt>
                <c:pt idx="18">
                  <c:v>7.4</c:v>
                </c:pt>
                <c:pt idx="19">
                  <c:v>9.5</c:v>
                </c:pt>
                <c:pt idx="20">
                  <c:v>8.4</c:v>
                </c:pt>
                <c:pt idx="21">
                  <c:v>4.1000000000000014</c:v>
                </c:pt>
                <c:pt idx="22">
                  <c:v>9.4</c:v>
                </c:pt>
                <c:pt idx="23">
                  <c:v>8.3000000000000007</c:v>
                </c:pt>
                <c:pt idx="24">
                  <c:v>15.2</c:v>
                </c:pt>
                <c:pt idx="25">
                  <c:v>12.5</c:v>
                </c:pt>
                <c:pt idx="26">
                  <c:v>8.2000000000000011</c:v>
                </c:pt>
                <c:pt idx="27">
                  <c:v>7.1000000000000014</c:v>
                </c:pt>
                <c:pt idx="28">
                  <c:v>2.8000000000000025</c:v>
                </c:pt>
                <c:pt idx="29">
                  <c:v>22.5</c:v>
                </c:pt>
                <c:pt idx="30">
                  <c:v>18.2</c:v>
                </c:pt>
                <c:pt idx="31">
                  <c:v>21.9</c:v>
                </c:pt>
                <c:pt idx="32">
                  <c:v>27.199999999999996</c:v>
                </c:pt>
                <c:pt idx="33">
                  <c:v>8.5000000000000018</c:v>
                </c:pt>
                <c:pt idx="34">
                  <c:v>7.4000000000000021</c:v>
                </c:pt>
                <c:pt idx="35">
                  <c:v>6.3000000000000025</c:v>
                </c:pt>
                <c:pt idx="36">
                  <c:v>26</c:v>
                </c:pt>
                <c:pt idx="37">
                  <c:v>13.700000000000001</c:v>
                </c:pt>
                <c:pt idx="38">
                  <c:v>31.799999999999997</c:v>
                </c:pt>
                <c:pt idx="39">
                  <c:v>32.299999999999997</c:v>
                </c:pt>
                <c:pt idx="40">
                  <c:v>4.0000000000000036</c:v>
                </c:pt>
                <c:pt idx="41">
                  <c:v>6.1000000000000032</c:v>
                </c:pt>
                <c:pt idx="42">
                  <c:v>24.2</c:v>
                </c:pt>
                <c:pt idx="43">
                  <c:v>13.500000000000002</c:v>
                </c:pt>
                <c:pt idx="44">
                  <c:v>30</c:v>
                </c:pt>
                <c:pt idx="45">
                  <c:v>19.3</c:v>
                </c:pt>
                <c:pt idx="46">
                  <c:v>35.799999999999997</c:v>
                </c:pt>
                <c:pt idx="47">
                  <c:v>9.1000000000000032</c:v>
                </c:pt>
                <c:pt idx="48">
                  <c:v>16</c:v>
                </c:pt>
                <c:pt idx="49">
                  <c:v>19.700000000000003</c:v>
                </c:pt>
                <c:pt idx="50">
                  <c:v>18.600000000000001</c:v>
                </c:pt>
                <c:pt idx="51">
                  <c:v>14.300000000000002</c:v>
                </c:pt>
                <c:pt idx="52">
                  <c:v>13.200000000000003</c:v>
                </c:pt>
                <c:pt idx="53">
                  <c:v>45.699999999999996</c:v>
                </c:pt>
                <c:pt idx="54">
                  <c:v>9.4000000000000057</c:v>
                </c:pt>
                <c:pt idx="55">
                  <c:v>35.5</c:v>
                </c:pt>
                <c:pt idx="56">
                  <c:v>10.400000000000006</c:v>
                </c:pt>
                <c:pt idx="57">
                  <c:v>18.900000000000002</c:v>
                </c:pt>
                <c:pt idx="58">
                  <c:v>32.200000000000003</c:v>
                </c:pt>
                <c:pt idx="59">
                  <c:v>43.9</c:v>
                </c:pt>
                <c:pt idx="60">
                  <c:v>34.799999999999997</c:v>
                </c:pt>
                <c:pt idx="61">
                  <c:v>36.9</c:v>
                </c:pt>
                <c:pt idx="62">
                  <c:v>31</c:v>
                </c:pt>
                <c:pt idx="63">
                  <c:v>26.700000000000003</c:v>
                </c:pt>
                <c:pt idx="64">
                  <c:v>48</c:v>
                </c:pt>
                <c:pt idx="65">
                  <c:v>43.699999999999996</c:v>
                </c:pt>
                <c:pt idx="66">
                  <c:v>23.400000000000002</c:v>
                </c:pt>
                <c:pt idx="67">
                  <c:v>47.9</c:v>
                </c:pt>
                <c:pt idx="68">
                  <c:v>24.400000000000002</c:v>
                </c:pt>
                <c:pt idx="69">
                  <c:v>18.500000000000004</c:v>
                </c:pt>
                <c:pt idx="70">
                  <c:v>51</c:v>
                </c:pt>
                <c:pt idx="71">
                  <c:v>8.3000000000000043</c:v>
                </c:pt>
                <c:pt idx="72">
                  <c:v>7.2000000000000064</c:v>
                </c:pt>
                <c:pt idx="73">
                  <c:v>22.1</c:v>
                </c:pt>
                <c:pt idx="74">
                  <c:v>14.600000000000005</c:v>
                </c:pt>
                <c:pt idx="75">
                  <c:v>47.099999999999994</c:v>
                </c:pt>
                <c:pt idx="76">
                  <c:v>12.400000000000006</c:v>
                </c:pt>
                <c:pt idx="77">
                  <c:v>20.900000000000006</c:v>
                </c:pt>
                <c:pt idx="78">
                  <c:v>40.6</c:v>
                </c:pt>
                <c:pt idx="79">
                  <c:v>26.700000000000003</c:v>
                </c:pt>
                <c:pt idx="80">
                  <c:v>56</c:v>
                </c:pt>
                <c:pt idx="81">
                  <c:v>26.1</c:v>
                </c:pt>
                <c:pt idx="82">
                  <c:v>31.400000000000002</c:v>
                </c:pt>
                <c:pt idx="83">
                  <c:v>36.700000000000003</c:v>
                </c:pt>
                <c:pt idx="84">
                  <c:v>50</c:v>
                </c:pt>
                <c:pt idx="85">
                  <c:v>58.5</c:v>
                </c:pt>
                <c:pt idx="86">
                  <c:v>75</c:v>
                </c:pt>
                <c:pt idx="87">
                  <c:v>73.899999999999991</c:v>
                </c:pt>
                <c:pt idx="88">
                  <c:v>77.599999999999994</c:v>
                </c:pt>
                <c:pt idx="89">
                  <c:v>49.3</c:v>
                </c:pt>
                <c:pt idx="90">
                  <c:v>25.800000000000004</c:v>
                </c:pt>
                <c:pt idx="91">
                  <c:v>23.100000000000005</c:v>
                </c:pt>
                <c:pt idx="92">
                  <c:v>34.800000000000004</c:v>
                </c:pt>
                <c:pt idx="93">
                  <c:v>52.9</c:v>
                </c:pt>
                <c:pt idx="94">
                  <c:v>67.8</c:v>
                </c:pt>
                <c:pt idx="95">
                  <c:v>34.700000000000003</c:v>
                </c:pt>
                <c:pt idx="96">
                  <c:v>81.599999999999994</c:v>
                </c:pt>
                <c:pt idx="97">
                  <c:v>21.300000000000004</c:v>
                </c:pt>
                <c:pt idx="98">
                  <c:v>73</c:v>
                </c:pt>
                <c:pt idx="99">
                  <c:v>15.900000000000006</c:v>
                </c:pt>
                <c:pt idx="100">
                  <c:v>69.199999999999989</c:v>
                </c:pt>
                <c:pt idx="101">
                  <c:v>21.700000000000006</c:v>
                </c:pt>
                <c:pt idx="102">
                  <c:v>17.400000000000006</c:v>
                </c:pt>
                <c:pt idx="103">
                  <c:v>70.699999999999989</c:v>
                </c:pt>
                <c:pt idx="104">
                  <c:v>26.400000000000006</c:v>
                </c:pt>
                <c:pt idx="105">
                  <c:v>79.699999999999989</c:v>
                </c:pt>
                <c:pt idx="106">
                  <c:v>19.400000000000006</c:v>
                </c:pt>
                <c:pt idx="107">
                  <c:v>58.3</c:v>
                </c:pt>
                <c:pt idx="108">
                  <c:v>26.800000000000004</c:v>
                </c:pt>
                <c:pt idx="109">
                  <c:v>65.7</c:v>
                </c:pt>
                <c:pt idx="110">
                  <c:v>31.000000000000007</c:v>
                </c:pt>
                <c:pt idx="111">
                  <c:v>47.5</c:v>
                </c:pt>
                <c:pt idx="112">
                  <c:v>33.600000000000009</c:v>
                </c:pt>
                <c:pt idx="113">
                  <c:v>46.900000000000006</c:v>
                </c:pt>
                <c:pt idx="114">
                  <c:v>71.399999999999991</c:v>
                </c:pt>
                <c:pt idx="115">
                  <c:v>33.500000000000007</c:v>
                </c:pt>
                <c:pt idx="116">
                  <c:v>80.399999999999991</c:v>
                </c:pt>
                <c:pt idx="117">
                  <c:v>77.699999999999989</c:v>
                </c:pt>
                <c:pt idx="118">
                  <c:v>91</c:v>
                </c:pt>
                <c:pt idx="119">
                  <c:v>64.3</c:v>
                </c:pt>
                <c:pt idx="120">
                  <c:v>31.200000000000006</c:v>
                </c:pt>
                <c:pt idx="121">
                  <c:v>60.5</c:v>
                </c:pt>
                <c:pt idx="122">
                  <c:v>85</c:v>
                </c:pt>
                <c:pt idx="123">
                  <c:v>71.099999999999994</c:v>
                </c:pt>
                <c:pt idx="124">
                  <c:v>84.399999999999991</c:v>
                </c:pt>
                <c:pt idx="125">
                  <c:v>60.9</c:v>
                </c:pt>
                <c:pt idx="126">
                  <c:v>42.2</c:v>
                </c:pt>
                <c:pt idx="127">
                  <c:v>49.1</c:v>
                </c:pt>
                <c:pt idx="128">
                  <c:v>91.199999999999989</c:v>
                </c:pt>
                <c:pt idx="129">
                  <c:v>91.699999999999989</c:v>
                </c:pt>
                <c:pt idx="130">
                  <c:v>76.2</c:v>
                </c:pt>
                <c:pt idx="131">
                  <c:v>55.900000000000006</c:v>
                </c:pt>
                <c:pt idx="132">
                  <c:v>82</c:v>
                </c:pt>
                <c:pt idx="133">
                  <c:v>92.1</c:v>
                </c:pt>
                <c:pt idx="134">
                  <c:v>75</c:v>
                </c:pt>
                <c:pt idx="135">
                  <c:v>70.7</c:v>
                </c:pt>
                <c:pt idx="136">
                  <c:v>58.400000000000006</c:v>
                </c:pt>
                <c:pt idx="137">
                  <c:v>74.900000000000006</c:v>
                </c:pt>
                <c:pt idx="138">
                  <c:v>57.800000000000004</c:v>
                </c:pt>
                <c:pt idx="139">
                  <c:v>75.900000000000006</c:v>
                </c:pt>
                <c:pt idx="140">
                  <c:v>79.599999999999994</c:v>
                </c:pt>
                <c:pt idx="141">
                  <c:v>52.900000000000006</c:v>
                </c:pt>
                <c:pt idx="142">
                  <c:v>82.2</c:v>
                </c:pt>
                <c:pt idx="143">
                  <c:v>79.5</c:v>
                </c:pt>
                <c:pt idx="144">
                  <c:v>84.8</c:v>
                </c:pt>
                <c:pt idx="145">
                  <c:v>83.7</c:v>
                </c:pt>
                <c:pt idx="146">
                  <c:v>69.8</c:v>
                </c:pt>
                <c:pt idx="147">
                  <c:v>59.1</c:v>
                </c:pt>
                <c:pt idx="148">
                  <c:v>59.6</c:v>
                </c:pt>
                <c:pt idx="149">
                  <c:v>55.300000000000004</c:v>
                </c:pt>
                <c:pt idx="150">
                  <c:v>76.599999999999994</c:v>
                </c:pt>
                <c:pt idx="151">
                  <c:v>65.900000000000006</c:v>
                </c:pt>
                <c:pt idx="152">
                  <c:v>77.599999999999994</c:v>
                </c:pt>
                <c:pt idx="153">
                  <c:v>86.1</c:v>
                </c:pt>
                <c:pt idx="154">
                  <c:v>62.6</c:v>
                </c:pt>
                <c:pt idx="155">
                  <c:v>72.7</c:v>
                </c:pt>
                <c:pt idx="156">
                  <c:v>66.8</c:v>
                </c:pt>
                <c:pt idx="157">
                  <c:v>84.9</c:v>
                </c:pt>
                <c:pt idx="158">
                  <c:v>77.400000000000006</c:v>
                </c:pt>
                <c:pt idx="159">
                  <c:v>82.7</c:v>
                </c:pt>
                <c:pt idx="160">
                  <c:v>70.400000000000006</c:v>
                </c:pt>
                <c:pt idx="161">
                  <c:v>70.900000000000006</c:v>
                </c:pt>
                <c:pt idx="162">
                  <c:v>77.8</c:v>
                </c:pt>
                <c:pt idx="163">
                  <c:v>95.899999999999991</c:v>
                </c:pt>
                <c:pt idx="164">
                  <c:v>82</c:v>
                </c:pt>
                <c:pt idx="165">
                  <c:v>69.7</c:v>
                </c:pt>
                <c:pt idx="166">
                  <c:v>87.8</c:v>
                </c:pt>
                <c:pt idx="167">
                  <c:v>80.3</c:v>
                </c:pt>
                <c:pt idx="168">
                  <c:v>88.8</c:v>
                </c:pt>
                <c:pt idx="169">
                  <c:v>84.5</c:v>
                </c:pt>
                <c:pt idx="170">
                  <c:v>89.8</c:v>
                </c:pt>
                <c:pt idx="171">
                  <c:v>77.5</c:v>
                </c:pt>
                <c:pt idx="172">
                  <c:v>76.400000000000006</c:v>
                </c:pt>
                <c:pt idx="173">
                  <c:v>81.7</c:v>
                </c:pt>
                <c:pt idx="174">
                  <c:v>93.4</c:v>
                </c:pt>
                <c:pt idx="175">
                  <c:v>89.1</c:v>
                </c:pt>
                <c:pt idx="176">
                  <c:v>91.2</c:v>
                </c:pt>
                <c:pt idx="177">
                  <c:v>96.5</c:v>
                </c:pt>
                <c:pt idx="178">
                  <c:v>95.4</c:v>
                </c:pt>
                <c:pt idx="179">
                  <c:v>97.5</c:v>
                </c:pt>
                <c:pt idx="180">
                  <c:v>83.6</c:v>
                </c:pt>
                <c:pt idx="181">
                  <c:v>85.7</c:v>
                </c:pt>
                <c:pt idx="182">
                  <c:v>95.8</c:v>
                </c:pt>
                <c:pt idx="183">
                  <c:v>85.1</c:v>
                </c:pt>
                <c:pt idx="184">
                  <c:v>95.2</c:v>
                </c:pt>
                <c:pt idx="185">
                  <c:v>87.7</c:v>
                </c:pt>
                <c:pt idx="186">
                  <c:v>96.2</c:v>
                </c:pt>
                <c:pt idx="187">
                  <c:v>90.3</c:v>
                </c:pt>
                <c:pt idx="188">
                  <c:v>95.6</c:v>
                </c:pt>
                <c:pt idx="189">
                  <c:v>94.5</c:v>
                </c:pt>
                <c:pt idx="190">
                  <c:v>98.2</c:v>
                </c:pt>
                <c:pt idx="191">
                  <c:v>92.3</c:v>
                </c:pt>
                <c:pt idx="192">
                  <c:v>97.6</c:v>
                </c:pt>
                <c:pt idx="193">
                  <c:v>96.5</c:v>
                </c:pt>
                <c:pt idx="194">
                  <c:v>95.4</c:v>
                </c:pt>
                <c:pt idx="195">
                  <c:v>97.5</c:v>
                </c:pt>
                <c:pt idx="196">
                  <c:v>99.6</c:v>
                </c:pt>
                <c:pt idx="197">
                  <c:v>98.5</c:v>
                </c:pt>
                <c:pt idx="198">
                  <c:v>99</c:v>
                </c:pt>
                <c:pt idx="199">
                  <c:v>99.5</c:v>
                </c:pt>
                <c:pt idx="200">
                  <c:v>100</c:v>
                </c:pt>
              </c:numCache>
            </c:numRef>
          </c:yVal>
          <c:smooth val="0"/>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0</c:v>
              </c:pt>
              <c:pt idx="1">
                <c:v>50</c:v>
              </c:pt>
            </c:numLit>
          </c:xVal>
          <c:yVal>
            <c:numLit>
              <c:formatCode>General</c:formatCode>
              <c:ptCount val="2"/>
              <c:pt idx="0">
                <c:v>0</c:v>
              </c:pt>
              <c:pt idx="1">
                <c:v>100</c:v>
              </c:pt>
            </c:numLit>
          </c:yVal>
          <c:smooth val="0"/>
        </c:ser>
        <c:dLbls>
          <c:showLegendKey val="0"/>
          <c:showVal val="0"/>
          <c:showCatName val="0"/>
          <c:showSerName val="0"/>
          <c:showPercent val="0"/>
          <c:showBubbleSize val="0"/>
        </c:dLbls>
        <c:axId val="1251346080"/>
        <c:axId val="1251346640"/>
      </c:scatterChart>
      <c:valAx>
        <c:axId val="1251346080"/>
        <c:scaling>
          <c:orientation val="minMax"/>
          <c:max val="50"/>
          <c:min val="0"/>
        </c:scaling>
        <c:delete val="0"/>
        <c:axPos val="b"/>
        <c:title>
          <c:tx>
            <c:rich>
              <a:bodyPr/>
              <a:lstStyle/>
              <a:p>
                <a:pPr>
                  <a:defRPr/>
                </a:pPr>
                <a:r>
                  <a:rPr lang="es-BO"/>
                  <a:t>Porosity, %</a:t>
                </a:r>
              </a:p>
            </c:rich>
          </c:tx>
          <c:overlay val="0"/>
        </c:title>
        <c:numFmt formatCode="General" sourceLinked="0"/>
        <c:majorTickMark val="out"/>
        <c:minorTickMark val="none"/>
        <c:tickLblPos val="nextTo"/>
        <c:crossAx val="1251346640"/>
        <c:crosses val="autoZero"/>
        <c:crossBetween val="midCat"/>
      </c:valAx>
      <c:valAx>
        <c:axId val="1251346640"/>
        <c:scaling>
          <c:orientation val="minMax"/>
          <c:max val="100"/>
          <c:min val="0"/>
        </c:scaling>
        <c:delete val="0"/>
        <c:axPos val="l"/>
        <c:title>
          <c:tx>
            <c:rich>
              <a:bodyPr rot="0" vert="horz"/>
              <a:lstStyle/>
              <a:p>
                <a:pPr>
                  <a:defRPr/>
                </a:pPr>
                <a:r>
                  <a:rPr lang="es-BO"/>
                  <a:t>Sg, %</a:t>
                </a:r>
              </a:p>
            </c:rich>
          </c:tx>
          <c:layout>
            <c:manualLayout>
              <c:xMode val="edge"/>
              <c:yMode val="edge"/>
              <c:x val="2.7272727272727271E-2"/>
              <c:y val="1.2745406824146991E-2"/>
            </c:manualLayout>
          </c:layout>
          <c:overlay val="0"/>
        </c:title>
        <c:numFmt formatCode="General" sourceLinked="0"/>
        <c:majorTickMark val="out"/>
        <c:minorTickMark val="none"/>
        <c:tickLblPos val="nextTo"/>
        <c:crossAx val="1251346080"/>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s-BO" sz="1500"/>
              <a:t>Simulated Data</a:t>
            </a:r>
          </a:p>
        </c:rich>
      </c:tx>
      <c:layout>
        <c:manualLayout>
          <c:xMode val="edge"/>
          <c:yMode val="edge"/>
          <c:x val="0.62854545454545452"/>
          <c:y val="2.1052631578947368E-2"/>
        </c:manualLayout>
      </c:layout>
      <c:overlay val="1"/>
    </c:title>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chemeClr val="accent1">
                  <a:lumMod val="20000"/>
                  <a:lumOff val="80000"/>
                </a:schemeClr>
              </a:solidFill>
              <a:ln>
                <a:solidFill>
                  <a:srgbClr val="0000FF"/>
                </a:solidFill>
              </a:ln>
            </c:spPr>
          </c:marker>
          <c:xVal>
            <c:numRef>
              <c:f>'Poro vs Sw Corr'!$N$10:$N$210</c:f>
              <c:numCache>
                <c:formatCode>#,##0.00;\-0.00;"--"</c:formatCode>
                <c:ptCount val="201"/>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pt idx="121">
                  <c:v>30.25</c:v>
                </c:pt>
                <c:pt idx="122">
                  <c:v>30.5</c:v>
                </c:pt>
                <c:pt idx="123">
                  <c:v>30.75</c:v>
                </c:pt>
                <c:pt idx="124">
                  <c:v>31</c:v>
                </c:pt>
                <c:pt idx="125">
                  <c:v>31.25</c:v>
                </c:pt>
                <c:pt idx="126">
                  <c:v>31.5</c:v>
                </c:pt>
                <c:pt idx="127">
                  <c:v>31.75</c:v>
                </c:pt>
                <c:pt idx="128">
                  <c:v>32</c:v>
                </c:pt>
                <c:pt idx="129">
                  <c:v>32.25</c:v>
                </c:pt>
                <c:pt idx="130">
                  <c:v>32.5</c:v>
                </c:pt>
                <c:pt idx="131">
                  <c:v>32.75</c:v>
                </c:pt>
                <c:pt idx="132">
                  <c:v>33</c:v>
                </c:pt>
                <c:pt idx="133">
                  <c:v>33.25</c:v>
                </c:pt>
                <c:pt idx="134">
                  <c:v>33.5</c:v>
                </c:pt>
                <c:pt idx="135">
                  <c:v>33.75</c:v>
                </c:pt>
                <c:pt idx="136">
                  <c:v>34</c:v>
                </c:pt>
                <c:pt idx="137">
                  <c:v>34.25</c:v>
                </c:pt>
                <c:pt idx="138">
                  <c:v>34.5</c:v>
                </c:pt>
                <c:pt idx="139">
                  <c:v>34.75</c:v>
                </c:pt>
                <c:pt idx="140">
                  <c:v>35</c:v>
                </c:pt>
                <c:pt idx="141">
                  <c:v>35.25</c:v>
                </c:pt>
                <c:pt idx="142">
                  <c:v>35.5</c:v>
                </c:pt>
                <c:pt idx="143">
                  <c:v>35.75</c:v>
                </c:pt>
                <c:pt idx="144">
                  <c:v>36</c:v>
                </c:pt>
                <c:pt idx="145">
                  <c:v>36.25</c:v>
                </c:pt>
                <c:pt idx="146">
                  <c:v>36.5</c:v>
                </c:pt>
                <c:pt idx="147">
                  <c:v>36.75</c:v>
                </c:pt>
                <c:pt idx="148">
                  <c:v>37</c:v>
                </c:pt>
                <c:pt idx="149">
                  <c:v>37.25</c:v>
                </c:pt>
                <c:pt idx="150">
                  <c:v>37.5</c:v>
                </c:pt>
                <c:pt idx="151">
                  <c:v>37.75</c:v>
                </c:pt>
                <c:pt idx="152">
                  <c:v>38</c:v>
                </c:pt>
                <c:pt idx="153">
                  <c:v>38.25</c:v>
                </c:pt>
                <c:pt idx="154">
                  <c:v>38.5</c:v>
                </c:pt>
                <c:pt idx="155">
                  <c:v>38.75</c:v>
                </c:pt>
                <c:pt idx="156">
                  <c:v>39</c:v>
                </c:pt>
                <c:pt idx="157">
                  <c:v>39.25</c:v>
                </c:pt>
                <c:pt idx="158">
                  <c:v>39.5</c:v>
                </c:pt>
                <c:pt idx="159">
                  <c:v>39.75</c:v>
                </c:pt>
                <c:pt idx="160">
                  <c:v>40</c:v>
                </c:pt>
                <c:pt idx="161">
                  <c:v>40.25</c:v>
                </c:pt>
                <c:pt idx="162">
                  <c:v>40.5</c:v>
                </c:pt>
                <c:pt idx="163">
                  <c:v>40.75</c:v>
                </c:pt>
                <c:pt idx="164">
                  <c:v>41</c:v>
                </c:pt>
                <c:pt idx="165">
                  <c:v>41.25</c:v>
                </c:pt>
                <c:pt idx="166">
                  <c:v>41.5</c:v>
                </c:pt>
                <c:pt idx="167">
                  <c:v>41.75</c:v>
                </c:pt>
                <c:pt idx="168">
                  <c:v>42</c:v>
                </c:pt>
                <c:pt idx="169">
                  <c:v>42.25</c:v>
                </c:pt>
                <c:pt idx="170">
                  <c:v>42.5</c:v>
                </c:pt>
                <c:pt idx="171">
                  <c:v>42.75</c:v>
                </c:pt>
                <c:pt idx="172">
                  <c:v>43</c:v>
                </c:pt>
                <c:pt idx="173">
                  <c:v>43.25</c:v>
                </c:pt>
                <c:pt idx="174">
                  <c:v>43.5</c:v>
                </c:pt>
                <c:pt idx="175">
                  <c:v>43.75</c:v>
                </c:pt>
                <c:pt idx="176">
                  <c:v>44</c:v>
                </c:pt>
                <c:pt idx="177">
                  <c:v>44.25</c:v>
                </c:pt>
                <c:pt idx="178">
                  <c:v>44.5</c:v>
                </c:pt>
                <c:pt idx="179">
                  <c:v>44.75</c:v>
                </c:pt>
                <c:pt idx="180">
                  <c:v>45</c:v>
                </c:pt>
                <c:pt idx="181">
                  <c:v>45.25</c:v>
                </c:pt>
                <c:pt idx="182">
                  <c:v>45.5</c:v>
                </c:pt>
                <c:pt idx="183">
                  <c:v>45.75</c:v>
                </c:pt>
                <c:pt idx="184">
                  <c:v>46</c:v>
                </c:pt>
                <c:pt idx="185">
                  <c:v>46.25</c:v>
                </c:pt>
                <c:pt idx="186">
                  <c:v>46.5</c:v>
                </c:pt>
                <c:pt idx="187">
                  <c:v>46.75</c:v>
                </c:pt>
                <c:pt idx="188">
                  <c:v>47</c:v>
                </c:pt>
                <c:pt idx="189">
                  <c:v>47.25</c:v>
                </c:pt>
                <c:pt idx="190">
                  <c:v>47.5</c:v>
                </c:pt>
                <c:pt idx="191">
                  <c:v>47.75</c:v>
                </c:pt>
                <c:pt idx="192">
                  <c:v>48</c:v>
                </c:pt>
                <c:pt idx="193">
                  <c:v>48.25</c:v>
                </c:pt>
                <c:pt idx="194">
                  <c:v>48.5</c:v>
                </c:pt>
                <c:pt idx="195">
                  <c:v>48.75</c:v>
                </c:pt>
                <c:pt idx="196">
                  <c:v>49</c:v>
                </c:pt>
                <c:pt idx="197">
                  <c:v>49.25</c:v>
                </c:pt>
                <c:pt idx="198">
                  <c:v>49.5</c:v>
                </c:pt>
                <c:pt idx="199">
                  <c:v>49.75</c:v>
                </c:pt>
                <c:pt idx="200">
                  <c:v>50</c:v>
                </c:pt>
              </c:numCache>
            </c:numRef>
          </c:xVal>
          <c:yVal>
            <c:numRef>
              <c:f>'Poro vs Sw Corr'!$P$10:$P$210</c:f>
              <c:numCache>
                <c:formatCode>#,##0.00;\-0.00;"--"</c:formatCode>
                <c:ptCount val="201"/>
                <c:pt idx="1">
                  <c:v>99.5</c:v>
                </c:pt>
                <c:pt idx="2">
                  <c:v>99</c:v>
                </c:pt>
                <c:pt idx="3">
                  <c:v>98.5</c:v>
                </c:pt>
                <c:pt idx="4">
                  <c:v>96.4</c:v>
                </c:pt>
                <c:pt idx="5">
                  <c:v>99.1</c:v>
                </c:pt>
                <c:pt idx="6">
                  <c:v>98.6</c:v>
                </c:pt>
                <c:pt idx="7">
                  <c:v>96.5</c:v>
                </c:pt>
                <c:pt idx="8">
                  <c:v>97.6</c:v>
                </c:pt>
                <c:pt idx="9">
                  <c:v>97.1</c:v>
                </c:pt>
                <c:pt idx="10">
                  <c:v>95</c:v>
                </c:pt>
                <c:pt idx="11">
                  <c:v>91.3</c:v>
                </c:pt>
                <c:pt idx="12">
                  <c:v>94</c:v>
                </c:pt>
                <c:pt idx="13">
                  <c:v>91.9</c:v>
                </c:pt>
                <c:pt idx="14">
                  <c:v>93</c:v>
                </c:pt>
                <c:pt idx="15">
                  <c:v>94.1</c:v>
                </c:pt>
                <c:pt idx="16">
                  <c:v>95.2</c:v>
                </c:pt>
                <c:pt idx="17">
                  <c:v>89.9</c:v>
                </c:pt>
                <c:pt idx="18">
                  <c:v>92.6</c:v>
                </c:pt>
                <c:pt idx="19">
                  <c:v>90.5</c:v>
                </c:pt>
                <c:pt idx="20">
                  <c:v>91.6</c:v>
                </c:pt>
                <c:pt idx="21">
                  <c:v>95.9</c:v>
                </c:pt>
                <c:pt idx="22">
                  <c:v>90.6</c:v>
                </c:pt>
                <c:pt idx="23">
                  <c:v>91.7</c:v>
                </c:pt>
                <c:pt idx="24">
                  <c:v>84.8</c:v>
                </c:pt>
                <c:pt idx="25">
                  <c:v>87.5</c:v>
                </c:pt>
                <c:pt idx="26">
                  <c:v>91.8</c:v>
                </c:pt>
                <c:pt idx="27">
                  <c:v>92.9</c:v>
                </c:pt>
                <c:pt idx="28">
                  <c:v>97.2</c:v>
                </c:pt>
                <c:pt idx="29">
                  <c:v>77.5</c:v>
                </c:pt>
                <c:pt idx="30">
                  <c:v>81.8</c:v>
                </c:pt>
                <c:pt idx="31">
                  <c:v>78.099999999999994</c:v>
                </c:pt>
                <c:pt idx="32">
                  <c:v>72.800000000000011</c:v>
                </c:pt>
                <c:pt idx="33">
                  <c:v>91.5</c:v>
                </c:pt>
                <c:pt idx="34">
                  <c:v>92.6</c:v>
                </c:pt>
                <c:pt idx="35">
                  <c:v>93.7</c:v>
                </c:pt>
                <c:pt idx="36">
                  <c:v>74</c:v>
                </c:pt>
                <c:pt idx="37">
                  <c:v>86.3</c:v>
                </c:pt>
                <c:pt idx="38">
                  <c:v>68.2</c:v>
                </c:pt>
                <c:pt idx="39">
                  <c:v>67.7</c:v>
                </c:pt>
                <c:pt idx="40">
                  <c:v>96</c:v>
                </c:pt>
                <c:pt idx="41">
                  <c:v>93.899999999999991</c:v>
                </c:pt>
                <c:pt idx="42">
                  <c:v>75.8</c:v>
                </c:pt>
                <c:pt idx="43">
                  <c:v>86.5</c:v>
                </c:pt>
                <c:pt idx="44">
                  <c:v>70</c:v>
                </c:pt>
                <c:pt idx="45">
                  <c:v>80.7</c:v>
                </c:pt>
                <c:pt idx="46">
                  <c:v>64.2</c:v>
                </c:pt>
                <c:pt idx="47">
                  <c:v>90.899999999999991</c:v>
                </c:pt>
                <c:pt idx="48">
                  <c:v>84</c:v>
                </c:pt>
                <c:pt idx="49">
                  <c:v>80.3</c:v>
                </c:pt>
                <c:pt idx="50">
                  <c:v>81.400000000000006</c:v>
                </c:pt>
                <c:pt idx="51">
                  <c:v>85.7</c:v>
                </c:pt>
                <c:pt idx="52">
                  <c:v>86.8</c:v>
                </c:pt>
                <c:pt idx="53">
                  <c:v>54.300000000000004</c:v>
                </c:pt>
                <c:pt idx="54">
                  <c:v>90.6</c:v>
                </c:pt>
                <c:pt idx="55">
                  <c:v>64.5</c:v>
                </c:pt>
                <c:pt idx="56">
                  <c:v>89.6</c:v>
                </c:pt>
                <c:pt idx="57">
                  <c:v>81.099999999999994</c:v>
                </c:pt>
                <c:pt idx="58">
                  <c:v>67.8</c:v>
                </c:pt>
                <c:pt idx="59">
                  <c:v>56.1</c:v>
                </c:pt>
                <c:pt idx="60">
                  <c:v>65.2</c:v>
                </c:pt>
                <c:pt idx="61">
                  <c:v>63.1</c:v>
                </c:pt>
                <c:pt idx="62">
                  <c:v>69</c:v>
                </c:pt>
                <c:pt idx="63">
                  <c:v>73.3</c:v>
                </c:pt>
                <c:pt idx="64">
                  <c:v>52</c:v>
                </c:pt>
                <c:pt idx="65">
                  <c:v>56.300000000000004</c:v>
                </c:pt>
                <c:pt idx="66">
                  <c:v>76.599999999999994</c:v>
                </c:pt>
                <c:pt idx="67">
                  <c:v>52.1</c:v>
                </c:pt>
                <c:pt idx="68">
                  <c:v>75.599999999999994</c:v>
                </c:pt>
                <c:pt idx="69">
                  <c:v>81.5</c:v>
                </c:pt>
                <c:pt idx="70">
                  <c:v>49</c:v>
                </c:pt>
                <c:pt idx="71">
                  <c:v>91.699999999999989</c:v>
                </c:pt>
                <c:pt idx="72">
                  <c:v>92.8</c:v>
                </c:pt>
                <c:pt idx="73">
                  <c:v>77.900000000000006</c:v>
                </c:pt>
                <c:pt idx="74">
                  <c:v>85.399999999999991</c:v>
                </c:pt>
                <c:pt idx="75">
                  <c:v>52.900000000000006</c:v>
                </c:pt>
                <c:pt idx="76">
                  <c:v>87.6</c:v>
                </c:pt>
                <c:pt idx="77">
                  <c:v>79.099999999999994</c:v>
                </c:pt>
                <c:pt idx="78">
                  <c:v>59.4</c:v>
                </c:pt>
                <c:pt idx="79">
                  <c:v>73.3</c:v>
                </c:pt>
                <c:pt idx="80">
                  <c:v>44</c:v>
                </c:pt>
                <c:pt idx="81">
                  <c:v>73.900000000000006</c:v>
                </c:pt>
                <c:pt idx="82">
                  <c:v>68.599999999999994</c:v>
                </c:pt>
                <c:pt idx="83">
                  <c:v>63.3</c:v>
                </c:pt>
                <c:pt idx="84">
                  <c:v>50</c:v>
                </c:pt>
                <c:pt idx="85">
                  <c:v>41.5</c:v>
                </c:pt>
                <c:pt idx="86">
                  <c:v>25</c:v>
                </c:pt>
                <c:pt idx="87">
                  <c:v>26.100000000000009</c:v>
                </c:pt>
                <c:pt idx="88">
                  <c:v>22.400000000000006</c:v>
                </c:pt>
                <c:pt idx="89">
                  <c:v>50.7</c:v>
                </c:pt>
                <c:pt idx="90">
                  <c:v>74.199999999999989</c:v>
                </c:pt>
                <c:pt idx="91">
                  <c:v>76.899999999999991</c:v>
                </c:pt>
                <c:pt idx="92">
                  <c:v>65.199999999999989</c:v>
                </c:pt>
                <c:pt idx="93">
                  <c:v>47.1</c:v>
                </c:pt>
                <c:pt idx="94">
                  <c:v>32.200000000000003</c:v>
                </c:pt>
                <c:pt idx="95">
                  <c:v>65.3</c:v>
                </c:pt>
                <c:pt idx="96">
                  <c:v>18.400000000000006</c:v>
                </c:pt>
                <c:pt idx="97">
                  <c:v>78.699999999999989</c:v>
                </c:pt>
                <c:pt idx="98">
                  <c:v>27</c:v>
                </c:pt>
                <c:pt idx="99">
                  <c:v>84.1</c:v>
                </c:pt>
                <c:pt idx="100">
                  <c:v>30.800000000000011</c:v>
                </c:pt>
                <c:pt idx="101">
                  <c:v>78.3</c:v>
                </c:pt>
                <c:pt idx="102">
                  <c:v>82.6</c:v>
                </c:pt>
                <c:pt idx="103">
                  <c:v>29.300000000000011</c:v>
                </c:pt>
                <c:pt idx="104">
                  <c:v>73.599999999999994</c:v>
                </c:pt>
                <c:pt idx="105">
                  <c:v>20.300000000000011</c:v>
                </c:pt>
                <c:pt idx="106">
                  <c:v>80.599999999999994</c:v>
                </c:pt>
                <c:pt idx="107">
                  <c:v>41.7</c:v>
                </c:pt>
                <c:pt idx="108">
                  <c:v>73.199999999999989</c:v>
                </c:pt>
                <c:pt idx="109">
                  <c:v>34.299999999999997</c:v>
                </c:pt>
                <c:pt idx="110">
                  <c:v>69</c:v>
                </c:pt>
                <c:pt idx="111">
                  <c:v>52.5</c:v>
                </c:pt>
                <c:pt idx="112">
                  <c:v>66.399999999999991</c:v>
                </c:pt>
                <c:pt idx="113">
                  <c:v>53.099999999999994</c:v>
                </c:pt>
                <c:pt idx="114">
                  <c:v>28.600000000000009</c:v>
                </c:pt>
                <c:pt idx="115">
                  <c:v>66.5</c:v>
                </c:pt>
                <c:pt idx="116">
                  <c:v>19.600000000000009</c:v>
                </c:pt>
                <c:pt idx="117">
                  <c:v>22.300000000000011</c:v>
                </c:pt>
                <c:pt idx="118">
                  <c:v>9</c:v>
                </c:pt>
                <c:pt idx="119">
                  <c:v>35.700000000000003</c:v>
                </c:pt>
                <c:pt idx="120">
                  <c:v>68.8</c:v>
                </c:pt>
                <c:pt idx="121">
                  <c:v>39.5</c:v>
                </c:pt>
                <c:pt idx="122">
                  <c:v>15</c:v>
                </c:pt>
                <c:pt idx="123">
                  <c:v>28.900000000000006</c:v>
                </c:pt>
                <c:pt idx="124">
                  <c:v>15.600000000000009</c:v>
                </c:pt>
                <c:pt idx="125">
                  <c:v>39.1</c:v>
                </c:pt>
                <c:pt idx="126">
                  <c:v>57.8</c:v>
                </c:pt>
                <c:pt idx="127">
                  <c:v>50.9</c:v>
                </c:pt>
                <c:pt idx="128">
                  <c:v>8.8000000000000114</c:v>
                </c:pt>
                <c:pt idx="129">
                  <c:v>8.3000000000000114</c:v>
                </c:pt>
                <c:pt idx="130">
                  <c:v>23.799999999999997</c:v>
                </c:pt>
                <c:pt idx="131">
                  <c:v>44.099999999999994</c:v>
                </c:pt>
                <c:pt idx="132">
                  <c:v>18</c:v>
                </c:pt>
                <c:pt idx="133">
                  <c:v>7.9000000000000057</c:v>
                </c:pt>
                <c:pt idx="134">
                  <c:v>25</c:v>
                </c:pt>
                <c:pt idx="135">
                  <c:v>29.299999999999997</c:v>
                </c:pt>
                <c:pt idx="136">
                  <c:v>41.599999999999994</c:v>
                </c:pt>
                <c:pt idx="137">
                  <c:v>25.099999999999994</c:v>
                </c:pt>
                <c:pt idx="138">
                  <c:v>42.199999999999996</c:v>
                </c:pt>
                <c:pt idx="139">
                  <c:v>24.099999999999994</c:v>
                </c:pt>
                <c:pt idx="140">
                  <c:v>20.400000000000006</c:v>
                </c:pt>
                <c:pt idx="141">
                  <c:v>47.099999999999994</c:v>
                </c:pt>
                <c:pt idx="142">
                  <c:v>17.799999999999997</c:v>
                </c:pt>
                <c:pt idx="143">
                  <c:v>20.5</c:v>
                </c:pt>
                <c:pt idx="144">
                  <c:v>15.200000000000003</c:v>
                </c:pt>
                <c:pt idx="145">
                  <c:v>16.299999999999997</c:v>
                </c:pt>
                <c:pt idx="146">
                  <c:v>30.200000000000003</c:v>
                </c:pt>
                <c:pt idx="147">
                  <c:v>40.9</c:v>
                </c:pt>
                <c:pt idx="148">
                  <c:v>40.4</c:v>
                </c:pt>
                <c:pt idx="149">
                  <c:v>44.699999999999996</c:v>
                </c:pt>
                <c:pt idx="150">
                  <c:v>23.400000000000006</c:v>
                </c:pt>
                <c:pt idx="151">
                  <c:v>34.099999999999994</c:v>
                </c:pt>
                <c:pt idx="152">
                  <c:v>22.400000000000006</c:v>
                </c:pt>
                <c:pt idx="153">
                  <c:v>13.900000000000006</c:v>
                </c:pt>
                <c:pt idx="154">
                  <c:v>37.4</c:v>
                </c:pt>
                <c:pt idx="155">
                  <c:v>27.299999999999997</c:v>
                </c:pt>
                <c:pt idx="156">
                  <c:v>33.200000000000003</c:v>
                </c:pt>
                <c:pt idx="157">
                  <c:v>15.099999999999994</c:v>
                </c:pt>
                <c:pt idx="158">
                  <c:v>22.599999999999994</c:v>
                </c:pt>
                <c:pt idx="159">
                  <c:v>17.299999999999997</c:v>
                </c:pt>
                <c:pt idx="160">
                  <c:v>29.599999999999994</c:v>
                </c:pt>
                <c:pt idx="161">
                  <c:v>29.099999999999994</c:v>
                </c:pt>
                <c:pt idx="162">
                  <c:v>22.200000000000003</c:v>
                </c:pt>
                <c:pt idx="163">
                  <c:v>4.1000000000000085</c:v>
                </c:pt>
                <c:pt idx="164">
                  <c:v>18</c:v>
                </c:pt>
                <c:pt idx="165">
                  <c:v>30.299999999999997</c:v>
                </c:pt>
                <c:pt idx="166">
                  <c:v>12.200000000000003</c:v>
                </c:pt>
                <c:pt idx="167">
                  <c:v>19.700000000000003</c:v>
                </c:pt>
                <c:pt idx="168">
                  <c:v>11.200000000000003</c:v>
                </c:pt>
                <c:pt idx="169">
                  <c:v>15.5</c:v>
                </c:pt>
                <c:pt idx="170">
                  <c:v>10.200000000000003</c:v>
                </c:pt>
                <c:pt idx="171">
                  <c:v>22.5</c:v>
                </c:pt>
                <c:pt idx="172">
                  <c:v>23.599999999999994</c:v>
                </c:pt>
                <c:pt idx="173">
                  <c:v>18.299999999999997</c:v>
                </c:pt>
                <c:pt idx="174">
                  <c:v>6.5999999999999943</c:v>
                </c:pt>
                <c:pt idx="175">
                  <c:v>10.900000000000006</c:v>
                </c:pt>
                <c:pt idx="176">
                  <c:v>8.7999999999999972</c:v>
                </c:pt>
                <c:pt idx="177">
                  <c:v>3.5</c:v>
                </c:pt>
                <c:pt idx="178">
                  <c:v>4.5999999999999943</c:v>
                </c:pt>
                <c:pt idx="179">
                  <c:v>2.5</c:v>
                </c:pt>
                <c:pt idx="180">
                  <c:v>16.400000000000006</c:v>
                </c:pt>
                <c:pt idx="181">
                  <c:v>14.299999999999997</c:v>
                </c:pt>
                <c:pt idx="182">
                  <c:v>4.2000000000000028</c:v>
                </c:pt>
                <c:pt idx="183">
                  <c:v>14.900000000000006</c:v>
                </c:pt>
                <c:pt idx="184">
                  <c:v>4.7999999999999972</c:v>
                </c:pt>
                <c:pt idx="185">
                  <c:v>12.299999999999997</c:v>
                </c:pt>
                <c:pt idx="186">
                  <c:v>3.7999999999999972</c:v>
                </c:pt>
                <c:pt idx="187">
                  <c:v>9.7000000000000028</c:v>
                </c:pt>
                <c:pt idx="188">
                  <c:v>4.4000000000000057</c:v>
                </c:pt>
                <c:pt idx="189">
                  <c:v>5.5</c:v>
                </c:pt>
                <c:pt idx="190">
                  <c:v>1.7999999999999972</c:v>
                </c:pt>
                <c:pt idx="191">
                  <c:v>7.7000000000000028</c:v>
                </c:pt>
                <c:pt idx="192">
                  <c:v>2.4000000000000057</c:v>
                </c:pt>
                <c:pt idx="193">
                  <c:v>3.5</c:v>
                </c:pt>
                <c:pt idx="194">
                  <c:v>4.5999999999999943</c:v>
                </c:pt>
                <c:pt idx="195">
                  <c:v>2.5</c:v>
                </c:pt>
                <c:pt idx="196">
                  <c:v>0.40000000000000568</c:v>
                </c:pt>
                <c:pt idx="197">
                  <c:v>1.5</c:v>
                </c:pt>
                <c:pt idx="198">
                  <c:v>1</c:v>
                </c:pt>
                <c:pt idx="199">
                  <c:v>0.5</c:v>
                </c:pt>
                <c:pt idx="200">
                  <c:v>0</c:v>
                </c:pt>
              </c:numCache>
            </c:numRef>
          </c:yVal>
          <c:smooth val="0"/>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50</c:v>
              </c:pt>
              <c:pt idx="1">
                <c:v>0</c:v>
              </c:pt>
            </c:numLit>
          </c:xVal>
          <c:yVal>
            <c:numLit>
              <c:formatCode>General</c:formatCode>
              <c:ptCount val="2"/>
              <c:pt idx="0">
                <c:v>0</c:v>
              </c:pt>
              <c:pt idx="1">
                <c:v>100</c:v>
              </c:pt>
            </c:numLit>
          </c:yVal>
          <c:smooth val="0"/>
        </c:ser>
        <c:dLbls>
          <c:showLegendKey val="0"/>
          <c:showVal val="0"/>
          <c:showCatName val="0"/>
          <c:showSerName val="0"/>
          <c:showPercent val="0"/>
          <c:showBubbleSize val="0"/>
        </c:dLbls>
        <c:axId val="1251349440"/>
        <c:axId val="1251350000"/>
      </c:scatterChart>
      <c:valAx>
        <c:axId val="1251349440"/>
        <c:scaling>
          <c:orientation val="minMax"/>
          <c:max val="50"/>
          <c:min val="0"/>
        </c:scaling>
        <c:delete val="0"/>
        <c:axPos val="b"/>
        <c:title>
          <c:tx>
            <c:rich>
              <a:bodyPr/>
              <a:lstStyle/>
              <a:p>
                <a:pPr>
                  <a:defRPr/>
                </a:pPr>
                <a:r>
                  <a:rPr lang="es-BO"/>
                  <a:t>Porosity, %</a:t>
                </a:r>
              </a:p>
            </c:rich>
          </c:tx>
          <c:overlay val="0"/>
        </c:title>
        <c:numFmt formatCode="General" sourceLinked="0"/>
        <c:majorTickMark val="out"/>
        <c:minorTickMark val="none"/>
        <c:tickLblPos val="nextTo"/>
        <c:crossAx val="1251350000"/>
        <c:crosses val="autoZero"/>
        <c:crossBetween val="midCat"/>
      </c:valAx>
      <c:valAx>
        <c:axId val="1251350000"/>
        <c:scaling>
          <c:orientation val="minMax"/>
          <c:max val="100"/>
          <c:min val="0"/>
        </c:scaling>
        <c:delete val="0"/>
        <c:axPos val="l"/>
        <c:title>
          <c:tx>
            <c:rich>
              <a:bodyPr rot="0" vert="horz"/>
              <a:lstStyle/>
              <a:p>
                <a:pPr>
                  <a:defRPr>
                    <a:solidFill>
                      <a:srgbClr val="0000FF"/>
                    </a:solidFill>
                  </a:defRPr>
                </a:pPr>
                <a:r>
                  <a:rPr lang="es-BO">
                    <a:solidFill>
                      <a:srgbClr val="0000FF"/>
                    </a:solidFill>
                  </a:rPr>
                  <a:t>Sw,</a:t>
                </a:r>
                <a:r>
                  <a:rPr lang="es-BO" baseline="0">
                    <a:solidFill>
                      <a:srgbClr val="0000FF"/>
                    </a:solidFill>
                  </a:rPr>
                  <a:t> %</a:t>
                </a:r>
                <a:endParaRPr lang="es-BO">
                  <a:solidFill>
                    <a:srgbClr val="0000FF"/>
                  </a:solidFill>
                </a:endParaRPr>
              </a:p>
            </c:rich>
          </c:tx>
          <c:layout>
            <c:manualLayout>
              <c:xMode val="edge"/>
              <c:yMode val="edge"/>
              <c:x val="2.1212121212121213E-2"/>
              <c:y val="1.2745406824146991E-2"/>
            </c:manualLayout>
          </c:layout>
          <c:overlay val="0"/>
        </c:title>
        <c:numFmt formatCode="General" sourceLinked="0"/>
        <c:majorTickMark val="out"/>
        <c:minorTickMark val="none"/>
        <c:tickLblPos val="nextTo"/>
        <c:crossAx val="1251349440"/>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rgbClr val="FF0000"/>
              </a:solidFill>
              <a:ln>
                <a:solidFill>
                  <a:srgbClr val="C00000"/>
                </a:solidFill>
              </a:ln>
            </c:spPr>
          </c:marker>
          <c:trendline>
            <c:trendlineType val="linear"/>
            <c:intercept val="0"/>
            <c:dispRSqr val="1"/>
            <c:dispEq val="0"/>
            <c:trendlineLbl>
              <c:numFmt formatCode="General" sourceLinked="0"/>
            </c:trendlineLbl>
          </c:trendline>
          <c:xVal>
            <c:numRef>
              <c:f>'Poro vs Sw Corr'!$B$10:$B$210</c:f>
              <c:numCache>
                <c:formatCode>#,##0.00;\-0.00;"--"</c:formatCode>
                <c:ptCount val="2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numCache>
            </c:numRef>
          </c:xVal>
          <c:yVal>
            <c:numRef>
              <c:f>'Poro vs Sw Corr'!$D$10:$D$210</c:f>
              <c:numCache>
                <c:formatCode>#,##0.00;\-0.00;"--"</c:formatCode>
                <c:ptCount val="201"/>
                <c:pt idx="0">
                  <c:v>0</c:v>
                </c:pt>
                <c:pt idx="1">
                  <c:v>0.5</c:v>
                </c:pt>
                <c:pt idx="2">
                  <c:v>1</c:v>
                </c:pt>
                <c:pt idx="3">
                  <c:v>5.5</c:v>
                </c:pt>
                <c:pt idx="4">
                  <c:v>10</c:v>
                </c:pt>
                <c:pt idx="5">
                  <c:v>2.5</c:v>
                </c:pt>
                <c:pt idx="6">
                  <c:v>11</c:v>
                </c:pt>
                <c:pt idx="7">
                  <c:v>11.5</c:v>
                </c:pt>
                <c:pt idx="8">
                  <c:v>20</c:v>
                </c:pt>
                <c:pt idx="9">
                  <c:v>16.5</c:v>
                </c:pt>
                <c:pt idx="10">
                  <c:v>17</c:v>
                </c:pt>
                <c:pt idx="11">
                  <c:v>25.5</c:v>
                </c:pt>
                <c:pt idx="12">
                  <c:v>30</c:v>
                </c:pt>
                <c:pt idx="13">
                  <c:v>22.5</c:v>
                </c:pt>
                <c:pt idx="14">
                  <c:v>31</c:v>
                </c:pt>
                <c:pt idx="15">
                  <c:v>11.5</c:v>
                </c:pt>
                <c:pt idx="16">
                  <c:v>40</c:v>
                </c:pt>
                <c:pt idx="17">
                  <c:v>12.5</c:v>
                </c:pt>
                <c:pt idx="18">
                  <c:v>21</c:v>
                </c:pt>
                <c:pt idx="19">
                  <c:v>17.5</c:v>
                </c:pt>
                <c:pt idx="20">
                  <c:v>10</c:v>
                </c:pt>
                <c:pt idx="21">
                  <c:v>26.5</c:v>
                </c:pt>
                <c:pt idx="22">
                  <c:v>23</c:v>
                </c:pt>
                <c:pt idx="23">
                  <c:v>27.5</c:v>
                </c:pt>
                <c:pt idx="24">
                  <c:v>28</c:v>
                </c:pt>
                <c:pt idx="25">
                  <c:v>24.5</c:v>
                </c:pt>
                <c:pt idx="26">
                  <c:v>25</c:v>
                </c:pt>
                <c:pt idx="27">
                  <c:v>57.5</c:v>
                </c:pt>
                <c:pt idx="28">
                  <c:v>30</c:v>
                </c:pt>
                <c:pt idx="29">
                  <c:v>34.5</c:v>
                </c:pt>
                <c:pt idx="30">
                  <c:v>15</c:v>
                </c:pt>
              </c:numCache>
            </c:numRef>
          </c:yVal>
          <c:smooth val="0"/>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0</c:v>
              </c:pt>
              <c:pt idx="1">
                <c:v>50</c:v>
              </c:pt>
            </c:numLit>
          </c:xVal>
          <c:yVal>
            <c:numLit>
              <c:formatCode>General</c:formatCode>
              <c:ptCount val="2"/>
              <c:pt idx="0">
                <c:v>0</c:v>
              </c:pt>
              <c:pt idx="1">
                <c:v>100</c:v>
              </c:pt>
            </c:numLit>
          </c:yVal>
          <c:smooth val="0"/>
        </c:ser>
        <c:dLbls>
          <c:showLegendKey val="0"/>
          <c:showVal val="0"/>
          <c:showCatName val="0"/>
          <c:showSerName val="0"/>
          <c:showPercent val="0"/>
          <c:showBubbleSize val="0"/>
        </c:dLbls>
        <c:axId val="1251352800"/>
        <c:axId val="1251353360"/>
      </c:scatterChart>
      <c:valAx>
        <c:axId val="1251352800"/>
        <c:scaling>
          <c:orientation val="minMax"/>
          <c:max val="50"/>
          <c:min val="0"/>
        </c:scaling>
        <c:delete val="0"/>
        <c:axPos val="b"/>
        <c:title>
          <c:tx>
            <c:rich>
              <a:bodyPr/>
              <a:lstStyle/>
              <a:p>
                <a:pPr>
                  <a:defRPr/>
                </a:pPr>
                <a:r>
                  <a:rPr lang="es-BO"/>
                  <a:t>Porosity, %</a:t>
                </a:r>
              </a:p>
            </c:rich>
          </c:tx>
          <c:overlay val="0"/>
        </c:title>
        <c:numFmt formatCode="General" sourceLinked="0"/>
        <c:majorTickMark val="out"/>
        <c:minorTickMark val="none"/>
        <c:tickLblPos val="nextTo"/>
        <c:crossAx val="1251353360"/>
        <c:crosses val="autoZero"/>
        <c:crossBetween val="midCat"/>
      </c:valAx>
      <c:valAx>
        <c:axId val="1251353360"/>
        <c:scaling>
          <c:orientation val="minMax"/>
          <c:max val="100"/>
          <c:min val="0"/>
        </c:scaling>
        <c:delete val="0"/>
        <c:axPos val="l"/>
        <c:title>
          <c:tx>
            <c:rich>
              <a:bodyPr rot="0" vert="horz"/>
              <a:lstStyle/>
              <a:p>
                <a:pPr>
                  <a:defRPr/>
                </a:pPr>
                <a:r>
                  <a:rPr lang="es-BO"/>
                  <a:t>Sg, %</a:t>
                </a:r>
              </a:p>
            </c:rich>
          </c:tx>
          <c:layout>
            <c:manualLayout>
              <c:xMode val="edge"/>
              <c:yMode val="edge"/>
              <c:x val="1.9753086419753086E-2"/>
              <c:y val="1.9762950683796111E-2"/>
            </c:manualLayout>
          </c:layout>
          <c:overlay val="0"/>
        </c:title>
        <c:numFmt formatCode="General" sourceLinked="0"/>
        <c:majorTickMark val="out"/>
        <c:minorTickMark val="none"/>
        <c:tickLblPos val="nextTo"/>
        <c:crossAx val="1251352800"/>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s-BO" sz="1500"/>
              <a:t>Real Data</a:t>
            </a:r>
          </a:p>
        </c:rich>
      </c:tx>
      <c:layout>
        <c:manualLayout>
          <c:xMode val="edge"/>
          <c:yMode val="edge"/>
          <c:x val="0.71821392696283348"/>
          <c:y val="1.4035087719298246E-2"/>
        </c:manualLayout>
      </c:layout>
      <c:overlay val="1"/>
    </c:title>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chemeClr val="accent1">
                  <a:lumMod val="20000"/>
                  <a:lumOff val="80000"/>
                </a:schemeClr>
              </a:solidFill>
              <a:ln>
                <a:solidFill>
                  <a:srgbClr val="0000FF"/>
                </a:solidFill>
              </a:ln>
            </c:spPr>
          </c:marker>
          <c:trendline>
            <c:trendlineType val="linear"/>
            <c:intercept val="100"/>
            <c:dispRSqr val="1"/>
            <c:dispEq val="0"/>
            <c:trendlineLbl>
              <c:numFmt formatCode="General" sourceLinked="0"/>
            </c:trendlineLbl>
          </c:trendline>
          <c:xVal>
            <c:numRef>
              <c:f>'Poro vs Sw Corr'!$B$10:$B$210</c:f>
              <c:numCache>
                <c:formatCode>#,##0.00;\-0.00;"--"</c:formatCode>
                <c:ptCount val="2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numCache>
            </c:numRef>
          </c:xVal>
          <c:yVal>
            <c:numRef>
              <c:f>'Poro vs Sw Corr'!$C$10:$C$210</c:f>
              <c:numCache>
                <c:formatCode>#,##0.00;\-0.00;"--"</c:formatCode>
                <c:ptCount val="201"/>
                <c:pt idx="0">
                  <c:v>100</c:v>
                </c:pt>
                <c:pt idx="1">
                  <c:v>99.5</c:v>
                </c:pt>
                <c:pt idx="2">
                  <c:v>99</c:v>
                </c:pt>
                <c:pt idx="3">
                  <c:v>94.5</c:v>
                </c:pt>
                <c:pt idx="4">
                  <c:v>90</c:v>
                </c:pt>
                <c:pt idx="5">
                  <c:v>97.5</c:v>
                </c:pt>
                <c:pt idx="6">
                  <c:v>89</c:v>
                </c:pt>
                <c:pt idx="7">
                  <c:v>88.5</c:v>
                </c:pt>
                <c:pt idx="8">
                  <c:v>80</c:v>
                </c:pt>
                <c:pt idx="9">
                  <c:v>83.5</c:v>
                </c:pt>
                <c:pt idx="10">
                  <c:v>83</c:v>
                </c:pt>
                <c:pt idx="11">
                  <c:v>74.5</c:v>
                </c:pt>
                <c:pt idx="12">
                  <c:v>70</c:v>
                </c:pt>
                <c:pt idx="13">
                  <c:v>77.5</c:v>
                </c:pt>
                <c:pt idx="14">
                  <c:v>69</c:v>
                </c:pt>
                <c:pt idx="15">
                  <c:v>88.5</c:v>
                </c:pt>
                <c:pt idx="16">
                  <c:v>60</c:v>
                </c:pt>
                <c:pt idx="17">
                  <c:v>87.5</c:v>
                </c:pt>
                <c:pt idx="18">
                  <c:v>79</c:v>
                </c:pt>
                <c:pt idx="19">
                  <c:v>82.5</c:v>
                </c:pt>
                <c:pt idx="20">
                  <c:v>90</c:v>
                </c:pt>
                <c:pt idx="21">
                  <c:v>73.5</c:v>
                </c:pt>
                <c:pt idx="22">
                  <c:v>77</c:v>
                </c:pt>
                <c:pt idx="23">
                  <c:v>72.5</c:v>
                </c:pt>
                <c:pt idx="24">
                  <c:v>72</c:v>
                </c:pt>
                <c:pt idx="25">
                  <c:v>75.5</c:v>
                </c:pt>
                <c:pt idx="26">
                  <c:v>75</c:v>
                </c:pt>
                <c:pt idx="27">
                  <c:v>42.5</c:v>
                </c:pt>
                <c:pt idx="28">
                  <c:v>70</c:v>
                </c:pt>
                <c:pt idx="29">
                  <c:v>65.5</c:v>
                </c:pt>
                <c:pt idx="30">
                  <c:v>85</c:v>
                </c:pt>
              </c:numCache>
            </c:numRef>
          </c:yVal>
          <c:smooth val="0"/>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50</c:v>
              </c:pt>
              <c:pt idx="1">
                <c:v>0</c:v>
              </c:pt>
            </c:numLit>
          </c:xVal>
          <c:yVal>
            <c:numLit>
              <c:formatCode>General</c:formatCode>
              <c:ptCount val="2"/>
              <c:pt idx="0">
                <c:v>0</c:v>
              </c:pt>
              <c:pt idx="1">
                <c:v>100</c:v>
              </c:pt>
            </c:numLit>
          </c:yVal>
          <c:smooth val="0"/>
        </c:ser>
        <c:dLbls>
          <c:showLegendKey val="0"/>
          <c:showVal val="0"/>
          <c:showCatName val="0"/>
          <c:showSerName val="0"/>
          <c:showPercent val="0"/>
          <c:showBubbleSize val="0"/>
        </c:dLbls>
        <c:axId val="1251696288"/>
        <c:axId val="1251696848"/>
      </c:scatterChart>
      <c:valAx>
        <c:axId val="1251696288"/>
        <c:scaling>
          <c:orientation val="minMax"/>
          <c:max val="50"/>
          <c:min val="0"/>
        </c:scaling>
        <c:delete val="0"/>
        <c:axPos val="b"/>
        <c:title>
          <c:tx>
            <c:rich>
              <a:bodyPr/>
              <a:lstStyle/>
              <a:p>
                <a:pPr>
                  <a:defRPr/>
                </a:pPr>
                <a:r>
                  <a:rPr lang="es-BO"/>
                  <a:t>Porosity, %</a:t>
                </a:r>
              </a:p>
            </c:rich>
          </c:tx>
          <c:overlay val="0"/>
        </c:title>
        <c:numFmt formatCode="General" sourceLinked="0"/>
        <c:majorTickMark val="out"/>
        <c:minorTickMark val="none"/>
        <c:tickLblPos val="nextTo"/>
        <c:crossAx val="1251696848"/>
        <c:crosses val="autoZero"/>
        <c:crossBetween val="midCat"/>
      </c:valAx>
      <c:valAx>
        <c:axId val="1251696848"/>
        <c:scaling>
          <c:orientation val="minMax"/>
          <c:max val="100"/>
          <c:min val="0"/>
        </c:scaling>
        <c:delete val="0"/>
        <c:axPos val="l"/>
        <c:title>
          <c:tx>
            <c:rich>
              <a:bodyPr rot="0" vert="horz"/>
              <a:lstStyle/>
              <a:p>
                <a:pPr>
                  <a:defRPr>
                    <a:solidFill>
                      <a:srgbClr val="0000FF"/>
                    </a:solidFill>
                  </a:defRPr>
                </a:pPr>
                <a:r>
                  <a:rPr lang="es-BO">
                    <a:solidFill>
                      <a:srgbClr val="0000FF"/>
                    </a:solidFill>
                  </a:rPr>
                  <a:t>Sw,</a:t>
                </a:r>
                <a:r>
                  <a:rPr lang="es-BO" baseline="0">
                    <a:solidFill>
                      <a:srgbClr val="0000FF"/>
                    </a:solidFill>
                  </a:rPr>
                  <a:t> %</a:t>
                </a:r>
                <a:endParaRPr lang="es-BO">
                  <a:solidFill>
                    <a:srgbClr val="0000FF"/>
                  </a:solidFill>
                </a:endParaRPr>
              </a:p>
            </c:rich>
          </c:tx>
          <c:layout>
            <c:manualLayout>
              <c:xMode val="edge"/>
              <c:yMode val="edge"/>
              <c:x val="2.3045267489711935E-2"/>
              <c:y val="1.6254178753971556E-2"/>
            </c:manualLayout>
          </c:layout>
          <c:overlay val="0"/>
        </c:title>
        <c:numFmt formatCode="General" sourceLinked="0"/>
        <c:majorTickMark val="out"/>
        <c:minorTickMark val="none"/>
        <c:tickLblPos val="nextTo"/>
        <c:crossAx val="1251696288"/>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37030209084513"/>
          <c:y val="4.9839765054946368E-2"/>
          <c:w val="0.8364291270715043"/>
          <c:h val="0.82840036887280966"/>
        </c:manualLayout>
      </c:layout>
      <c:scatterChart>
        <c:scatterStyle val="lineMarker"/>
        <c:varyColors val="0"/>
        <c:ser>
          <c:idx val="0"/>
          <c:order val="0"/>
          <c:tx>
            <c:v>Dummy</c:v>
          </c:tx>
          <c:spPr>
            <a:ln w="28575">
              <a:noFill/>
            </a:ln>
          </c:spPr>
          <c:marker>
            <c:symbol val="dash"/>
            <c:size val="6"/>
            <c:spPr>
              <a:solidFill>
                <a:srgbClr val="0000FF"/>
              </a:solidFill>
            </c:spPr>
          </c:marker>
          <c:dLbls>
            <c:dLbl>
              <c:idx val="0"/>
              <c:tx>
                <c:rich>
                  <a:bodyPr/>
                  <a:lstStyle/>
                  <a:p>
                    <a:r>
                      <a:rPr lang="es-BO"/>
                      <a:t>99</a:t>
                    </a:r>
                  </a:p>
                </c:rich>
              </c:tx>
              <c:dLblPos val="l"/>
              <c:showLegendKey val="0"/>
              <c:showVal val="1"/>
              <c:showCatName val="0"/>
              <c:showSerName val="0"/>
              <c:showPercent val="0"/>
              <c:showBubbleSize val="0"/>
              <c:extLst>
                <c:ext xmlns:c15="http://schemas.microsoft.com/office/drawing/2012/chart" uri="{CE6537A1-D6FC-4f65-9D91-7224C49458BB}"/>
              </c:extLst>
            </c:dLbl>
            <c:dLbl>
              <c:idx val="1"/>
              <c:tx>
                <c:rich>
                  <a:bodyPr/>
                  <a:lstStyle/>
                  <a:p>
                    <a:r>
                      <a:rPr lang="es-BO"/>
                      <a:t>90</a:t>
                    </a:r>
                  </a:p>
                </c:rich>
              </c:tx>
              <c:dLblPos val="l"/>
              <c:showLegendKey val="0"/>
              <c:showVal val="1"/>
              <c:showCatName val="0"/>
              <c:showSerName val="0"/>
              <c:showPercent val="0"/>
              <c:showBubbleSize val="0"/>
              <c:extLst>
                <c:ext xmlns:c15="http://schemas.microsoft.com/office/drawing/2012/chart" uri="{CE6537A1-D6FC-4f65-9D91-7224C49458BB}"/>
              </c:extLst>
            </c:dLbl>
            <c:dLbl>
              <c:idx val="2"/>
              <c:tx>
                <c:rich>
                  <a:bodyPr/>
                  <a:lstStyle/>
                  <a:p>
                    <a:r>
                      <a:rPr lang="es-BO"/>
                      <a:t>80</a:t>
                    </a:r>
                  </a:p>
                </c:rich>
              </c:tx>
              <c:dLblPos val="l"/>
              <c:showLegendKey val="0"/>
              <c:showVal val="1"/>
              <c:showCatName val="0"/>
              <c:showSerName val="0"/>
              <c:showPercent val="0"/>
              <c:showBubbleSize val="0"/>
              <c:extLst>
                <c:ext xmlns:c15="http://schemas.microsoft.com/office/drawing/2012/chart" uri="{CE6537A1-D6FC-4f65-9D91-7224C49458BB}"/>
              </c:extLst>
            </c:dLbl>
            <c:dLbl>
              <c:idx val="3"/>
              <c:tx>
                <c:rich>
                  <a:bodyPr/>
                  <a:lstStyle/>
                  <a:p>
                    <a:r>
                      <a:rPr lang="es-BO"/>
                      <a:t>70</a:t>
                    </a:r>
                  </a:p>
                </c:rich>
              </c:tx>
              <c:dLblPos val="l"/>
              <c:showLegendKey val="0"/>
              <c:showVal val="1"/>
              <c:showCatName val="0"/>
              <c:showSerName val="0"/>
              <c:showPercent val="0"/>
              <c:showBubbleSize val="0"/>
              <c:extLst>
                <c:ext xmlns:c15="http://schemas.microsoft.com/office/drawing/2012/chart" uri="{CE6537A1-D6FC-4f65-9D91-7224C49458BB}"/>
              </c:extLst>
            </c:dLbl>
            <c:dLbl>
              <c:idx val="4"/>
              <c:tx>
                <c:rich>
                  <a:bodyPr/>
                  <a:lstStyle/>
                  <a:p>
                    <a:r>
                      <a:rPr lang="es-BO"/>
                      <a:t>60</a:t>
                    </a:r>
                  </a:p>
                </c:rich>
              </c:tx>
              <c:dLblPos val="l"/>
              <c:showLegendKey val="0"/>
              <c:showVal val="1"/>
              <c:showCatName val="0"/>
              <c:showSerName val="0"/>
              <c:showPercent val="0"/>
              <c:showBubbleSize val="0"/>
              <c:extLst>
                <c:ext xmlns:c15="http://schemas.microsoft.com/office/drawing/2012/chart" uri="{CE6537A1-D6FC-4f65-9D91-7224C49458BB}"/>
              </c:extLst>
            </c:dLbl>
            <c:dLbl>
              <c:idx val="5"/>
              <c:tx>
                <c:rich>
                  <a:bodyPr/>
                  <a:lstStyle/>
                  <a:p>
                    <a:r>
                      <a:rPr lang="es-BO"/>
                      <a:t>50</a:t>
                    </a:r>
                  </a:p>
                </c:rich>
              </c:tx>
              <c:dLblPos val="l"/>
              <c:showLegendKey val="0"/>
              <c:showVal val="1"/>
              <c:showCatName val="0"/>
              <c:showSerName val="0"/>
              <c:showPercent val="0"/>
              <c:showBubbleSize val="0"/>
              <c:extLst>
                <c:ext xmlns:c15="http://schemas.microsoft.com/office/drawing/2012/chart" uri="{CE6537A1-D6FC-4f65-9D91-7224C49458BB}"/>
              </c:extLst>
            </c:dLbl>
            <c:dLbl>
              <c:idx val="6"/>
              <c:tx>
                <c:rich>
                  <a:bodyPr/>
                  <a:lstStyle/>
                  <a:p>
                    <a:r>
                      <a:rPr lang="es-BO"/>
                      <a:t>40</a:t>
                    </a:r>
                  </a:p>
                </c:rich>
              </c:tx>
              <c:dLblPos val="l"/>
              <c:showLegendKey val="0"/>
              <c:showVal val="1"/>
              <c:showCatName val="0"/>
              <c:showSerName val="0"/>
              <c:showPercent val="0"/>
              <c:showBubbleSize val="0"/>
              <c:extLst>
                <c:ext xmlns:c15="http://schemas.microsoft.com/office/drawing/2012/chart" uri="{CE6537A1-D6FC-4f65-9D91-7224C49458BB}"/>
              </c:extLst>
            </c:dLbl>
            <c:dLbl>
              <c:idx val="7"/>
              <c:tx>
                <c:rich>
                  <a:bodyPr/>
                  <a:lstStyle/>
                  <a:p>
                    <a:r>
                      <a:rPr lang="es-BO"/>
                      <a:t>30</a:t>
                    </a:r>
                  </a:p>
                </c:rich>
              </c:tx>
              <c:dLblPos val="l"/>
              <c:showLegendKey val="0"/>
              <c:showVal val="1"/>
              <c:showCatName val="0"/>
              <c:showSerName val="0"/>
              <c:showPercent val="0"/>
              <c:showBubbleSize val="0"/>
              <c:extLst>
                <c:ext xmlns:c15="http://schemas.microsoft.com/office/drawing/2012/chart" uri="{CE6537A1-D6FC-4f65-9D91-7224C49458BB}"/>
              </c:extLst>
            </c:dLbl>
            <c:dLbl>
              <c:idx val="8"/>
              <c:tx>
                <c:rich>
                  <a:bodyPr/>
                  <a:lstStyle/>
                  <a:p>
                    <a:r>
                      <a:rPr lang="es-BO"/>
                      <a:t>20</a:t>
                    </a:r>
                  </a:p>
                </c:rich>
              </c:tx>
              <c:dLblPos val="l"/>
              <c:showLegendKey val="0"/>
              <c:showVal val="1"/>
              <c:showCatName val="0"/>
              <c:showSerName val="0"/>
              <c:showPercent val="0"/>
              <c:showBubbleSize val="0"/>
              <c:extLst>
                <c:ext xmlns:c15="http://schemas.microsoft.com/office/drawing/2012/chart" uri="{CE6537A1-D6FC-4f65-9D91-7224C49458BB}"/>
              </c:extLst>
            </c:dLbl>
            <c:dLbl>
              <c:idx val="9"/>
              <c:tx>
                <c:rich>
                  <a:bodyPr/>
                  <a:lstStyle/>
                  <a:p>
                    <a:r>
                      <a:rPr lang="es-BO"/>
                      <a:t>10</a:t>
                    </a:r>
                  </a:p>
                </c:rich>
              </c:tx>
              <c:dLblPos val="l"/>
              <c:showLegendKey val="0"/>
              <c:showVal val="1"/>
              <c:showCatName val="0"/>
              <c:showSerName val="0"/>
              <c:showPercent val="0"/>
              <c:showBubbleSize val="0"/>
              <c:extLst>
                <c:ext xmlns:c15="http://schemas.microsoft.com/office/drawing/2012/chart" uri="{CE6537A1-D6FC-4f65-9D91-7224C49458BB}"/>
              </c:extLst>
            </c:dLbl>
            <c:dLbl>
              <c:idx val="10"/>
              <c:tx>
                <c:rich>
                  <a:bodyPr/>
                  <a:lstStyle/>
                  <a:p>
                    <a:r>
                      <a:rPr lang="es-BO"/>
                      <a:t>1</a:t>
                    </a:r>
                  </a:p>
                </c:rich>
              </c:tx>
              <c:dLblPos val="l"/>
              <c:showLegendKey val="0"/>
              <c:showVal val="1"/>
              <c:showCatName val="0"/>
              <c:showSerName val="0"/>
              <c:showPercent val="0"/>
              <c:showBubbleSize val="0"/>
              <c:extLst>
                <c:ext xmlns:c15="http://schemas.microsoft.com/office/drawing/2012/chart" uri="{CE6537A1-D6FC-4f65-9D91-7224C49458BB}"/>
              </c:extLst>
            </c:dLbl>
            <c:dLbl>
              <c:idx val="11"/>
              <c:tx>
                <c:rich>
                  <a:bodyPr/>
                  <a:lstStyle/>
                  <a:p>
                    <a:r>
                      <a:rPr lang="es-BO"/>
                      <a:t>1</a:t>
                    </a:r>
                  </a:p>
                </c:rich>
              </c:tx>
              <c:dLblPos val="l"/>
              <c:showLegendKey val="0"/>
              <c:showVal val="1"/>
              <c:showCatName val="0"/>
              <c:showSerName val="0"/>
              <c:showPercent val="0"/>
              <c:showBubbleSize val="0"/>
              <c:extLst>
                <c:ext xmlns:c15="http://schemas.microsoft.com/office/drawing/2012/chart" uri="{CE6537A1-D6FC-4f65-9D91-7224C49458BB}"/>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Probability_Scale_Data_HIDE!$C$25:$C$35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Probability_Scale_Data_HIDE!$D$25:$D$35</c:f>
              <c:numCache>
                <c:formatCode>General</c:formatCode>
                <c:ptCount val="11"/>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-2.3263478740408408</c:v>
                </c:pt>
              </c:numCache>
            </c:numRef>
          </c:yVal>
          <c:smooth val="0"/>
        </c:ser>
        <c:dLbls>
          <c:showLegendKey val="0"/>
          <c:showVal val="0"/>
          <c:showCatName val="0"/>
          <c:showSerName val="0"/>
          <c:showPercent val="0"/>
          <c:showBubbleSize val="0"/>
        </c:dLbls>
        <c:axId val="1251703568"/>
        <c:axId val="1251704128"/>
      </c:scatterChart>
      <c:scatterChart>
        <c:scatterStyle val="lineMarker"/>
        <c:varyColors val="0"/>
        <c:ser>
          <c:idx val="1"/>
          <c:order val="1"/>
          <c:tx>
            <c:strRef>
              <c:f>Forecast_Variables_CB!$K$3:$K$5</c:f>
              <c:strCache>
                <c:ptCount val="3"/>
                <c:pt idx="0">
                  <c:v>Gas</c:v>
                </c:pt>
                <c:pt idx="1">
                  <c:v>Reserves</c:v>
                </c:pt>
                <c:pt idx="2">
                  <c:v>[BCF]</c:v>
                </c:pt>
              </c:strCache>
            </c:strRef>
          </c:tx>
          <c:spPr>
            <a:ln w="28575">
              <a:noFill/>
            </a:ln>
          </c:spPr>
          <c:marker>
            <c:symbol val="circle"/>
            <c:size val="7"/>
            <c:spPr>
              <a:solidFill>
                <a:srgbClr val="FFC000"/>
              </a:solidFill>
              <a:ln>
                <a:solidFill>
                  <a:schemeClr val="tx1"/>
                </a:solidFill>
              </a:ln>
            </c:spPr>
          </c:marker>
          <c:xVal>
            <c:numRef>
              <c:f>Forecast_Variables_CB!$K$7:$K$17</c:f>
              <c:numCache>
                <c:formatCode>0.00;\-0.00;"--"</c:formatCode>
                <c:ptCount val="11"/>
                <c:pt idx="0">
                  <c:v>100.83558145279493</c:v>
                </c:pt>
                <c:pt idx="1">
                  <c:v>221.43609104814865</c:v>
                </c:pt>
                <c:pt idx="2">
                  <c:v>296.34697767107394</c:v>
                </c:pt>
                <c:pt idx="3">
                  <c:v>356.97149357575012</c:v>
                </c:pt>
                <c:pt idx="4">
                  <c:v>414.52933968568658</c:v>
                </c:pt>
                <c:pt idx="5">
                  <c:v>474.63636146386949</c:v>
                </c:pt>
                <c:pt idx="6">
                  <c:v>541.21924113997591</c:v>
                </c:pt>
                <c:pt idx="7">
                  <c:v>619.46851058165589</c:v>
                </c:pt>
                <c:pt idx="8">
                  <c:v>715.86079711387151</c:v>
                </c:pt>
                <c:pt idx="9">
                  <c:v>857.38513984826875</c:v>
                </c:pt>
                <c:pt idx="10">
                  <c:v>1239.447873293444</c:v>
                </c:pt>
              </c:numCache>
            </c:numRef>
          </c:xVal>
          <c:yVal>
            <c:numRef>
              <c:f>Probability_Scale_Data_HIDE!$D$25:$D$35</c:f>
              <c:numCache>
                <c:formatCode>General</c:formatCode>
                <c:ptCount val="11"/>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-2.3263478740408408</c:v>
                </c:pt>
              </c:numCache>
            </c:numRef>
          </c:yVal>
          <c:smooth val="0"/>
        </c:ser>
        <c:ser>
          <c:idx val="2"/>
          <c:order val="2"/>
          <c:tx>
            <c:strRef>
              <c:f>Probability_Scale_Data_HIDE!$C$48</c:f>
              <c:strCache>
                <c:ptCount val="1"/>
                <c:pt idx="0">
                  <c:v>Pmean: 514.3</c:v>
                </c:pt>
              </c:strCache>
            </c:strRef>
          </c:tx>
          <c:spPr>
            <a:ln w="28575">
              <a:noFill/>
            </a:ln>
          </c:spPr>
          <c:marker>
            <c:symbol val="square"/>
            <c:size val="6"/>
            <c:spPr>
              <a:solidFill>
                <a:schemeClr val="tx1"/>
              </a:solidFill>
              <a:ln>
                <a:solidFill>
                  <a:schemeClr val="tx1"/>
                </a:solidFill>
              </a:ln>
            </c:spPr>
          </c:marker>
          <c:dLbls>
            <c:dLbl>
              <c:idx val="0"/>
              <c:layout>
                <c:manualLayout>
                  <c:x val="-0.16703299593891083"/>
                  <c:y val="-3.1945791399241669E-2"/>
                </c:manualLayout>
              </c:layout>
              <c:showLegendKey val="0"/>
              <c:showVal val="0"/>
              <c:showCatName val="0"/>
              <c:showSerName val="1"/>
              <c:showPercent val="0"/>
              <c:showBubbleSize val="0"/>
              <c:extLst>
                <c:ext xmlns:c15="http://schemas.microsoft.com/office/drawing/2012/chart" uri="{CE6537A1-D6FC-4f65-9D91-7224C49458BB}"/>
              </c:extLst>
            </c:dLbl>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900">
                    <a:solidFill>
                      <a:schemeClr val="dk1"/>
                    </a:solidFill>
                    <a:latin typeface="+mn-lt"/>
                    <a:ea typeface="+mn-ea"/>
                    <a:cs typeface="+mn-cs"/>
                  </a:defRPr>
                </a:pPr>
                <a:endParaRPr lang="es-B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Probability_Scale_Data_HIDE!$C$40</c:f>
              <c:numCache>
                <c:formatCode>0.0;\-0.0;"--"</c:formatCode>
                <c:ptCount val="1"/>
                <c:pt idx="0">
                  <c:v>514.28332683522501</c:v>
                </c:pt>
              </c:numCache>
            </c:numRef>
          </c:xVal>
          <c:yVal>
            <c:numRef>
              <c:f>Probability_Scale_Data_HIDE!$C$41</c:f>
              <c:numCache>
                <c:formatCode>General</c:formatCode>
                <c:ptCount val="1"/>
                <c:pt idx="0">
                  <c:v>-0.28539618830240165</c:v>
                </c:pt>
              </c:numCache>
            </c:numRef>
          </c:yVal>
          <c:smooth val="0"/>
        </c:ser>
        <c:ser>
          <c:idx val="3"/>
          <c:order val="3"/>
          <c:tx>
            <c:strRef>
              <c:f>Probability_Scale_Data_HIDE!$C$49</c:f>
              <c:strCache>
                <c:ptCount val="1"/>
                <c:pt idx="0">
                  <c:v>P50: 474.6</c:v>
                </c:pt>
              </c:strCache>
            </c:strRef>
          </c:tx>
          <c:spPr>
            <a:ln w="12700">
              <a:solidFill>
                <a:srgbClr val="0000FF"/>
              </a:solidFill>
            </a:ln>
          </c:spPr>
          <c:marker>
            <c:symbol val="diamond"/>
            <c:size val="6"/>
            <c:spPr>
              <a:solidFill>
                <a:srgbClr val="0000FF"/>
              </a:solidFill>
              <a:ln>
                <a:solidFill>
                  <a:srgbClr val="0000FF"/>
                </a:solidFill>
              </a:ln>
            </c:spPr>
          </c:marker>
          <c:dPt>
            <c:idx val="0"/>
            <c:bubble3D val="0"/>
          </c:dPt>
          <c:dLbls>
            <c:dLbl>
              <c:idx val="1"/>
              <c:delete val="1"/>
              <c:extLst>
                <c:ext xmlns:c15="http://schemas.microsoft.com/office/drawing/2012/chart" uri="{CE6537A1-D6FC-4f65-9D91-7224C49458BB}"/>
              </c:extLst>
            </c:dLbl>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atMod val="105000"/>
                  </a:schemeClr>
                </a:solidFill>
                <a:prstDash val="solid"/>
              </a:ln>
              <a:effectLst>
                <a:outerShdw blurRad="40000" dist="20000" dir="5400000" rotWithShape="0">
                  <a:srgbClr val="000000">
                    <a:alpha val="38000"/>
                  </a:srgbClr>
                </a:outerShdw>
              </a:effectLst>
            </c:spPr>
            <c:txPr>
              <a:bodyPr/>
              <a:lstStyle/>
              <a:p>
                <a:pPr>
                  <a:defRPr sz="900">
                    <a:solidFill>
                      <a:schemeClr val="dk1"/>
                    </a:solidFill>
                    <a:latin typeface="+mn-lt"/>
                    <a:ea typeface="+mn-ea"/>
                    <a:cs typeface="+mn-cs"/>
                  </a:defRPr>
                </a:pPr>
                <a:endParaRPr lang="es-BO"/>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Probability_Scale_Data_HIDE!$E$49:$E$50</c:f>
              <c:numCache>
                <c:formatCode>0.0;\-0.0;"--"</c:formatCode>
                <c:ptCount val="2"/>
                <c:pt idx="0">
                  <c:v>1</c:v>
                </c:pt>
                <c:pt idx="1">
                  <c:v>474.63636146386949</c:v>
                </c:pt>
              </c:numCache>
            </c:numRef>
          </c:xVal>
          <c:yVal>
            <c:numRef>
              <c:f>Probability_Scale_Data_HIDE!$F$49:$F$50</c:f>
              <c:numCache>
                <c:formatCode>General</c:formatCode>
                <c:ptCount val="2"/>
                <c:pt idx="0">
                  <c:v>0</c:v>
                </c:pt>
                <c:pt idx="1">
                  <c:v>0</c:v>
                </c:pt>
              </c:numCache>
            </c:numRef>
          </c:yVal>
          <c:smooth val="0"/>
        </c:ser>
        <c:ser>
          <c:idx val="4"/>
          <c:order val="4"/>
          <c:tx>
            <c:strRef>
              <c:f>Probability_Scale_Data_HIDE!$C$50</c:f>
              <c:strCache>
                <c:ptCount val="1"/>
                <c:pt idx="0">
                  <c:v>P90: 221.4</c:v>
                </c:pt>
              </c:strCache>
            </c:strRef>
          </c:tx>
          <c:spPr>
            <a:ln w="28575">
              <a:noFill/>
            </a:ln>
          </c:spPr>
          <c:marker>
            <c:symbol val="none"/>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Probability_Scale_Data_HIDE!$F$26</c:f>
              <c:numCache>
                <c:formatCode>0.0;\-0.0;"--"</c:formatCode>
                <c:ptCount val="1"/>
                <c:pt idx="0">
                  <c:v>221.43609104814865</c:v>
                </c:pt>
              </c:numCache>
            </c:numRef>
          </c:xVal>
          <c:yVal>
            <c:numRef>
              <c:f>Probability_Scale_Data_HIDE!$D$26</c:f>
              <c:numCache>
                <c:formatCode>General</c:formatCode>
                <c:ptCount val="1"/>
                <c:pt idx="0">
                  <c:v>1.2815515655446006</c:v>
                </c:pt>
              </c:numCache>
            </c:numRef>
          </c:yVal>
          <c:smooth val="0"/>
        </c:ser>
        <c:ser>
          <c:idx val="5"/>
          <c:order val="5"/>
          <c:tx>
            <c:strRef>
              <c:f>Probability_Scale_Data_HIDE!$C$51</c:f>
              <c:strCache>
                <c:ptCount val="1"/>
                <c:pt idx="0">
                  <c:v>P99: 100.8</c:v>
                </c:pt>
              </c:strCache>
            </c:strRef>
          </c:tx>
          <c:spPr>
            <a:ln w="12700">
              <a:solidFill>
                <a:srgbClr val="0000FF"/>
              </a:solidFill>
            </a:ln>
          </c:spPr>
          <c:marker>
            <c:symbol val="diamond"/>
            <c:size val="5"/>
            <c:spPr>
              <a:solidFill>
                <a:srgbClr val="0000FF"/>
              </a:solidFill>
              <a:ln>
                <a:solidFill>
                  <a:srgbClr val="0000FF"/>
                </a:solidFill>
              </a:ln>
            </c:spPr>
          </c:marker>
          <c:dLbls>
            <c:dLbl>
              <c:idx val="1"/>
              <c:delete val="1"/>
              <c:extLst>
                <c:ext xmlns:c15="http://schemas.microsoft.com/office/drawing/2012/chart" uri="{CE6537A1-D6FC-4f65-9D91-7224C49458BB}"/>
              </c:extLst>
            </c:dLbl>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Probability_Scale_Data_HIDE!$E$58:$E$59</c:f>
              <c:numCache>
                <c:formatCode>0.0;\-0.0;"--"</c:formatCode>
                <c:ptCount val="2"/>
                <c:pt idx="0">
                  <c:v>1</c:v>
                </c:pt>
                <c:pt idx="1">
                  <c:v>100.83558145279493</c:v>
                </c:pt>
              </c:numCache>
            </c:numRef>
          </c:xVal>
          <c:yVal>
            <c:numRef>
              <c:f>Probability_Scale_Data_HIDE!$F$58:$F$59</c:f>
              <c:numCache>
                <c:formatCode>General</c:formatCode>
                <c:ptCount val="2"/>
                <c:pt idx="0">
                  <c:v>2.3263478740408408</c:v>
                </c:pt>
                <c:pt idx="1">
                  <c:v>2.3263478740408408</c:v>
                </c:pt>
              </c:numCache>
            </c:numRef>
          </c:yVal>
          <c:smooth val="0"/>
        </c:ser>
        <c:ser>
          <c:idx val="6"/>
          <c:order val="6"/>
          <c:tx>
            <c:strRef>
              <c:f>Probability_Scale_Data_HIDE!$C$52</c:f>
              <c:strCache>
                <c:ptCount val="1"/>
                <c:pt idx="0">
                  <c:v>P10: 857.4</c:v>
                </c:pt>
              </c:strCache>
            </c:strRef>
          </c:tx>
          <c:spPr>
            <a:ln w="28575">
              <a:noFill/>
            </a:ln>
          </c:spPr>
          <c:marker>
            <c:symbol val="none"/>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Probability_Scale_Data_HIDE!$F$34</c:f>
              <c:numCache>
                <c:formatCode>0.0;\-0.0;"--"</c:formatCode>
                <c:ptCount val="1"/>
                <c:pt idx="0">
                  <c:v>857.38513984826875</c:v>
                </c:pt>
              </c:numCache>
            </c:numRef>
          </c:xVal>
          <c:yVal>
            <c:numRef>
              <c:f>Probability_Scale_Data_HIDE!$D$34</c:f>
              <c:numCache>
                <c:formatCode>General</c:formatCode>
                <c:ptCount val="1"/>
                <c:pt idx="0">
                  <c:v>-1.2815515655446006</c:v>
                </c:pt>
              </c:numCache>
            </c:numRef>
          </c:yVal>
          <c:smooth val="0"/>
        </c:ser>
        <c:ser>
          <c:idx val="7"/>
          <c:order val="7"/>
          <c:tx>
            <c:strRef>
              <c:f>Probability_Scale_Data_HIDE!$C$53</c:f>
              <c:strCache>
                <c:ptCount val="1"/>
                <c:pt idx="0">
                  <c:v>P1: 1239.4</c:v>
                </c:pt>
              </c:strCache>
            </c:strRef>
          </c:tx>
          <c:spPr>
            <a:ln w="12700">
              <a:solidFill>
                <a:srgbClr val="0000FF"/>
              </a:solidFill>
            </a:ln>
          </c:spPr>
          <c:marker>
            <c:symbol val="diamond"/>
            <c:size val="5"/>
            <c:spPr>
              <a:solidFill>
                <a:srgbClr val="0000FF"/>
              </a:solidFill>
              <a:ln>
                <a:solidFill>
                  <a:srgbClr val="0000FF"/>
                </a:solidFill>
              </a:ln>
            </c:spPr>
          </c:marker>
          <c:dLbls>
            <c:dLbl>
              <c:idx val="1"/>
              <c:delete val="1"/>
              <c:extLst>
                <c:ext xmlns:c15="http://schemas.microsoft.com/office/drawing/2012/chart" uri="{CE6537A1-D6FC-4f65-9D91-7224C49458BB}"/>
              </c:extLst>
            </c:dLbl>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Probability_Scale_Data_HIDE!$E$54:$E$55</c:f>
              <c:numCache>
                <c:formatCode>0.0;\-0.0;"--"</c:formatCode>
                <c:ptCount val="2"/>
                <c:pt idx="0">
                  <c:v>1</c:v>
                </c:pt>
                <c:pt idx="1">
                  <c:v>1239.447873293444</c:v>
                </c:pt>
              </c:numCache>
            </c:numRef>
          </c:xVal>
          <c:yVal>
            <c:numRef>
              <c:f>Probability_Scale_Data_HIDE!$F$54:$F$55</c:f>
              <c:numCache>
                <c:formatCode>General</c:formatCode>
                <c:ptCount val="2"/>
                <c:pt idx="0">
                  <c:v>-2.3263478740408408</c:v>
                </c:pt>
                <c:pt idx="1">
                  <c:v>-2.3263478740408408</c:v>
                </c:pt>
              </c:numCache>
            </c:numRef>
          </c:yVal>
          <c:smooth val="0"/>
        </c:ser>
        <c:dLbls>
          <c:showLegendKey val="0"/>
          <c:showVal val="0"/>
          <c:showCatName val="0"/>
          <c:showSerName val="0"/>
          <c:showPercent val="0"/>
          <c:showBubbleSize val="0"/>
        </c:dLbls>
        <c:axId val="1251705248"/>
        <c:axId val="1251704688"/>
      </c:scatterChart>
      <c:valAx>
        <c:axId val="1251703568"/>
        <c:scaling>
          <c:orientation val="minMax"/>
          <c:max val="10000"/>
        </c:scaling>
        <c:delete val="0"/>
        <c:axPos val="t"/>
        <c:title>
          <c:tx>
            <c:rich>
              <a:bodyPr/>
              <a:lstStyle/>
              <a:p>
                <a:pPr>
                  <a:defRPr/>
                </a:pPr>
                <a:r>
                  <a:rPr lang="es-BO"/>
                  <a:t>Gas Reserves, BCF</a:t>
                </a:r>
              </a:p>
            </c:rich>
          </c:tx>
          <c:layout>
            <c:manualLayout>
              <c:xMode val="edge"/>
              <c:yMode val="edge"/>
              <c:x val="0.45063614482225872"/>
              <c:y val="0.94884485863511114"/>
            </c:manualLayout>
          </c:layout>
          <c:overlay val="0"/>
        </c:title>
        <c:numFmt formatCode="General" sourceLinked="1"/>
        <c:majorTickMark val="none"/>
        <c:minorTickMark val="none"/>
        <c:tickLblPos val="none"/>
        <c:spPr>
          <a:ln>
            <a:solidFill>
              <a:schemeClr val="tx1"/>
            </a:solidFill>
          </a:ln>
        </c:spPr>
        <c:crossAx val="1251704128"/>
        <c:crossesAt val="2.5"/>
        <c:crossBetween val="midCat"/>
      </c:valAx>
      <c:valAx>
        <c:axId val="1251704128"/>
        <c:scaling>
          <c:orientation val="maxMin"/>
          <c:max val="2.5"/>
          <c:min val="-2.5"/>
        </c:scaling>
        <c:delete val="0"/>
        <c:axPos val="l"/>
        <c:title>
          <c:tx>
            <c:rich>
              <a:bodyPr rot="-5400000" vert="horz"/>
              <a:lstStyle/>
              <a:p>
                <a:pPr>
                  <a:defRPr b="1">
                    <a:latin typeface="+mn-lt"/>
                    <a:cs typeface="Arial" pitchFamily="34" charset="0"/>
                  </a:defRPr>
                </a:pPr>
                <a:r>
                  <a:rPr lang="es-BO" b="1">
                    <a:latin typeface="+mn-lt"/>
                    <a:cs typeface="Arial" pitchFamily="34" charset="0"/>
                  </a:rPr>
                  <a:t>Cumulative Probability</a:t>
                </a:r>
              </a:p>
            </c:rich>
          </c:tx>
          <c:layout>
            <c:manualLayout>
              <c:xMode val="edge"/>
              <c:yMode val="edge"/>
              <c:x val="1.2827823766898297E-2"/>
              <c:y val="0.29598850819323252"/>
            </c:manualLayout>
          </c:layout>
          <c:overlay val="0"/>
        </c:title>
        <c:numFmt formatCode="General" sourceLinked="1"/>
        <c:majorTickMark val="none"/>
        <c:minorTickMark val="none"/>
        <c:tickLblPos val="none"/>
        <c:spPr>
          <a:ln>
            <a:solidFill>
              <a:schemeClr val="tx1"/>
            </a:solidFill>
          </a:ln>
        </c:spPr>
        <c:crossAx val="1251703568"/>
        <c:crosses val="autoZero"/>
        <c:crossBetween val="midCat"/>
      </c:valAx>
      <c:valAx>
        <c:axId val="1251704688"/>
        <c:scaling>
          <c:orientation val="maxMin"/>
          <c:max val="2.5"/>
          <c:min val="-2.5"/>
        </c:scaling>
        <c:delete val="0"/>
        <c:axPos val="r"/>
        <c:numFmt formatCode="General" sourceLinked="1"/>
        <c:majorTickMark val="none"/>
        <c:minorTickMark val="none"/>
        <c:tickLblPos val="none"/>
        <c:spPr>
          <a:ln>
            <a:solidFill>
              <a:schemeClr val="tx1"/>
            </a:solidFill>
          </a:ln>
        </c:spPr>
        <c:crossAx val="1251705248"/>
        <c:crosses val="max"/>
        <c:crossBetween val="midCat"/>
      </c:valAx>
      <c:valAx>
        <c:axId val="1251705248"/>
        <c:scaling>
          <c:logBase val="10"/>
          <c:orientation val="minMax"/>
          <c:min val="1"/>
        </c:scaling>
        <c:delete val="0"/>
        <c:axPos val="b"/>
        <c:majorGridlines/>
        <c:minorGridlines>
          <c:spPr>
            <a:ln>
              <a:solidFill>
                <a:schemeClr val="bg1">
                  <a:lumMod val="75000"/>
                </a:schemeClr>
              </a:solidFill>
              <a:prstDash val="dash"/>
            </a:ln>
          </c:spPr>
        </c:minorGridlines>
        <c:numFmt formatCode="#,##0" sourceLinked="0"/>
        <c:majorTickMark val="out"/>
        <c:minorTickMark val="none"/>
        <c:tickLblPos val="nextTo"/>
        <c:crossAx val="1251704688"/>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tx1"/>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75001349407595241"/>
        </c:manualLayout>
      </c:layout>
      <c:scatterChart>
        <c:scatterStyle val="lineMarker"/>
        <c:varyColors val="0"/>
        <c:ser>
          <c:idx val="0"/>
          <c:order val="0"/>
          <c:tx>
            <c:strRef>
              <c:f>'Fluid Properties'!$J$38</c:f>
              <c:strCache>
                <c:ptCount val="1"/>
                <c:pt idx="0">
                  <c:v>Factor-z</c:v>
                </c:pt>
              </c:strCache>
            </c:strRef>
          </c:tx>
          <c:spPr>
            <a:ln w="9525" cap="rnd">
              <a:solidFill>
                <a:srgbClr val="C00000"/>
              </a:solidFill>
              <a:round/>
            </a:ln>
            <a:effectLst/>
          </c:spPr>
          <c:marker>
            <c:symbol val="circle"/>
            <c:size val="4"/>
            <c:spPr>
              <a:solidFill>
                <a:srgbClr val="FFC000"/>
              </a:solidFill>
              <a:ln w="9525">
                <a:solidFill>
                  <a:schemeClr val="tx1"/>
                </a:solidFill>
              </a:ln>
              <a:effectLst/>
            </c:spPr>
          </c:marker>
          <c:xVal>
            <c:numRef>
              <c:f>'Fluid Properties'!$I$40:$I$1000</c:f>
              <c:numCache>
                <c:formatCode>General</c:formatCode>
                <c:ptCount val="961"/>
                <c:pt idx="0">
                  <c:v>100</c:v>
                </c:pt>
                <c:pt idx="1">
                  <c:v>183.3</c:v>
                </c:pt>
                <c:pt idx="2">
                  <c:v>266.60000000000002</c:v>
                </c:pt>
                <c:pt idx="3">
                  <c:v>349.9</c:v>
                </c:pt>
                <c:pt idx="4">
                  <c:v>433.1</c:v>
                </c:pt>
                <c:pt idx="5">
                  <c:v>516.4</c:v>
                </c:pt>
                <c:pt idx="6">
                  <c:v>599.70000000000005</c:v>
                </c:pt>
                <c:pt idx="7">
                  <c:v>683</c:v>
                </c:pt>
                <c:pt idx="8">
                  <c:v>766.3</c:v>
                </c:pt>
                <c:pt idx="9">
                  <c:v>849.6</c:v>
                </c:pt>
                <c:pt idx="10">
                  <c:v>932.8</c:v>
                </c:pt>
                <c:pt idx="11">
                  <c:v>1016.1</c:v>
                </c:pt>
                <c:pt idx="12">
                  <c:v>1099.4000000000001</c:v>
                </c:pt>
                <c:pt idx="13">
                  <c:v>1182.7</c:v>
                </c:pt>
                <c:pt idx="14">
                  <c:v>1266</c:v>
                </c:pt>
                <c:pt idx="15">
                  <c:v>1349.3</c:v>
                </c:pt>
                <c:pt idx="16">
                  <c:v>1432.5</c:v>
                </c:pt>
                <c:pt idx="17">
                  <c:v>1515.8</c:v>
                </c:pt>
                <c:pt idx="18">
                  <c:v>1599.1</c:v>
                </c:pt>
                <c:pt idx="19">
                  <c:v>1682.4</c:v>
                </c:pt>
                <c:pt idx="20">
                  <c:v>1765.7</c:v>
                </c:pt>
                <c:pt idx="21">
                  <c:v>1849</c:v>
                </c:pt>
                <c:pt idx="22">
                  <c:v>1932.2</c:v>
                </c:pt>
                <c:pt idx="23">
                  <c:v>2015.5</c:v>
                </c:pt>
                <c:pt idx="24">
                  <c:v>2098.8000000000002</c:v>
                </c:pt>
                <c:pt idx="25">
                  <c:v>2182.1</c:v>
                </c:pt>
                <c:pt idx="26">
                  <c:v>2265.4</c:v>
                </c:pt>
                <c:pt idx="27">
                  <c:v>2348.6999999999998</c:v>
                </c:pt>
                <c:pt idx="28">
                  <c:v>2431.9</c:v>
                </c:pt>
                <c:pt idx="29">
                  <c:v>2515.1999999999998</c:v>
                </c:pt>
                <c:pt idx="30">
                  <c:v>2598.5</c:v>
                </c:pt>
                <c:pt idx="31">
                  <c:v>2681.8</c:v>
                </c:pt>
                <c:pt idx="32">
                  <c:v>2765.1</c:v>
                </c:pt>
                <c:pt idx="33">
                  <c:v>2848.4</c:v>
                </c:pt>
                <c:pt idx="34">
                  <c:v>2931.6</c:v>
                </c:pt>
                <c:pt idx="35">
                  <c:v>3014.9</c:v>
                </c:pt>
                <c:pt idx="36">
                  <c:v>3098.2</c:v>
                </c:pt>
                <c:pt idx="37">
                  <c:v>3181.5</c:v>
                </c:pt>
                <c:pt idx="38">
                  <c:v>3264.8</c:v>
                </c:pt>
                <c:pt idx="39">
                  <c:v>3348.1</c:v>
                </c:pt>
                <c:pt idx="40">
                  <c:v>3431.3</c:v>
                </c:pt>
                <c:pt idx="41">
                  <c:v>3514.6</c:v>
                </c:pt>
                <c:pt idx="42">
                  <c:v>3597.9</c:v>
                </c:pt>
                <c:pt idx="43">
                  <c:v>3681.2</c:v>
                </c:pt>
                <c:pt idx="44">
                  <c:v>3764.5</c:v>
                </c:pt>
                <c:pt idx="45">
                  <c:v>3847.8</c:v>
                </c:pt>
                <c:pt idx="46">
                  <c:v>3931</c:v>
                </c:pt>
                <c:pt idx="47">
                  <c:v>4014.3</c:v>
                </c:pt>
                <c:pt idx="48">
                  <c:v>4097.6000000000004</c:v>
                </c:pt>
                <c:pt idx="49">
                  <c:v>4180.8999999999996</c:v>
                </c:pt>
                <c:pt idx="50">
                  <c:v>4264.2</c:v>
                </c:pt>
                <c:pt idx="51">
                  <c:v>4347.5</c:v>
                </c:pt>
                <c:pt idx="52">
                  <c:v>4430.7</c:v>
                </c:pt>
                <c:pt idx="53">
                  <c:v>4514</c:v>
                </c:pt>
                <c:pt idx="54">
                  <c:v>4597.3</c:v>
                </c:pt>
                <c:pt idx="55">
                  <c:v>4680.6000000000004</c:v>
                </c:pt>
                <c:pt idx="56">
                  <c:v>4763.8999999999996</c:v>
                </c:pt>
                <c:pt idx="57">
                  <c:v>4847.2</c:v>
                </c:pt>
                <c:pt idx="58">
                  <c:v>4930.3999999999996</c:v>
                </c:pt>
                <c:pt idx="59">
                  <c:v>5013.7</c:v>
                </c:pt>
                <c:pt idx="60">
                  <c:v>5097</c:v>
                </c:pt>
                <c:pt idx="61">
                  <c:v>5180.3</c:v>
                </c:pt>
                <c:pt idx="62">
                  <c:v>5263.6</c:v>
                </c:pt>
                <c:pt idx="63">
                  <c:v>5346.9</c:v>
                </c:pt>
                <c:pt idx="64">
                  <c:v>5430.1</c:v>
                </c:pt>
                <c:pt idx="65">
                  <c:v>5513.4</c:v>
                </c:pt>
                <c:pt idx="66">
                  <c:v>5596.7</c:v>
                </c:pt>
                <c:pt idx="67">
                  <c:v>5680</c:v>
                </c:pt>
                <c:pt idx="68">
                  <c:v>5763.3</c:v>
                </c:pt>
                <c:pt idx="69">
                  <c:v>5846.6</c:v>
                </c:pt>
                <c:pt idx="70">
                  <c:v>5929.8</c:v>
                </c:pt>
                <c:pt idx="71">
                  <c:v>6013.1</c:v>
                </c:pt>
                <c:pt idx="72">
                  <c:v>6096.4</c:v>
                </c:pt>
                <c:pt idx="73">
                  <c:v>6179.7</c:v>
                </c:pt>
                <c:pt idx="74">
                  <c:v>6263</c:v>
                </c:pt>
                <c:pt idx="75">
                  <c:v>6346.3</c:v>
                </c:pt>
                <c:pt idx="76">
                  <c:v>6429.5</c:v>
                </c:pt>
                <c:pt idx="77">
                  <c:v>6512.8</c:v>
                </c:pt>
                <c:pt idx="78">
                  <c:v>6596.1</c:v>
                </c:pt>
                <c:pt idx="79">
                  <c:v>6679.4</c:v>
                </c:pt>
                <c:pt idx="80">
                  <c:v>6762.7</c:v>
                </c:pt>
                <c:pt idx="81">
                  <c:v>6846</c:v>
                </c:pt>
                <c:pt idx="82">
                  <c:v>6929.2</c:v>
                </c:pt>
                <c:pt idx="83">
                  <c:v>7012.5</c:v>
                </c:pt>
                <c:pt idx="84">
                  <c:v>7095.8</c:v>
                </c:pt>
                <c:pt idx="85">
                  <c:v>7179.1</c:v>
                </c:pt>
                <c:pt idx="86">
                  <c:v>7262.4</c:v>
                </c:pt>
                <c:pt idx="87">
                  <c:v>7345.7</c:v>
                </c:pt>
                <c:pt idx="88">
                  <c:v>7428.9</c:v>
                </c:pt>
                <c:pt idx="89">
                  <c:v>7512.2</c:v>
                </c:pt>
                <c:pt idx="90">
                  <c:v>7595.5</c:v>
                </c:pt>
                <c:pt idx="91">
                  <c:v>7678.8</c:v>
                </c:pt>
                <c:pt idx="92">
                  <c:v>7762.1</c:v>
                </c:pt>
                <c:pt idx="93">
                  <c:v>7845.4</c:v>
                </c:pt>
                <c:pt idx="94">
                  <c:v>7928.6</c:v>
                </c:pt>
                <c:pt idx="95">
                  <c:v>8011.9</c:v>
                </c:pt>
                <c:pt idx="96">
                  <c:v>8095.2</c:v>
                </c:pt>
                <c:pt idx="97">
                  <c:v>8178.5</c:v>
                </c:pt>
                <c:pt idx="98">
                  <c:v>8261.7999999999993</c:v>
                </c:pt>
                <c:pt idx="99">
                  <c:v>8345.1</c:v>
                </c:pt>
                <c:pt idx="100">
                  <c:v>8428.2999999999993</c:v>
                </c:pt>
                <c:pt idx="101">
                  <c:v>8511.6</c:v>
                </c:pt>
                <c:pt idx="102">
                  <c:v>8594.9</c:v>
                </c:pt>
                <c:pt idx="103">
                  <c:v>8678.2000000000007</c:v>
                </c:pt>
                <c:pt idx="104">
                  <c:v>8761.5</c:v>
                </c:pt>
                <c:pt idx="105">
                  <c:v>8844.7999999999993</c:v>
                </c:pt>
                <c:pt idx="106">
                  <c:v>8928</c:v>
                </c:pt>
                <c:pt idx="107">
                  <c:v>9011.2999999999993</c:v>
                </c:pt>
                <c:pt idx="108">
                  <c:v>9094.6</c:v>
                </c:pt>
                <c:pt idx="109">
                  <c:v>9177.9</c:v>
                </c:pt>
                <c:pt idx="110">
                  <c:v>9261.2000000000007</c:v>
                </c:pt>
                <c:pt idx="111">
                  <c:v>9344.5</c:v>
                </c:pt>
                <c:pt idx="112">
                  <c:v>9427.7999999999993</c:v>
                </c:pt>
                <c:pt idx="113">
                  <c:v>9511</c:v>
                </c:pt>
                <c:pt idx="114">
                  <c:v>9594.2999999999993</c:v>
                </c:pt>
                <c:pt idx="115">
                  <c:v>9677.6</c:v>
                </c:pt>
                <c:pt idx="116">
                  <c:v>9760.9</c:v>
                </c:pt>
                <c:pt idx="117">
                  <c:v>9844.2000000000007</c:v>
                </c:pt>
                <c:pt idx="118">
                  <c:v>9927.5</c:v>
                </c:pt>
                <c:pt idx="119">
                  <c:v>10010.700000000001</c:v>
                </c:pt>
                <c:pt idx="120">
                  <c:v>10094</c:v>
                </c:pt>
                <c:pt idx="121">
                  <c:v>10177.299999999999</c:v>
                </c:pt>
                <c:pt idx="122">
                  <c:v>10260.6</c:v>
                </c:pt>
                <c:pt idx="123">
                  <c:v>10343.9</c:v>
                </c:pt>
                <c:pt idx="124">
                  <c:v>10427.200000000001</c:v>
                </c:pt>
                <c:pt idx="125">
                  <c:v>10510.4</c:v>
                </c:pt>
                <c:pt idx="126">
                  <c:v>10593.7</c:v>
                </c:pt>
                <c:pt idx="127">
                  <c:v>10677</c:v>
                </c:pt>
                <c:pt idx="128">
                  <c:v>10760.3</c:v>
                </c:pt>
                <c:pt idx="129">
                  <c:v>10843.6</c:v>
                </c:pt>
                <c:pt idx="130">
                  <c:v>10926.9</c:v>
                </c:pt>
                <c:pt idx="131">
                  <c:v>11010.1</c:v>
                </c:pt>
                <c:pt idx="132">
                  <c:v>11093.4</c:v>
                </c:pt>
                <c:pt idx="133">
                  <c:v>11176.7</c:v>
                </c:pt>
                <c:pt idx="134">
                  <c:v>11260</c:v>
                </c:pt>
                <c:pt idx="135">
                  <c:v>11343.3</c:v>
                </c:pt>
                <c:pt idx="136">
                  <c:v>11426.6</c:v>
                </c:pt>
                <c:pt idx="137">
                  <c:v>11509.8</c:v>
                </c:pt>
                <c:pt idx="138">
                  <c:v>11593.1</c:v>
                </c:pt>
                <c:pt idx="139">
                  <c:v>11676.4</c:v>
                </c:pt>
              </c:numCache>
            </c:numRef>
          </c:xVal>
          <c:yVal>
            <c:numRef>
              <c:f>'Fluid Properties'!$J$40:$J$1000</c:f>
              <c:numCache>
                <c:formatCode>0.0000</c:formatCode>
                <c:ptCount val="961"/>
                <c:pt idx="0">
                  <c:v>0.99369627009143446</c:v>
                </c:pt>
                <c:pt idx="1">
                  <c:v>0.98866551102949451</c:v>
                </c:pt>
                <c:pt idx="2">
                  <c:v>0.98383732269731827</c:v>
                </c:pt>
                <c:pt idx="3">
                  <c:v>0.9792145825387264</c:v>
                </c:pt>
                <c:pt idx="4">
                  <c:v>0.97479988977568</c:v>
                </c:pt>
                <c:pt idx="5">
                  <c:v>0.97059554558949745</c:v>
                </c:pt>
                <c:pt idx="6">
                  <c:v>0.96660353505020369</c:v>
                </c:pt>
                <c:pt idx="7">
                  <c:v>0.96282551110468417</c:v>
                </c:pt>
                <c:pt idx="8">
                  <c:v>0.95926278090848438</c:v>
                </c:pt>
                <c:pt idx="9">
                  <c:v>0.95591629475149631</c:v>
                </c:pt>
                <c:pt idx="10">
                  <c:v>0.9527866377851324</c:v>
                </c:pt>
                <c:pt idx="11">
                  <c:v>0.94987402470912674</c:v>
                </c:pt>
                <c:pt idx="12">
                  <c:v>0.94717829752127836</c:v>
                </c:pt>
                <c:pt idx="13">
                  <c:v>0.94469892637510977</c:v>
                </c:pt>
                <c:pt idx="14">
                  <c:v>0.94243501353048198</c:v>
                </c:pt>
                <c:pt idx="15">
                  <c:v>0.94038530032280643</c:v>
                </c:pt>
                <c:pt idx="16">
                  <c:v>0.93854817701961046</c:v>
                </c:pt>
                <c:pt idx="17">
                  <c:v>0.93692169538079506</c:v>
                </c:pt>
                <c:pt idx="18">
                  <c:v>0.93550358369259246</c:v>
                </c:pt>
                <c:pt idx="19">
                  <c:v>0.93429126400639606</c:v>
                </c:pt>
                <c:pt idx="20">
                  <c:v>0.93328187128320661</c:v>
                </c:pt>
                <c:pt idx="21">
                  <c:v>0.93247227412305855</c:v>
                </c:pt>
                <c:pt idx="22">
                  <c:v>0.93185909674657608</c:v>
                </c:pt>
                <c:pt idx="23">
                  <c:v>0.93143874189255693</c:v>
                </c:pt>
                <c:pt idx="24">
                  <c:v>0.93120741430062637</c:v>
                </c:pt>
                <c:pt idx="25">
                  <c:v>0.93116114446069664</c:v>
                </c:pt>
                <c:pt idx="26">
                  <c:v>0.93129581233011272</c:v>
                </c:pt>
                <c:pt idx="27">
                  <c:v>0.93160717074380672</c:v>
                </c:pt>
                <c:pt idx="28">
                  <c:v>0.93209086827118703</c:v>
                </c:pt>
                <c:pt idx="29">
                  <c:v>0.93274247130462107</c:v>
                </c:pt>
                <c:pt idx="30">
                  <c:v>0.93355748519700432</c:v>
                </c:pt>
                <c:pt idx="31">
                  <c:v>0.93453137429891608</c:v>
                </c:pt>
                <c:pt idx="32">
                  <c:v>0.93565958077829281</c:v>
                </c:pt>
                <c:pt idx="33">
                  <c:v>0.9369375421365751</c:v>
                </c:pt>
                <c:pt idx="34">
                  <c:v>0.93836070736426103</c:v>
                </c:pt>
                <c:pt idx="35">
                  <c:v>0.93992455170524591</c:v>
                </c:pt>
                <c:pt idx="36">
                  <c:v>0.94162459002293741</c:v>
                </c:pt>
                <c:pt idx="37">
                  <c:v>0.94345638878171023</c:v>
                </c:pt>
                <c:pt idx="38">
                  <c:v>0.94541557667476828</c:v>
                </c:pt>
                <c:pt idx="39">
                  <c:v>0.94749785394396979</c:v>
                </c:pt>
                <c:pt idx="40">
                  <c:v>0.94969900044875</c:v>
                </c:pt>
                <c:pt idx="41">
                  <c:v>0.95201488255018529</c:v>
                </c:pt>
                <c:pt idx="42">
                  <c:v>0.95444145888267995</c:v>
                </c:pt>
                <c:pt idx="43">
                  <c:v>0.95697478509000122</c:v>
                </c:pt>
                <c:pt idx="44">
                  <c:v>0.95961101760473866</c:v>
                </c:pt>
                <c:pt idx="45">
                  <c:v>0.96234641655094677</c:v>
                </c:pt>
                <c:pt idx="46">
                  <c:v>0.96517734784906528</c:v>
                </c:pt>
                <c:pt idx="47">
                  <c:v>0.96810028460041142</c:v>
                </c:pt>
                <c:pt idx="48">
                  <c:v>0.97111180782586093</c:v>
                </c:pt>
                <c:pt idx="49">
                  <c:v>0.97420860662996389</c:v>
                </c:pt>
                <c:pt idx="50">
                  <c:v>0.9773874778578866</c:v>
                </c:pt>
                <c:pt idx="51">
                  <c:v>0.980645325308379</c:v>
                </c:pt>
                <c:pt idx="52">
                  <c:v>0.98397915856155616</c:v>
                </c:pt>
                <c:pt idx="53">
                  <c:v>0.98738609147581646</c:v>
                </c:pt>
                <c:pt idx="54">
                  <c:v>0.99086334040372759</c:v>
                </c:pt>
                <c:pt idx="55">
                  <c:v>0.99440822217232083</c:v>
                </c:pt>
                <c:pt idx="56">
                  <c:v>0.9980181518689718</c:v>
                </c:pt>
                <c:pt idx="57">
                  <c:v>1.0016906404699728</c:v>
                </c:pt>
                <c:pt idx="58">
                  <c:v>1.0054232923450297</c:v>
                </c:pt>
                <c:pt idx="59">
                  <c:v>1.0092138026672921</c:v>
                </c:pt>
                <c:pt idx="60">
                  <c:v>1.0130599547551384</c:v>
                </c:pt>
                <c:pt idx="61">
                  <c:v>1.0169596173688007</c:v>
                </c:pt>
                <c:pt idx="62">
                  <c:v>1.0209107419820356</c:v>
                </c:pt>
                <c:pt idx="63">
                  <c:v>1.0249113600464113</c:v>
                </c:pt>
                <c:pt idx="64">
                  <c:v>1.0289595802633722</c:v>
                </c:pt>
                <c:pt idx="65">
                  <c:v>1.0330535858770888</c:v>
                </c:pt>
                <c:pt idx="66">
                  <c:v>1.0371916319991268</c:v>
                </c:pt>
                <c:pt idx="67">
                  <c:v>1.0413720429742264</c:v>
                </c:pt>
                <c:pt idx="68">
                  <c:v>1.0455932097949143</c:v>
                </c:pt>
                <c:pt idx="69">
                  <c:v>1.0498535875712787</c:v>
                </c:pt>
                <c:pt idx="70">
                  <c:v>1.0541516930610044</c:v>
                </c:pt>
                <c:pt idx="71">
                  <c:v>1.058486102263686</c:v>
                </c:pt>
                <c:pt idx="72">
                  <c:v>1.0628554480824743</c:v>
                </c:pt>
                <c:pt idx="73">
                  <c:v>1.0672584180552962</c:v>
                </c:pt>
                <c:pt idx="74">
                  <c:v>1.0716937521571448</c:v>
                </c:pt>
                <c:pt idx="75">
                  <c:v>1.0761602406743391</c:v>
                </c:pt>
                <c:pt idx="76">
                  <c:v>1.0806567221510874</c:v>
                </c:pt>
                <c:pt idx="77">
                  <c:v>1.0851820814082573</c:v>
                </c:pt>
                <c:pt idx="78">
                  <c:v>1.0897352476338478</c:v>
                </c:pt>
                <c:pt idx="79">
                  <c:v>1.0943151925443413</c:v>
                </c:pt>
                <c:pt idx="80">
                  <c:v>1.0989209286158423</c:v>
                </c:pt>
                <c:pt idx="81">
                  <c:v>1.1035515073836832</c:v>
                </c:pt>
                <c:pt idx="82">
                  <c:v>1.1082060178089919</c:v>
                </c:pt>
                <c:pt idx="83">
                  <c:v>1.1128835847105836</c:v>
                </c:pt>
                <c:pt idx="84">
                  <c:v>1.1175833672604112</c:v>
                </c:pt>
                <c:pt idx="85">
                  <c:v>1.1223045575407353</c:v>
                </c:pt>
                <c:pt idx="86">
                  <c:v>1.1270463791611109</c:v>
                </c:pt>
                <c:pt idx="87">
                  <c:v>1.1318080859332458</c:v>
                </c:pt>
                <c:pt idx="88">
                  <c:v>1.136588960601763</c:v>
                </c:pt>
                <c:pt idx="89">
                  <c:v>1.1413883136289005</c:v>
                </c:pt>
                <c:pt idx="90">
                  <c:v>1.1462054820311751</c:v>
                </c:pt>
                <c:pt idx="91">
                  <c:v>1.151039828266063</c:v>
                </c:pt>
                <c:pt idx="92">
                  <c:v>1.155890739166771</c:v>
                </c:pt>
                <c:pt idx="93">
                  <c:v>1.1607576249232072</c:v>
                </c:pt>
                <c:pt idx="94">
                  <c:v>1.1656399181072941</c:v>
                </c:pt>
                <c:pt idx="95">
                  <c:v>1.1705370727408171</c:v>
                </c:pt>
                <c:pt idx="96">
                  <c:v>1.1754485634040455</c:v>
                </c:pt>
                <c:pt idx="97">
                  <c:v>1.1803738843834095</c:v>
                </c:pt>
                <c:pt idx="98">
                  <c:v>1.1853125488565768</c:v>
                </c:pt>
                <c:pt idx="99">
                  <c:v>1.1902640881133206</c:v>
                </c:pt>
                <c:pt idx="100">
                  <c:v>1.1952280508106259</c:v>
                </c:pt>
                <c:pt idx="101">
                  <c:v>1.2002040022605398</c:v>
                </c:pt>
                <c:pt idx="102">
                  <c:v>1.2051915237493196</c:v>
                </c:pt>
                <c:pt idx="103">
                  <c:v>1.2101902118864958</c:v>
                </c:pt>
                <c:pt idx="104">
                  <c:v>1.2151996779825147</c:v>
                </c:pt>
                <c:pt idx="105">
                  <c:v>1.2202195474536797</c:v>
                </c:pt>
                <c:pt idx="106">
                  <c:v>1.2252494592531658</c:v>
                </c:pt>
                <c:pt idx="107">
                  <c:v>1.2302890653269305</c:v>
                </c:pt>
                <c:pt idx="108">
                  <c:v>1.2353380300933905</c:v>
                </c:pt>
                <c:pt idx="109">
                  <c:v>1.2403960299457917</c:v>
                </c:pt>
                <c:pt idx="110">
                  <c:v>1.2454627527762356</c:v>
                </c:pt>
                <c:pt idx="111">
                  <c:v>1.2505378975203782</c:v>
                </c:pt>
                <c:pt idx="112">
                  <c:v>1.255621173721857</c:v>
                </c:pt>
                <c:pt idx="113">
                  <c:v>1.2607123011155486</c:v>
                </c:pt>
                <c:pt idx="114">
                  <c:v>1.2658110092287931</c:v>
                </c:pt>
                <c:pt idx="115">
                  <c:v>1.2709170369997689</c:v>
                </c:pt>
                <c:pt idx="116">
                  <c:v>1.2760301324122312</c:v>
                </c:pt>
                <c:pt idx="117">
                  <c:v>1.2811500521458679</c:v>
                </c:pt>
                <c:pt idx="118">
                  <c:v>1.2862765612415643</c:v>
                </c:pt>
                <c:pt idx="119">
                  <c:v>1.291409432780888</c:v>
                </c:pt>
                <c:pt idx="120">
                  <c:v>1.2965484475791591</c:v>
                </c:pt>
                <c:pt idx="121">
                  <c:v>1.3016933938914741</c:v>
                </c:pt>
                <c:pt idx="122">
                  <c:v>1.3068440671311043</c:v>
                </c:pt>
                <c:pt idx="123">
                  <c:v>1.3120002695997079</c:v>
                </c:pt>
                <c:pt idx="124">
                  <c:v>1.317161810228813</c:v>
                </c:pt>
                <c:pt idx="125">
                  <c:v>1.3223285043320709</c:v>
                </c:pt>
                <c:pt idx="126">
                  <c:v>1.3275001733677889</c:v>
                </c:pt>
                <c:pt idx="127">
                  <c:v>1.3326766447112848</c:v>
                </c:pt>
                <c:pt idx="128">
                  <c:v>1.3378577514366123</c:v>
                </c:pt>
                <c:pt idx="129">
                  <c:v>1.3430433321072559</c:v>
                </c:pt>
                <c:pt idx="130">
                  <c:v>1.3482332305753713</c:v>
                </c:pt>
                <c:pt idx="131">
                  <c:v>1.3534272957892111</c:v>
                </c:pt>
                <c:pt idx="132">
                  <c:v>1.3586253816083615</c:v>
                </c:pt>
                <c:pt idx="133">
                  <c:v>1.3638273466264452</c:v>
                </c:pt>
                <c:pt idx="134">
                  <c:v>1.369033054000963</c:v>
                </c:pt>
                <c:pt idx="135">
                  <c:v>1.3742423712899585</c:v>
                </c:pt>
                <c:pt idx="136">
                  <c:v>1.3794551702952065</c:v>
                </c:pt>
                <c:pt idx="137">
                  <c:v>1.384671326911638</c:v>
                </c:pt>
                <c:pt idx="138">
                  <c:v>1.3898907209827334</c:v>
                </c:pt>
                <c:pt idx="139">
                  <c:v>1.3951132361616216</c:v>
                </c:pt>
              </c:numCache>
            </c:numRef>
          </c:yVal>
          <c:smooth val="0"/>
        </c:ser>
        <c:ser>
          <c:idx val="1"/>
          <c:order val="1"/>
          <c:tx>
            <c:strRef>
              <c:f>'Fluid Properties'!$P$45</c:f>
              <c:strCache>
                <c:ptCount val="1"/>
              </c:strCache>
            </c:strRef>
          </c:tx>
          <c:spPr>
            <a:ln w="12700">
              <a:solidFill>
                <a:schemeClr val="tx1"/>
              </a:solidFill>
              <a:prstDash val="dash"/>
            </a:ln>
          </c:spPr>
          <c:marker>
            <c:symbol val="square"/>
            <c:size val="5"/>
            <c:spPr>
              <a:solidFill>
                <a:schemeClr val="bg1">
                  <a:lumMod val="65000"/>
                </a:schemeClr>
              </a:solidFill>
              <a:ln>
                <a:solidFill>
                  <a:schemeClr val="tx1"/>
                </a:solidFill>
              </a:ln>
            </c:spPr>
          </c:marker>
          <c:dPt>
            <c:idx val="1"/>
            <c:marker>
              <c:symbol val="square"/>
              <c:size val="9"/>
              <c:spPr>
                <a:noFill/>
                <a:ln w="28575">
                  <a:solidFill>
                    <a:srgbClr val="0000FF"/>
                  </a:solidFill>
                </a:ln>
              </c:spPr>
            </c:marker>
            <c:bubble3D val="0"/>
          </c:dPt>
          <c:dLbls>
            <c:dLbl>
              <c:idx val="0"/>
              <c:layout>
                <c:manualLayout>
                  <c:x val="-1.1449256235783787E-16"/>
                  <c:y val="-4.1431261770244823E-2"/>
                </c:manualLayout>
              </c:layout>
              <c:showLegendKey val="0"/>
              <c:showVal val="0"/>
              <c:showCatName val="1"/>
              <c:showSerName val="0"/>
              <c:showPercent val="0"/>
              <c:showBubbleSize val="0"/>
              <c:extLst>
                <c:ext xmlns:c15="http://schemas.microsoft.com/office/drawing/2012/chart" uri="{CE6537A1-D6FC-4f65-9D91-7224C49458BB}">
                  <c15:layout/>
                </c:ext>
              </c:extLst>
            </c:dLbl>
            <c:dLbl>
              <c:idx val="1"/>
              <c:delete val="1"/>
              <c:extLst>
                <c:ext xmlns:c15="http://schemas.microsoft.com/office/drawing/2012/chart" uri="{CE6537A1-D6FC-4f65-9D91-7224C49458BB}"/>
              </c:extLst>
            </c:dLbl>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a:lstStyle/>
              <a:p>
                <a:pPr>
                  <a:defRPr sz="900">
                    <a:solidFill>
                      <a:schemeClr val="dk1"/>
                    </a:solidFill>
                    <a:latin typeface="+mn-lt"/>
                    <a:ea typeface="+mn-ea"/>
                    <a:cs typeface="+mn-cs"/>
                  </a:defRPr>
                </a:pPr>
                <a:endParaRPr lang="es-BO"/>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xVal>
            <c:numRef>
              <c:f>'Fluid Properties'!$P$48:$P$50</c:f>
              <c:numCache>
                <c:formatCode>#,##0.0;\-0.0;"--"</c:formatCode>
                <c:ptCount val="3"/>
                <c:pt idx="0">
                  <c:v>8323.4270341207375</c:v>
                </c:pt>
                <c:pt idx="1">
                  <c:v>8323.4270341207375</c:v>
                </c:pt>
                <c:pt idx="2">
                  <c:v>0</c:v>
                </c:pt>
              </c:numCache>
            </c:numRef>
          </c:xVal>
          <c:yVal>
            <c:numRef>
              <c:f>'Fluid Properties'!$Q$48:$Q$50</c:f>
              <c:numCache>
                <c:formatCode>0.0000</c:formatCode>
                <c:ptCount val="3"/>
                <c:pt idx="0">
                  <c:v>0.7</c:v>
                </c:pt>
                <c:pt idx="1">
                  <c:v>1.1888000000000001</c:v>
                </c:pt>
                <c:pt idx="2">
                  <c:v>1.1888000000000001</c:v>
                </c:pt>
              </c:numCache>
            </c:numRef>
          </c:yVal>
          <c:smooth val="0"/>
        </c:ser>
        <c:dLbls>
          <c:showLegendKey val="0"/>
          <c:showVal val="0"/>
          <c:showCatName val="0"/>
          <c:showSerName val="0"/>
          <c:showPercent val="0"/>
          <c:showBubbleSize val="0"/>
        </c:dLbls>
        <c:axId val="1251709728"/>
        <c:axId val="1251710288"/>
      </c:scatterChart>
      <c:valAx>
        <c:axId val="1251709728"/>
        <c:scaling>
          <c:orientation val="minMax"/>
          <c:max val="10000"/>
        </c:scaling>
        <c:delete val="0"/>
        <c:axPos val="b"/>
        <c:title>
          <c:tx>
            <c:rich>
              <a:bodyPr/>
              <a:lstStyle/>
              <a:p>
                <a:pPr>
                  <a:defRPr/>
                </a:pPr>
                <a:r>
                  <a:rPr lang="es-BO"/>
                  <a:t>Pressure,</a:t>
                </a:r>
                <a:r>
                  <a:rPr lang="es-BO" baseline="0"/>
                  <a:t> psi</a:t>
                </a:r>
                <a:endParaRPr lang="es-BO"/>
              </a:p>
            </c:rich>
          </c:tx>
          <c:layout/>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710288"/>
        <c:crosses val="autoZero"/>
        <c:crossBetween val="midCat"/>
      </c:valAx>
      <c:valAx>
        <c:axId val="1251710288"/>
        <c:scaling>
          <c:orientation val="minMax"/>
          <c:min val="0.70000000000000007"/>
        </c:scaling>
        <c:delete val="0"/>
        <c:axPos val="l"/>
        <c:title>
          <c:tx>
            <c:rich>
              <a:bodyPr rot="0" vert="horz"/>
              <a:lstStyle/>
              <a:p>
                <a:pPr>
                  <a:defRPr/>
                </a:pPr>
                <a:r>
                  <a:rPr lang="es-BO"/>
                  <a:t>Factor-z</a:t>
                </a:r>
              </a:p>
            </c:rich>
          </c:tx>
          <c:layout>
            <c:manualLayout>
              <c:xMode val="edge"/>
              <c:yMode val="edge"/>
              <c:x val="5.423829833770779E-2"/>
              <c:y val="2.2458887554309949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7097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73292279216543021"/>
        </c:manualLayout>
      </c:layout>
      <c:scatterChart>
        <c:scatterStyle val="lineMarker"/>
        <c:varyColors val="0"/>
        <c:ser>
          <c:idx val="0"/>
          <c:order val="0"/>
          <c:tx>
            <c:strRef>
              <c:f>'Fluid Properties'!$L$38:$L$39</c:f>
              <c:strCache>
                <c:ptCount val="2"/>
                <c:pt idx="0">
                  <c:v>Bg</c:v>
                </c:pt>
                <c:pt idx="1">
                  <c:v>[cf/scf]</c:v>
                </c:pt>
              </c:strCache>
            </c:strRef>
          </c:tx>
          <c:spPr>
            <a:ln w="9525" cap="rnd">
              <a:solidFill>
                <a:srgbClr val="C00000"/>
              </a:solidFill>
              <a:round/>
            </a:ln>
            <a:effectLst/>
          </c:spPr>
          <c:marker>
            <c:symbol val="circle"/>
            <c:size val="4"/>
            <c:spPr>
              <a:solidFill>
                <a:srgbClr val="FF0000"/>
              </a:solidFill>
              <a:ln w="9525">
                <a:solidFill>
                  <a:schemeClr val="tx1"/>
                </a:solidFill>
              </a:ln>
              <a:effectLst/>
            </c:spPr>
          </c:marker>
          <c:xVal>
            <c:numRef>
              <c:f>'Fluid Properties'!$I$40:$I$2000</c:f>
              <c:numCache>
                <c:formatCode>General</c:formatCode>
                <c:ptCount val="1961"/>
                <c:pt idx="0">
                  <c:v>100</c:v>
                </c:pt>
                <c:pt idx="1">
                  <c:v>183.3</c:v>
                </c:pt>
                <c:pt idx="2">
                  <c:v>266.60000000000002</c:v>
                </c:pt>
                <c:pt idx="3">
                  <c:v>349.9</c:v>
                </c:pt>
                <c:pt idx="4">
                  <c:v>433.1</c:v>
                </c:pt>
                <c:pt idx="5">
                  <c:v>516.4</c:v>
                </c:pt>
                <c:pt idx="6">
                  <c:v>599.70000000000005</c:v>
                </c:pt>
                <c:pt idx="7">
                  <c:v>683</c:v>
                </c:pt>
                <c:pt idx="8">
                  <c:v>766.3</c:v>
                </c:pt>
                <c:pt idx="9">
                  <c:v>849.6</c:v>
                </c:pt>
                <c:pt idx="10">
                  <c:v>932.8</c:v>
                </c:pt>
                <c:pt idx="11">
                  <c:v>1016.1</c:v>
                </c:pt>
                <c:pt idx="12">
                  <c:v>1099.4000000000001</c:v>
                </c:pt>
                <c:pt idx="13">
                  <c:v>1182.7</c:v>
                </c:pt>
                <c:pt idx="14">
                  <c:v>1266</c:v>
                </c:pt>
                <c:pt idx="15">
                  <c:v>1349.3</c:v>
                </c:pt>
                <c:pt idx="16">
                  <c:v>1432.5</c:v>
                </c:pt>
                <c:pt idx="17">
                  <c:v>1515.8</c:v>
                </c:pt>
                <c:pt idx="18">
                  <c:v>1599.1</c:v>
                </c:pt>
                <c:pt idx="19">
                  <c:v>1682.4</c:v>
                </c:pt>
                <c:pt idx="20">
                  <c:v>1765.7</c:v>
                </c:pt>
                <c:pt idx="21">
                  <c:v>1849</c:v>
                </c:pt>
                <c:pt idx="22">
                  <c:v>1932.2</c:v>
                </c:pt>
                <c:pt idx="23">
                  <c:v>2015.5</c:v>
                </c:pt>
                <c:pt idx="24">
                  <c:v>2098.8000000000002</c:v>
                </c:pt>
                <c:pt idx="25">
                  <c:v>2182.1</c:v>
                </c:pt>
                <c:pt idx="26">
                  <c:v>2265.4</c:v>
                </c:pt>
                <c:pt idx="27">
                  <c:v>2348.6999999999998</c:v>
                </c:pt>
                <c:pt idx="28">
                  <c:v>2431.9</c:v>
                </c:pt>
                <c:pt idx="29">
                  <c:v>2515.1999999999998</c:v>
                </c:pt>
                <c:pt idx="30">
                  <c:v>2598.5</c:v>
                </c:pt>
                <c:pt idx="31">
                  <c:v>2681.8</c:v>
                </c:pt>
                <c:pt idx="32">
                  <c:v>2765.1</c:v>
                </c:pt>
                <c:pt idx="33">
                  <c:v>2848.4</c:v>
                </c:pt>
                <c:pt idx="34">
                  <c:v>2931.6</c:v>
                </c:pt>
                <c:pt idx="35">
                  <c:v>3014.9</c:v>
                </c:pt>
                <c:pt idx="36">
                  <c:v>3098.2</c:v>
                </c:pt>
                <c:pt idx="37">
                  <c:v>3181.5</c:v>
                </c:pt>
                <c:pt idx="38">
                  <c:v>3264.8</c:v>
                </c:pt>
                <c:pt idx="39">
                  <c:v>3348.1</c:v>
                </c:pt>
                <c:pt idx="40">
                  <c:v>3431.3</c:v>
                </c:pt>
                <c:pt idx="41">
                  <c:v>3514.6</c:v>
                </c:pt>
                <c:pt idx="42">
                  <c:v>3597.9</c:v>
                </c:pt>
                <c:pt idx="43">
                  <c:v>3681.2</c:v>
                </c:pt>
                <c:pt idx="44">
                  <c:v>3764.5</c:v>
                </c:pt>
                <c:pt idx="45">
                  <c:v>3847.8</c:v>
                </c:pt>
                <c:pt idx="46">
                  <c:v>3931</c:v>
                </c:pt>
                <c:pt idx="47">
                  <c:v>4014.3</c:v>
                </c:pt>
                <c:pt idx="48">
                  <c:v>4097.6000000000004</c:v>
                </c:pt>
                <c:pt idx="49">
                  <c:v>4180.8999999999996</c:v>
                </c:pt>
                <c:pt idx="50">
                  <c:v>4264.2</c:v>
                </c:pt>
                <c:pt idx="51">
                  <c:v>4347.5</c:v>
                </c:pt>
                <c:pt idx="52">
                  <c:v>4430.7</c:v>
                </c:pt>
                <c:pt idx="53">
                  <c:v>4514</c:v>
                </c:pt>
                <c:pt idx="54">
                  <c:v>4597.3</c:v>
                </c:pt>
                <c:pt idx="55">
                  <c:v>4680.6000000000004</c:v>
                </c:pt>
                <c:pt idx="56">
                  <c:v>4763.8999999999996</c:v>
                </c:pt>
                <c:pt idx="57">
                  <c:v>4847.2</c:v>
                </c:pt>
                <c:pt idx="58">
                  <c:v>4930.3999999999996</c:v>
                </c:pt>
                <c:pt idx="59">
                  <c:v>5013.7</c:v>
                </c:pt>
                <c:pt idx="60">
                  <c:v>5097</c:v>
                </c:pt>
                <c:pt idx="61">
                  <c:v>5180.3</c:v>
                </c:pt>
                <c:pt idx="62">
                  <c:v>5263.6</c:v>
                </c:pt>
                <c:pt idx="63">
                  <c:v>5346.9</c:v>
                </c:pt>
                <c:pt idx="64">
                  <c:v>5430.1</c:v>
                </c:pt>
                <c:pt idx="65">
                  <c:v>5513.4</c:v>
                </c:pt>
                <c:pt idx="66">
                  <c:v>5596.7</c:v>
                </c:pt>
                <c:pt idx="67">
                  <c:v>5680</c:v>
                </c:pt>
                <c:pt idx="68">
                  <c:v>5763.3</c:v>
                </c:pt>
                <c:pt idx="69">
                  <c:v>5846.6</c:v>
                </c:pt>
                <c:pt idx="70">
                  <c:v>5929.8</c:v>
                </c:pt>
                <c:pt idx="71">
                  <c:v>6013.1</c:v>
                </c:pt>
                <c:pt idx="72">
                  <c:v>6096.4</c:v>
                </c:pt>
                <c:pt idx="73">
                  <c:v>6179.7</c:v>
                </c:pt>
                <c:pt idx="74">
                  <c:v>6263</c:v>
                </c:pt>
                <c:pt idx="75">
                  <c:v>6346.3</c:v>
                </c:pt>
                <c:pt idx="76">
                  <c:v>6429.5</c:v>
                </c:pt>
                <c:pt idx="77">
                  <c:v>6512.8</c:v>
                </c:pt>
                <c:pt idx="78">
                  <c:v>6596.1</c:v>
                </c:pt>
                <c:pt idx="79">
                  <c:v>6679.4</c:v>
                </c:pt>
                <c:pt idx="80">
                  <c:v>6762.7</c:v>
                </c:pt>
                <c:pt idx="81">
                  <c:v>6846</c:v>
                </c:pt>
                <c:pt idx="82">
                  <c:v>6929.2</c:v>
                </c:pt>
                <c:pt idx="83">
                  <c:v>7012.5</c:v>
                </c:pt>
                <c:pt idx="84">
                  <c:v>7095.8</c:v>
                </c:pt>
                <c:pt idx="85">
                  <c:v>7179.1</c:v>
                </c:pt>
                <c:pt idx="86">
                  <c:v>7262.4</c:v>
                </c:pt>
                <c:pt idx="87">
                  <c:v>7345.7</c:v>
                </c:pt>
                <c:pt idx="88">
                  <c:v>7428.9</c:v>
                </c:pt>
                <c:pt idx="89">
                  <c:v>7512.2</c:v>
                </c:pt>
                <c:pt idx="90">
                  <c:v>7595.5</c:v>
                </c:pt>
                <c:pt idx="91">
                  <c:v>7678.8</c:v>
                </c:pt>
                <c:pt idx="92">
                  <c:v>7762.1</c:v>
                </c:pt>
                <c:pt idx="93">
                  <c:v>7845.4</c:v>
                </c:pt>
                <c:pt idx="94">
                  <c:v>7928.6</c:v>
                </c:pt>
                <c:pt idx="95">
                  <c:v>8011.9</c:v>
                </c:pt>
                <c:pt idx="96">
                  <c:v>8095.2</c:v>
                </c:pt>
                <c:pt idx="97">
                  <c:v>8178.5</c:v>
                </c:pt>
                <c:pt idx="98">
                  <c:v>8261.7999999999993</c:v>
                </c:pt>
                <c:pt idx="99">
                  <c:v>8345.1</c:v>
                </c:pt>
                <c:pt idx="100">
                  <c:v>8428.2999999999993</c:v>
                </c:pt>
                <c:pt idx="101">
                  <c:v>8511.6</c:v>
                </c:pt>
                <c:pt idx="102">
                  <c:v>8594.9</c:v>
                </c:pt>
                <c:pt idx="103">
                  <c:v>8678.2000000000007</c:v>
                </c:pt>
                <c:pt idx="104">
                  <c:v>8761.5</c:v>
                </c:pt>
                <c:pt idx="105">
                  <c:v>8844.7999999999993</c:v>
                </c:pt>
                <c:pt idx="106">
                  <c:v>8928</c:v>
                </c:pt>
                <c:pt idx="107">
                  <c:v>9011.2999999999993</c:v>
                </c:pt>
                <c:pt idx="108">
                  <c:v>9094.6</c:v>
                </c:pt>
                <c:pt idx="109">
                  <c:v>9177.9</c:v>
                </c:pt>
                <c:pt idx="110">
                  <c:v>9261.2000000000007</c:v>
                </c:pt>
                <c:pt idx="111">
                  <c:v>9344.5</c:v>
                </c:pt>
                <c:pt idx="112">
                  <c:v>9427.7999999999993</c:v>
                </c:pt>
                <c:pt idx="113">
                  <c:v>9511</c:v>
                </c:pt>
                <c:pt idx="114">
                  <c:v>9594.2999999999993</c:v>
                </c:pt>
                <c:pt idx="115">
                  <c:v>9677.6</c:v>
                </c:pt>
                <c:pt idx="116">
                  <c:v>9760.9</c:v>
                </c:pt>
                <c:pt idx="117">
                  <c:v>9844.2000000000007</c:v>
                </c:pt>
                <c:pt idx="118">
                  <c:v>9927.5</c:v>
                </c:pt>
                <c:pt idx="119">
                  <c:v>10010.700000000001</c:v>
                </c:pt>
                <c:pt idx="120">
                  <c:v>10094</c:v>
                </c:pt>
                <c:pt idx="121">
                  <c:v>10177.299999999999</c:v>
                </c:pt>
                <c:pt idx="122">
                  <c:v>10260.6</c:v>
                </c:pt>
                <c:pt idx="123">
                  <c:v>10343.9</c:v>
                </c:pt>
                <c:pt idx="124">
                  <c:v>10427.200000000001</c:v>
                </c:pt>
                <c:pt idx="125">
                  <c:v>10510.4</c:v>
                </c:pt>
                <c:pt idx="126">
                  <c:v>10593.7</c:v>
                </c:pt>
                <c:pt idx="127">
                  <c:v>10677</c:v>
                </c:pt>
                <c:pt idx="128">
                  <c:v>10760.3</c:v>
                </c:pt>
                <c:pt idx="129">
                  <c:v>10843.6</c:v>
                </c:pt>
                <c:pt idx="130">
                  <c:v>10926.9</c:v>
                </c:pt>
                <c:pt idx="131">
                  <c:v>11010.1</c:v>
                </c:pt>
                <c:pt idx="132">
                  <c:v>11093.4</c:v>
                </c:pt>
                <c:pt idx="133">
                  <c:v>11176.7</c:v>
                </c:pt>
                <c:pt idx="134">
                  <c:v>11260</c:v>
                </c:pt>
                <c:pt idx="135">
                  <c:v>11343.3</c:v>
                </c:pt>
                <c:pt idx="136">
                  <c:v>11426.6</c:v>
                </c:pt>
                <c:pt idx="137">
                  <c:v>11509.8</c:v>
                </c:pt>
                <c:pt idx="138">
                  <c:v>11593.1</c:v>
                </c:pt>
                <c:pt idx="139">
                  <c:v>11676.4</c:v>
                </c:pt>
              </c:numCache>
            </c:numRef>
          </c:xVal>
          <c:yVal>
            <c:numRef>
              <c:f>'Fluid Properties'!$L$40:$L$2000</c:f>
              <c:numCache>
                <c:formatCode>0.0000</c:formatCode>
                <c:ptCount val="1961"/>
                <c:pt idx="0">
                  <c:v>0.19679836575544718</c:v>
                </c:pt>
                <c:pt idx="1">
                  <c:v>0.10683016106243161</c:v>
                </c:pt>
                <c:pt idx="2">
                  <c:v>7.3094515720282485E-2</c:v>
                </c:pt>
                <c:pt idx="3">
                  <c:v>5.5432346747607657E-2</c:v>
                </c:pt>
                <c:pt idx="4">
                  <c:v>4.4571894271128593E-2</c:v>
                </c:pt>
                <c:pt idx="5">
                  <c:v>3.7222474636911612E-2</c:v>
                </c:pt>
                <c:pt idx="6">
                  <c:v>3.1921368977541574E-2</c:v>
                </c:pt>
                <c:pt idx="7">
                  <c:v>2.7919307698564697E-2</c:v>
                </c:pt>
                <c:pt idx="8">
                  <c:v>2.4792756225282635E-2</c:v>
                </c:pt>
                <c:pt idx="9">
                  <c:v>2.2284251958614928E-2</c:v>
                </c:pt>
                <c:pt idx="10">
                  <c:v>2.0228269579007044E-2</c:v>
                </c:pt>
                <c:pt idx="11">
                  <c:v>1.8513543948186995E-2</c:v>
                </c:pt>
                <c:pt idx="12">
                  <c:v>1.7062518087990343E-2</c:v>
                </c:pt>
                <c:pt idx="13">
                  <c:v>1.581947472460182E-2</c:v>
                </c:pt>
                <c:pt idx="14">
                  <c:v>1.4743352576554522E-2</c:v>
                </c:pt>
                <c:pt idx="15">
                  <c:v>1.3803223203149259E-2</c:v>
                </c:pt>
                <c:pt idx="16">
                  <c:v>1.2975345670477714E-2</c:v>
                </c:pt>
                <c:pt idx="17">
                  <c:v>1.2241192203674079E-2</c:v>
                </c:pt>
                <c:pt idx="18">
                  <c:v>1.1586090830393952E-2</c:v>
                </c:pt>
                <c:pt idx="19">
                  <c:v>1.0998271211117088E-2</c:v>
                </c:pt>
                <c:pt idx="20">
                  <c:v>1.0468180529702937E-2</c:v>
                </c:pt>
                <c:pt idx="21">
                  <c:v>9.9879842893857672E-3</c:v>
                </c:pt>
                <c:pt idx="22">
                  <c:v>9.551196222090717E-3</c:v>
                </c:pt>
                <c:pt idx="23">
                  <c:v>9.1523999620482313E-3</c:v>
                </c:pt>
                <c:pt idx="24">
                  <c:v>8.7870369912275894E-3</c:v>
                </c:pt>
                <c:pt idx="25">
                  <c:v>8.4512431479751345E-3</c:v>
                </c:pt>
                <c:pt idx="26">
                  <c:v>8.1417211986886326E-3</c:v>
                </c:pt>
                <c:pt idx="27">
                  <c:v>7.8556405186221423E-3</c:v>
                </c:pt>
                <c:pt idx="28">
                  <c:v>7.5905573812115245E-3</c:v>
                </c:pt>
                <c:pt idx="29">
                  <c:v>7.3443510775307533E-3</c:v>
                </c:pt>
                <c:pt idx="30">
                  <c:v>7.1151723129379233E-3</c:v>
                </c:pt>
                <c:pt idx="31">
                  <c:v>6.9014012109121373E-3</c:v>
                </c:pt>
                <c:pt idx="32">
                  <c:v>6.701612897674087E-3</c:v>
                </c:pt>
                <c:pt idx="33">
                  <c:v>6.5145491154022413E-3</c:v>
                </c:pt>
                <c:pt idx="34">
                  <c:v>6.3390946648151257E-3</c:v>
                </c:pt>
                <c:pt idx="35">
                  <c:v>6.1742577430818112E-3</c:v>
                </c:pt>
                <c:pt idx="36">
                  <c:v>6.0191534440380149E-3</c:v>
                </c:pt>
                <c:pt idx="37">
                  <c:v>5.8729898413231278E-3</c:v>
                </c:pt>
                <c:pt idx="38">
                  <c:v>5.7350561933991392E-3</c:v>
                </c:pt>
                <c:pt idx="39">
                  <c:v>5.6047129012456662E-3</c:v>
                </c:pt>
                <c:pt idx="40">
                  <c:v>5.4813829212812257E-3</c:v>
                </c:pt>
                <c:pt idx="41">
                  <c:v>5.3645443924988032E-3</c:v>
                </c:pt>
                <c:pt idx="42">
                  <c:v>5.2537242814702529E-3</c:v>
                </c:pt>
                <c:pt idx="43">
                  <c:v>5.148492884434001E-3</c:v>
                </c:pt>
                <c:pt idx="44">
                  <c:v>5.0484590541500151E-3</c:v>
                </c:pt>
                <c:pt idx="45">
                  <c:v>4.9532660421210814E-3</c:v>
                </c:pt>
                <c:pt idx="46">
                  <c:v>4.8625878653182708E-3</c:v>
                </c:pt>
                <c:pt idx="47">
                  <c:v>4.7761261216202758E-3</c:v>
                </c:pt>
                <c:pt idx="48">
                  <c:v>4.6936071904867815E-3</c:v>
                </c:pt>
                <c:pt idx="49">
                  <c:v>4.6147797654862302E-3</c:v>
                </c:pt>
                <c:pt idx="50">
                  <c:v>4.5394126736208974E-3</c:v>
                </c:pt>
                <c:pt idx="51">
                  <c:v>4.4672929432782995E-3</c:v>
                </c:pt>
                <c:pt idx="52">
                  <c:v>4.3982240883581594E-3</c:v>
                </c:pt>
                <c:pt idx="53">
                  <c:v>4.3320245808942783E-3</c:v>
                </c:pt>
                <c:pt idx="54">
                  <c:v>4.2685264884829606E-3</c:v>
                </c:pt>
                <c:pt idx="55">
                  <c:v>4.2075742561830049E-3</c:v>
                </c:pt>
                <c:pt idx="56">
                  <c:v>4.14902361537859E-3</c:v>
                </c:pt>
                <c:pt idx="57">
                  <c:v>4.0927406044864081E-3</c:v>
                </c:pt>
                <c:pt idx="58">
                  <c:v>4.0386006884158467E-3</c:v>
                </c:pt>
                <c:pt idx="59">
                  <c:v>3.9864879654164295E-3</c:v>
                </c:pt>
                <c:pt idx="60">
                  <c:v>3.9362944514192135E-3</c:v>
                </c:pt>
                <c:pt idx="61">
                  <c:v>3.8879194332393533E-3</c:v>
                </c:pt>
                <c:pt idx="62">
                  <c:v>3.8412688830888669E-3</c:v>
                </c:pt>
                <c:pt idx="63">
                  <c:v>3.7962549277798935E-3</c:v>
                </c:pt>
                <c:pt idx="64">
                  <c:v>3.7527953668021019E-3</c:v>
                </c:pt>
                <c:pt idx="65">
                  <c:v>3.7108132341530627E-3</c:v>
                </c:pt>
                <c:pt idx="66">
                  <c:v>3.6702363994031008E-3</c:v>
                </c:pt>
                <c:pt idx="67">
                  <c:v>3.630997204000039E-3</c:v>
                </c:pt>
                <c:pt idx="68">
                  <c:v>3.5930321292757042E-3</c:v>
                </c:pt>
                <c:pt idx="69">
                  <c:v>3.556281493014503E-3</c:v>
                </c:pt>
                <c:pt idx="70">
                  <c:v>3.5206891717930737E-3</c:v>
                </c:pt>
                <c:pt idx="71">
                  <c:v>3.4862023466056711E-3</c:v>
                </c:pt>
                <c:pt idx="72">
                  <c:v>3.4527712695584666E-3</c:v>
                </c:pt>
                <c:pt idx="73">
                  <c:v>3.4203490496523266E-3</c:v>
                </c:pt>
                <c:pt idx="74">
                  <c:v>3.3888914558819587E-3</c:v>
                </c:pt>
                <c:pt idx="75">
                  <c:v>3.3583567360635151E-3</c:v>
                </c:pt>
                <c:pt idx="76">
                  <c:v>3.328705449965534E-3</c:v>
                </c:pt>
                <c:pt idx="77">
                  <c:v>3.2999003154625854E-3</c:v>
                </c:pt>
                <c:pt idx="78">
                  <c:v>3.2719060665591278E-3</c:v>
                </c:pt>
                <c:pt idx="79">
                  <c:v>3.244689322245079E-3</c:v>
                </c:pt>
                <c:pt idx="80">
                  <c:v>3.2182184652461568E-3</c:v>
                </c:pt>
                <c:pt idx="81">
                  <c:v>3.1924635298225448E-3</c:v>
                </c:pt>
                <c:pt idx="82">
                  <c:v>3.1673960978503206E-3</c:v>
                </c:pt>
                <c:pt idx="83">
                  <c:v>3.1429892024924331E-3</c:v>
                </c:pt>
                <c:pt idx="84">
                  <c:v>3.1192172388307417E-3</c:v>
                </c:pt>
                <c:pt idx="85">
                  <c:v>3.0960558808887893E-3</c:v>
                </c:pt>
                <c:pt idx="86">
                  <c:v>3.0734820045270803E-3</c:v>
                </c:pt>
                <c:pt idx="87">
                  <c:v>3.0514736157395655E-3</c:v>
                </c:pt>
                <c:pt idx="88">
                  <c:v>3.0300097839222355E-3</c:v>
                </c:pt>
                <c:pt idx="89">
                  <c:v>3.0090705797227607E-3</c:v>
                </c:pt>
                <c:pt idx="90">
                  <c:v>2.9886370171144359E-3</c:v>
                </c:pt>
                <c:pt idx="91">
                  <c:v>2.9686909993686915E-3</c:v>
                </c:pt>
                <c:pt idx="92">
                  <c:v>2.9492152686284327E-3</c:v>
                </c:pt>
                <c:pt idx="93">
                  <c:v>2.9301933588098805E-3</c:v>
                </c:pt>
                <c:pt idx="94">
                  <c:v>2.9116095515835127E-3</c:v>
                </c:pt>
                <c:pt idx="95">
                  <c:v>2.8934488352056094E-3</c:v>
                </c:pt>
                <c:pt idx="96">
                  <c:v>2.8756968659907796E-3</c:v>
                </c:pt>
                <c:pt idx="97">
                  <c:v>2.8583399322330777E-3</c:v>
                </c:pt>
                <c:pt idx="98">
                  <c:v>2.8413649203989397E-3</c:v>
                </c:pt>
                <c:pt idx="99">
                  <c:v>2.8247592834294284E-3</c:v>
                </c:pt>
                <c:pt idx="100">
                  <c:v>2.8085110110022183E-3</c:v>
                </c:pt>
                <c:pt idx="101">
                  <c:v>2.7926086016156456E-3</c:v>
                </c:pt>
                <c:pt idx="102">
                  <c:v>2.7770410363678671E-3</c:v>
                </c:pt>
                <c:pt idx="103">
                  <c:v>2.7617977543141279E-3</c:v>
                </c:pt>
                <c:pt idx="104">
                  <c:v>2.7468686292940947E-3</c:v>
                </c:pt>
                <c:pt idx="105">
                  <c:v>2.732243948129496E-3</c:v>
                </c:pt>
                <c:pt idx="106">
                  <c:v>2.717914390099877E-3</c:v>
                </c:pt>
                <c:pt idx="107">
                  <c:v>2.7038710076111865E-3</c:v>
                </c:pt>
                <c:pt idx="108">
                  <c:v>2.6901052079782743E-3</c:v>
                </c:pt>
                <c:pt idx="109">
                  <c:v>2.6766087362482364E-3</c:v>
                </c:pt>
                <c:pt idx="110">
                  <c:v>2.6633736589968598E-3</c:v>
                </c:pt>
                <c:pt idx="111">
                  <c:v>2.6503923490353702E-3</c:v>
                </c:pt>
                <c:pt idx="112">
                  <c:v>2.6376574709692248E-3</c:v>
                </c:pt>
                <c:pt idx="113">
                  <c:v>2.6251619675548327E-3</c:v>
                </c:pt>
                <c:pt idx="114">
                  <c:v>2.6128990468039515E-3</c:v>
                </c:pt>
                <c:pt idx="115">
                  <c:v>2.6008621697890407E-3</c:v>
                </c:pt>
                <c:pt idx="116">
                  <c:v>2.5890450391061123E-3</c:v>
                </c:pt>
                <c:pt idx="117">
                  <c:v>2.5774415879546435E-3</c:v>
                </c:pt>
                <c:pt idx="118">
                  <c:v>2.5660459697968885E-3</c:v>
                </c:pt>
                <c:pt idx="119">
                  <c:v>2.5548525485615038E-3</c:v>
                </c:pt>
                <c:pt idx="120">
                  <c:v>2.5438558893587852E-3</c:v>
                </c:pt>
                <c:pt idx="121">
                  <c:v>2.5330507496769982E-3</c:v>
                </c:pt>
                <c:pt idx="122">
                  <c:v>2.5224320710313338E-3</c:v>
                </c:pt>
                <c:pt idx="123">
                  <c:v>2.5119949710389168E-3</c:v>
                </c:pt>
                <c:pt idx="124">
                  <c:v>2.5017347358950105E-3</c:v>
                </c:pt>
                <c:pt idx="125">
                  <c:v>2.4916468132272222E-3</c:v>
                </c:pt>
                <c:pt idx="126">
                  <c:v>2.4817268053059895E-3</c:v>
                </c:pt>
                <c:pt idx="127">
                  <c:v>2.4719704625910414E-3</c:v>
                </c:pt>
                <c:pt idx="128">
                  <c:v>2.4623736775948152E-3</c:v>
                </c:pt>
                <c:pt idx="129">
                  <c:v>2.4529324790450312E-3</c:v>
                </c:pt>
                <c:pt idx="130">
                  <c:v>2.4436430263297237E-3</c:v>
                </c:pt>
                <c:pt idx="131">
                  <c:v>2.434501604209102E-3</c:v>
                </c:pt>
                <c:pt idx="132">
                  <c:v>2.4255046177795595E-3</c:v>
                </c:pt>
                <c:pt idx="133">
                  <c:v>2.4166485876760757E-3</c:v>
                </c:pt>
                <c:pt idx="134">
                  <c:v>2.407930145500072E-3</c:v>
                </c:pt>
                <c:pt idx="135">
                  <c:v>2.3993460294606072E-3</c:v>
                </c:pt>
                <c:pt idx="136">
                  <c:v>2.3908930802174866E-3</c:v>
                </c:pt>
                <c:pt idx="137">
                  <c:v>2.3825682369155816E-3</c:v>
                </c:pt>
                <c:pt idx="138">
                  <c:v>2.3743685334002757E-3</c:v>
                </c:pt>
                <c:pt idx="139">
                  <c:v>2.3662910946045529E-3</c:v>
                </c:pt>
              </c:numCache>
            </c:numRef>
          </c:yVal>
          <c:smooth val="0"/>
        </c:ser>
        <c:ser>
          <c:idx val="1"/>
          <c:order val="1"/>
          <c:tx>
            <c:strRef>
              <c:f>'Fluid Properties'!$P$40</c:f>
              <c:strCache>
                <c:ptCount val="1"/>
              </c:strCache>
            </c:strRef>
          </c:tx>
          <c:spPr>
            <a:ln w="12700">
              <a:solidFill>
                <a:schemeClr val="tx1"/>
              </a:solidFill>
              <a:prstDash val="dash"/>
            </a:ln>
          </c:spPr>
          <c:marker>
            <c:symbol val="square"/>
            <c:size val="5"/>
            <c:spPr>
              <a:solidFill>
                <a:schemeClr val="bg1">
                  <a:lumMod val="65000"/>
                </a:schemeClr>
              </a:solidFill>
              <a:ln>
                <a:solidFill>
                  <a:schemeClr val="tx1"/>
                </a:solidFill>
              </a:ln>
            </c:spPr>
          </c:marker>
          <c:dPt>
            <c:idx val="1"/>
            <c:marker>
              <c:symbol val="square"/>
              <c:size val="9"/>
              <c:spPr>
                <a:noFill/>
                <a:ln w="28575">
                  <a:solidFill>
                    <a:srgbClr val="0000FF"/>
                  </a:solidFill>
                </a:ln>
              </c:spPr>
            </c:marker>
            <c:bubble3D val="0"/>
          </c:dPt>
          <c:dLbls>
            <c:dLbl>
              <c:idx val="0"/>
              <c:layout>
                <c:manualLayout>
                  <c:x val="0"/>
                  <c:y val="-3.0828516377649468E-2"/>
                </c:manualLayout>
              </c:layout>
              <c:dLblPos val="r"/>
              <c:showLegendKey val="0"/>
              <c:showVal val="0"/>
              <c:showCatName val="1"/>
              <c:showSerName val="0"/>
              <c:showPercent val="0"/>
              <c:showBubbleSize val="0"/>
              <c:extLst>
                <c:ext xmlns:c15="http://schemas.microsoft.com/office/drawing/2012/chart" uri="{CE6537A1-D6FC-4f65-9D91-7224C49458BB}">
                  <c15:layout/>
                </c:ext>
              </c:extLst>
            </c:dLbl>
            <c:dLbl>
              <c:idx val="2"/>
              <c:layout/>
              <c:dLblPos val="r"/>
              <c:showLegendKey val="0"/>
              <c:showVal val="1"/>
              <c:showCatName val="0"/>
              <c:showSerName val="0"/>
              <c:showPercent val="0"/>
              <c:showBubbleSize val="0"/>
              <c:extLst>
                <c:ext xmlns:c15="http://schemas.microsoft.com/office/drawing/2012/chart" uri="{CE6537A1-D6FC-4f65-9D91-7224C49458BB}">
                  <c15:layout/>
                </c:ext>
              </c:extLst>
            </c:dLbl>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a:lstStyle/>
              <a:p>
                <a:pPr>
                  <a:defRPr sz="800">
                    <a:solidFill>
                      <a:schemeClr val="dk1"/>
                    </a:solidFill>
                    <a:latin typeface="+mn-lt"/>
                    <a:ea typeface="+mn-ea"/>
                    <a:cs typeface="+mn-cs"/>
                  </a:defRPr>
                </a:pPr>
                <a:endParaRPr lang="es-BO"/>
              </a:p>
            </c:txPr>
            <c:dLblPos val="r"/>
            <c:showLegendKey val="0"/>
            <c:showVal val="0"/>
            <c:showCatName val="0"/>
            <c:showSerName val="0"/>
            <c:showPercent val="0"/>
            <c:showBubbleSize val="0"/>
            <c:extLst>
              <c:ext xmlns:c15="http://schemas.microsoft.com/office/drawing/2012/chart" uri="{CE6537A1-D6FC-4f65-9D91-7224C49458BB}">
                <c15:showLeaderLines val="0"/>
              </c:ext>
            </c:extLst>
          </c:dLbls>
          <c:xVal>
            <c:numRef>
              <c:f>'Fluid Properties'!$P$42:$P$44</c:f>
              <c:numCache>
                <c:formatCode>#,##0.0;\-0.0;"--"</c:formatCode>
                <c:ptCount val="3"/>
                <c:pt idx="0">
                  <c:v>8323.4270341207375</c:v>
                </c:pt>
                <c:pt idx="1">
                  <c:v>8323.4270341207375</c:v>
                </c:pt>
                <c:pt idx="2">
                  <c:v>0</c:v>
                </c:pt>
              </c:numCache>
            </c:numRef>
          </c:xVal>
          <c:yVal>
            <c:numRef>
              <c:f>'Fluid Properties'!$Q$42:$Q$44</c:f>
              <c:numCache>
                <c:formatCode>"Bg: "0.000000", cf/scf"</c:formatCode>
                <c:ptCount val="3"/>
                <c:pt idx="0">
                  <c:v>1E-3</c:v>
                </c:pt>
                <c:pt idx="1">
                  <c:v>2.7983028996160938E-3</c:v>
                </c:pt>
                <c:pt idx="2">
                  <c:v>2.7983028996160938E-3</c:v>
                </c:pt>
              </c:numCache>
            </c:numRef>
          </c:yVal>
          <c:smooth val="0"/>
        </c:ser>
        <c:dLbls>
          <c:showLegendKey val="0"/>
          <c:showVal val="0"/>
          <c:showCatName val="0"/>
          <c:showSerName val="0"/>
          <c:showPercent val="0"/>
          <c:showBubbleSize val="0"/>
        </c:dLbls>
        <c:axId val="1251488496"/>
        <c:axId val="1251489056"/>
      </c:scatterChart>
      <c:valAx>
        <c:axId val="1251488496"/>
        <c:scaling>
          <c:orientation val="minMax"/>
          <c:max val="10000"/>
          <c:min val="0"/>
        </c:scaling>
        <c:delete val="0"/>
        <c:axPos val="b"/>
        <c:title>
          <c:tx>
            <c:rich>
              <a:bodyPr/>
              <a:lstStyle/>
              <a:p>
                <a:pPr>
                  <a:defRPr/>
                </a:pPr>
                <a:r>
                  <a:rPr lang="es-BO"/>
                  <a:t>Pressure,</a:t>
                </a:r>
                <a:r>
                  <a:rPr lang="es-BO" baseline="0"/>
                  <a:t> psi</a:t>
                </a:r>
                <a:endParaRPr lang="es-BO"/>
              </a:p>
            </c:rich>
          </c:tx>
          <c:layout/>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489056"/>
        <c:crossesAt val="1.0000000000000002E-3"/>
        <c:crossBetween val="midCat"/>
      </c:valAx>
      <c:valAx>
        <c:axId val="1251489056"/>
        <c:scaling>
          <c:logBase val="10"/>
          <c:orientation val="minMax"/>
          <c:max val="0.1"/>
        </c:scaling>
        <c:delete val="0"/>
        <c:axPos val="l"/>
        <c:title>
          <c:tx>
            <c:rich>
              <a:bodyPr rot="0" vert="horz"/>
              <a:lstStyle/>
              <a:p>
                <a:pPr>
                  <a:defRPr/>
                </a:pPr>
                <a:r>
                  <a:rPr lang="es-BO"/>
                  <a:t>Bg, cf/scf</a:t>
                </a:r>
              </a:p>
            </c:rich>
          </c:tx>
          <c:layout>
            <c:manualLayout>
              <c:xMode val="edge"/>
              <c:yMode val="edge"/>
              <c:x val="5.6336154701973735E-2"/>
              <c:y val="2.2458911878917343E-2"/>
            </c:manualLayout>
          </c:layout>
          <c:overlay val="0"/>
        </c:title>
        <c:numFmt formatCode="General"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4884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4803149606299213" l="0.70866141732283472" r="0.70866141732283472" t="0.74803149606299213" header="0.31496062992125984" footer="0.31496062992125984"/>
    <c:pageSetup orientation="portrait" horizontalDpi="2400"/>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74062992125984239"/>
        </c:manualLayout>
      </c:layout>
      <c:scatterChart>
        <c:scatterStyle val="lineMarker"/>
        <c:varyColors val="0"/>
        <c:ser>
          <c:idx val="0"/>
          <c:order val="0"/>
          <c:tx>
            <c:strRef>
              <c:f>'Fluid Properties'!$K$37:$K$39</c:f>
              <c:strCache>
                <c:ptCount val="3"/>
                <c:pt idx="0">
                  <c:v>Gas</c:v>
                </c:pt>
                <c:pt idx="1">
                  <c:v>Density</c:v>
                </c:pt>
                <c:pt idx="2">
                  <c:v>[cf/lb]</c:v>
                </c:pt>
              </c:strCache>
            </c:strRef>
          </c:tx>
          <c:spPr>
            <a:ln w="9525" cap="rnd">
              <a:solidFill>
                <a:srgbClr val="C00000"/>
              </a:solidFill>
              <a:round/>
            </a:ln>
            <a:effectLst/>
          </c:spPr>
          <c:marker>
            <c:symbol val="circle"/>
            <c:size val="4"/>
            <c:spPr>
              <a:solidFill>
                <a:srgbClr val="FFC000"/>
              </a:solidFill>
              <a:ln w="9525">
                <a:solidFill>
                  <a:schemeClr val="tx1"/>
                </a:solidFill>
              </a:ln>
              <a:effectLst/>
            </c:spPr>
          </c:marker>
          <c:xVal>
            <c:numRef>
              <c:f>'Fluid Properties'!$I$40:$I$1000</c:f>
              <c:numCache>
                <c:formatCode>General</c:formatCode>
                <c:ptCount val="961"/>
                <c:pt idx="0">
                  <c:v>100</c:v>
                </c:pt>
                <c:pt idx="1">
                  <c:v>183.3</c:v>
                </c:pt>
                <c:pt idx="2">
                  <c:v>266.60000000000002</c:v>
                </c:pt>
                <c:pt idx="3">
                  <c:v>349.9</c:v>
                </c:pt>
                <c:pt idx="4">
                  <c:v>433.1</c:v>
                </c:pt>
                <c:pt idx="5">
                  <c:v>516.4</c:v>
                </c:pt>
                <c:pt idx="6">
                  <c:v>599.70000000000005</c:v>
                </c:pt>
                <c:pt idx="7">
                  <c:v>683</c:v>
                </c:pt>
                <c:pt idx="8">
                  <c:v>766.3</c:v>
                </c:pt>
                <c:pt idx="9">
                  <c:v>849.6</c:v>
                </c:pt>
                <c:pt idx="10">
                  <c:v>932.8</c:v>
                </c:pt>
                <c:pt idx="11">
                  <c:v>1016.1</c:v>
                </c:pt>
                <c:pt idx="12">
                  <c:v>1099.4000000000001</c:v>
                </c:pt>
                <c:pt idx="13">
                  <c:v>1182.7</c:v>
                </c:pt>
                <c:pt idx="14">
                  <c:v>1266</c:v>
                </c:pt>
                <c:pt idx="15">
                  <c:v>1349.3</c:v>
                </c:pt>
                <c:pt idx="16">
                  <c:v>1432.5</c:v>
                </c:pt>
                <c:pt idx="17">
                  <c:v>1515.8</c:v>
                </c:pt>
                <c:pt idx="18">
                  <c:v>1599.1</c:v>
                </c:pt>
                <c:pt idx="19">
                  <c:v>1682.4</c:v>
                </c:pt>
                <c:pt idx="20">
                  <c:v>1765.7</c:v>
                </c:pt>
                <c:pt idx="21">
                  <c:v>1849</c:v>
                </c:pt>
                <c:pt idx="22">
                  <c:v>1932.2</c:v>
                </c:pt>
                <c:pt idx="23">
                  <c:v>2015.5</c:v>
                </c:pt>
                <c:pt idx="24">
                  <c:v>2098.8000000000002</c:v>
                </c:pt>
                <c:pt idx="25">
                  <c:v>2182.1</c:v>
                </c:pt>
                <c:pt idx="26">
                  <c:v>2265.4</c:v>
                </c:pt>
                <c:pt idx="27">
                  <c:v>2348.6999999999998</c:v>
                </c:pt>
                <c:pt idx="28">
                  <c:v>2431.9</c:v>
                </c:pt>
                <c:pt idx="29">
                  <c:v>2515.1999999999998</c:v>
                </c:pt>
                <c:pt idx="30">
                  <c:v>2598.5</c:v>
                </c:pt>
                <c:pt idx="31">
                  <c:v>2681.8</c:v>
                </c:pt>
                <c:pt idx="32">
                  <c:v>2765.1</c:v>
                </c:pt>
                <c:pt idx="33">
                  <c:v>2848.4</c:v>
                </c:pt>
                <c:pt idx="34">
                  <c:v>2931.6</c:v>
                </c:pt>
                <c:pt idx="35">
                  <c:v>3014.9</c:v>
                </c:pt>
                <c:pt idx="36">
                  <c:v>3098.2</c:v>
                </c:pt>
                <c:pt idx="37">
                  <c:v>3181.5</c:v>
                </c:pt>
                <c:pt idx="38">
                  <c:v>3264.8</c:v>
                </c:pt>
                <c:pt idx="39">
                  <c:v>3348.1</c:v>
                </c:pt>
                <c:pt idx="40">
                  <c:v>3431.3</c:v>
                </c:pt>
                <c:pt idx="41">
                  <c:v>3514.6</c:v>
                </c:pt>
                <c:pt idx="42">
                  <c:v>3597.9</c:v>
                </c:pt>
                <c:pt idx="43">
                  <c:v>3681.2</c:v>
                </c:pt>
                <c:pt idx="44">
                  <c:v>3764.5</c:v>
                </c:pt>
                <c:pt idx="45">
                  <c:v>3847.8</c:v>
                </c:pt>
                <c:pt idx="46">
                  <c:v>3931</c:v>
                </c:pt>
                <c:pt idx="47">
                  <c:v>4014.3</c:v>
                </c:pt>
                <c:pt idx="48">
                  <c:v>4097.6000000000004</c:v>
                </c:pt>
                <c:pt idx="49">
                  <c:v>4180.8999999999996</c:v>
                </c:pt>
                <c:pt idx="50">
                  <c:v>4264.2</c:v>
                </c:pt>
                <c:pt idx="51">
                  <c:v>4347.5</c:v>
                </c:pt>
                <c:pt idx="52">
                  <c:v>4430.7</c:v>
                </c:pt>
                <c:pt idx="53">
                  <c:v>4514</c:v>
                </c:pt>
                <c:pt idx="54">
                  <c:v>4597.3</c:v>
                </c:pt>
                <c:pt idx="55">
                  <c:v>4680.6000000000004</c:v>
                </c:pt>
                <c:pt idx="56">
                  <c:v>4763.8999999999996</c:v>
                </c:pt>
                <c:pt idx="57">
                  <c:v>4847.2</c:v>
                </c:pt>
                <c:pt idx="58">
                  <c:v>4930.3999999999996</c:v>
                </c:pt>
                <c:pt idx="59">
                  <c:v>5013.7</c:v>
                </c:pt>
                <c:pt idx="60">
                  <c:v>5097</c:v>
                </c:pt>
                <c:pt idx="61">
                  <c:v>5180.3</c:v>
                </c:pt>
                <c:pt idx="62">
                  <c:v>5263.6</c:v>
                </c:pt>
                <c:pt idx="63">
                  <c:v>5346.9</c:v>
                </c:pt>
                <c:pt idx="64">
                  <c:v>5430.1</c:v>
                </c:pt>
                <c:pt idx="65">
                  <c:v>5513.4</c:v>
                </c:pt>
                <c:pt idx="66">
                  <c:v>5596.7</c:v>
                </c:pt>
                <c:pt idx="67">
                  <c:v>5680</c:v>
                </c:pt>
                <c:pt idx="68">
                  <c:v>5763.3</c:v>
                </c:pt>
                <c:pt idx="69">
                  <c:v>5846.6</c:v>
                </c:pt>
                <c:pt idx="70">
                  <c:v>5929.8</c:v>
                </c:pt>
                <c:pt idx="71">
                  <c:v>6013.1</c:v>
                </c:pt>
                <c:pt idx="72">
                  <c:v>6096.4</c:v>
                </c:pt>
                <c:pt idx="73">
                  <c:v>6179.7</c:v>
                </c:pt>
                <c:pt idx="74">
                  <c:v>6263</c:v>
                </c:pt>
                <c:pt idx="75">
                  <c:v>6346.3</c:v>
                </c:pt>
                <c:pt idx="76">
                  <c:v>6429.5</c:v>
                </c:pt>
                <c:pt idx="77">
                  <c:v>6512.8</c:v>
                </c:pt>
                <c:pt idx="78">
                  <c:v>6596.1</c:v>
                </c:pt>
                <c:pt idx="79">
                  <c:v>6679.4</c:v>
                </c:pt>
                <c:pt idx="80">
                  <c:v>6762.7</c:v>
                </c:pt>
                <c:pt idx="81">
                  <c:v>6846</c:v>
                </c:pt>
                <c:pt idx="82">
                  <c:v>6929.2</c:v>
                </c:pt>
                <c:pt idx="83">
                  <c:v>7012.5</c:v>
                </c:pt>
                <c:pt idx="84">
                  <c:v>7095.8</c:v>
                </c:pt>
                <c:pt idx="85">
                  <c:v>7179.1</c:v>
                </c:pt>
                <c:pt idx="86">
                  <c:v>7262.4</c:v>
                </c:pt>
                <c:pt idx="87">
                  <c:v>7345.7</c:v>
                </c:pt>
                <c:pt idx="88">
                  <c:v>7428.9</c:v>
                </c:pt>
                <c:pt idx="89">
                  <c:v>7512.2</c:v>
                </c:pt>
                <c:pt idx="90">
                  <c:v>7595.5</c:v>
                </c:pt>
                <c:pt idx="91">
                  <c:v>7678.8</c:v>
                </c:pt>
                <c:pt idx="92">
                  <c:v>7762.1</c:v>
                </c:pt>
                <c:pt idx="93">
                  <c:v>7845.4</c:v>
                </c:pt>
                <c:pt idx="94">
                  <c:v>7928.6</c:v>
                </c:pt>
                <c:pt idx="95">
                  <c:v>8011.9</c:v>
                </c:pt>
                <c:pt idx="96">
                  <c:v>8095.2</c:v>
                </c:pt>
                <c:pt idx="97">
                  <c:v>8178.5</c:v>
                </c:pt>
                <c:pt idx="98">
                  <c:v>8261.7999999999993</c:v>
                </c:pt>
                <c:pt idx="99">
                  <c:v>8345.1</c:v>
                </c:pt>
                <c:pt idx="100">
                  <c:v>8428.2999999999993</c:v>
                </c:pt>
                <c:pt idx="101">
                  <c:v>8511.6</c:v>
                </c:pt>
                <c:pt idx="102">
                  <c:v>8594.9</c:v>
                </c:pt>
                <c:pt idx="103">
                  <c:v>8678.2000000000007</c:v>
                </c:pt>
                <c:pt idx="104">
                  <c:v>8761.5</c:v>
                </c:pt>
                <c:pt idx="105">
                  <c:v>8844.7999999999993</c:v>
                </c:pt>
                <c:pt idx="106">
                  <c:v>8928</c:v>
                </c:pt>
                <c:pt idx="107">
                  <c:v>9011.2999999999993</c:v>
                </c:pt>
                <c:pt idx="108">
                  <c:v>9094.6</c:v>
                </c:pt>
                <c:pt idx="109">
                  <c:v>9177.9</c:v>
                </c:pt>
                <c:pt idx="110">
                  <c:v>9261.2000000000007</c:v>
                </c:pt>
                <c:pt idx="111">
                  <c:v>9344.5</c:v>
                </c:pt>
                <c:pt idx="112">
                  <c:v>9427.7999999999993</c:v>
                </c:pt>
                <c:pt idx="113">
                  <c:v>9511</c:v>
                </c:pt>
                <c:pt idx="114">
                  <c:v>9594.2999999999993</c:v>
                </c:pt>
                <c:pt idx="115">
                  <c:v>9677.6</c:v>
                </c:pt>
                <c:pt idx="116">
                  <c:v>9760.9</c:v>
                </c:pt>
                <c:pt idx="117">
                  <c:v>9844.2000000000007</c:v>
                </c:pt>
                <c:pt idx="118">
                  <c:v>9927.5</c:v>
                </c:pt>
                <c:pt idx="119">
                  <c:v>10010.700000000001</c:v>
                </c:pt>
                <c:pt idx="120">
                  <c:v>10094</c:v>
                </c:pt>
                <c:pt idx="121">
                  <c:v>10177.299999999999</c:v>
                </c:pt>
                <c:pt idx="122">
                  <c:v>10260.6</c:v>
                </c:pt>
                <c:pt idx="123">
                  <c:v>10343.9</c:v>
                </c:pt>
                <c:pt idx="124">
                  <c:v>10427.200000000001</c:v>
                </c:pt>
                <c:pt idx="125">
                  <c:v>10510.4</c:v>
                </c:pt>
                <c:pt idx="126">
                  <c:v>10593.7</c:v>
                </c:pt>
                <c:pt idx="127">
                  <c:v>10677</c:v>
                </c:pt>
                <c:pt idx="128">
                  <c:v>10760.3</c:v>
                </c:pt>
                <c:pt idx="129">
                  <c:v>10843.6</c:v>
                </c:pt>
                <c:pt idx="130">
                  <c:v>10926.9</c:v>
                </c:pt>
                <c:pt idx="131">
                  <c:v>11010.1</c:v>
                </c:pt>
                <c:pt idx="132">
                  <c:v>11093.4</c:v>
                </c:pt>
                <c:pt idx="133">
                  <c:v>11176.7</c:v>
                </c:pt>
                <c:pt idx="134">
                  <c:v>11260</c:v>
                </c:pt>
                <c:pt idx="135">
                  <c:v>11343.3</c:v>
                </c:pt>
                <c:pt idx="136">
                  <c:v>11426.6</c:v>
                </c:pt>
                <c:pt idx="137">
                  <c:v>11509.8</c:v>
                </c:pt>
                <c:pt idx="138">
                  <c:v>11593.1</c:v>
                </c:pt>
                <c:pt idx="139">
                  <c:v>11676.4</c:v>
                </c:pt>
              </c:numCache>
            </c:numRef>
          </c:xVal>
          <c:yVal>
            <c:numRef>
              <c:f>'Fluid Properties'!$K$40:$K$1000</c:f>
              <c:numCache>
                <c:formatCode>0.0000</c:formatCode>
                <c:ptCount val="961"/>
                <c:pt idx="0">
                  <c:v>0.23803505820188972</c:v>
                </c:pt>
                <c:pt idx="1">
                  <c:v>0.43849892184715938</c:v>
                </c:pt>
                <c:pt idx="2">
                  <c:v>0.64088132994683722</c:v>
                </c:pt>
                <c:pt idx="3">
                  <c:v>0.84508257714447887</c:v>
                </c:pt>
                <c:pt idx="4">
                  <c:v>1.0509966249511276</c:v>
                </c:pt>
                <c:pt idx="5">
                  <c:v>1.2585114478170931</c:v>
                </c:pt>
                <c:pt idx="6">
                  <c:v>1.4675094442093823</c:v>
                </c:pt>
                <c:pt idx="7">
                  <c:v>1.6778679096345539</c:v>
                </c:pt>
                <c:pt idx="8">
                  <c:v>1.8894595671805194</c:v>
                </c:pt>
                <c:pt idx="9">
                  <c:v>2.1021531498401833</c:v>
                </c:pt>
                <c:pt idx="10">
                  <c:v>2.3158140276739454</c:v>
                </c:pt>
                <c:pt idx="11">
                  <c:v>2.5303048718137027</c:v>
                </c:pt>
                <c:pt idx="12">
                  <c:v>2.7454863464500594</c:v>
                </c:pt>
                <c:pt idx="13">
                  <c:v>2.961217819311238</c:v>
                </c:pt>
                <c:pt idx="14">
                  <c:v>3.1773580807617217</c:v>
                </c:pt>
                <c:pt idx="15">
                  <c:v>3.3937660615345839</c:v>
                </c:pt>
                <c:pt idx="16">
                  <c:v>3.6103015392660409</c:v>
                </c:pt>
                <c:pt idx="17">
                  <c:v>3.8268258244139477</c:v>
                </c:pt>
                <c:pt idx="18">
                  <c:v>4.0432024167932257</c:v>
                </c:pt>
                <c:pt idx="19">
                  <c:v>4.2592976248197685</c:v>
                </c:pt>
                <c:pt idx="20">
                  <c:v>4.4749811405826039</c:v>
                </c:pt>
                <c:pt idx="21">
                  <c:v>4.6901265650184039</c:v>
                </c:pt>
                <c:pt idx="22">
                  <c:v>4.9046118786972732</c:v>
                </c:pt>
                <c:pt idx="23">
                  <c:v>5.1183198549980267</c:v>
                </c:pt>
                <c:pt idx="24">
                  <c:v>5.3311384137111961</c:v>
                </c:pt>
                <c:pt idx="25">
                  <c:v>5.542960914319262</c:v>
                </c:pt>
                <c:pt idx="26">
                  <c:v>5.7536863893324988</c:v>
                </c:pt>
                <c:pt idx="27">
                  <c:v>5.9632197190778689</c:v>
                </c:pt>
                <c:pt idx="28">
                  <c:v>6.1714717502284087</c:v>
                </c:pt>
                <c:pt idx="29">
                  <c:v>6.378359361108374</c:v>
                </c:pt>
                <c:pt idx="30">
                  <c:v>6.5838054774097161</c:v>
                </c:pt>
                <c:pt idx="31">
                  <c:v>6.787739042408651</c:v>
                </c:pt>
                <c:pt idx="32">
                  <c:v>6.9900949460827553</c:v>
                </c:pt>
                <c:pt idx="33">
                  <c:v>7.1908139177092094</c:v>
                </c:pt>
                <c:pt idx="34">
                  <c:v>7.3898423865864187</c:v>
                </c:pt>
                <c:pt idx="35">
                  <c:v>7.5871323154793577</c:v>
                </c:pt>
                <c:pt idx="36">
                  <c:v>7.7826410112595887</c:v>
                </c:pt>
                <c:pt idx="37">
                  <c:v>7.976330917010567</c:v>
                </c:pt>
                <c:pt idx="38">
                  <c:v>8.1681693896132348</c:v>
                </c:pt>
                <c:pt idx="39">
                  <c:v>8.3581284665309461</c:v>
                </c:pt>
                <c:pt idx="40">
                  <c:v>8.5461846251903637</c:v>
                </c:pt>
                <c:pt idx="41">
                  <c:v>8.7323185380174113</c:v>
                </c:pt>
                <c:pt idx="42">
                  <c:v>8.9165148258456224</c:v>
                </c:pt>
                <c:pt idx="43">
                  <c:v>9.098761812076301</c:v>
                </c:pt>
                <c:pt idx="44">
                  <c:v>9.2790512796427347</c:v>
                </c:pt>
                <c:pt idx="45">
                  <c:v>9.4573782325196429</c:v>
                </c:pt>
                <c:pt idx="46">
                  <c:v>9.6337406632277904</c:v>
                </c:pt>
                <c:pt idx="47">
                  <c:v>9.8081393275148177</c:v>
                </c:pt>
                <c:pt idx="48">
                  <c:v>9.9805775271484301</c:v>
                </c:pt>
                <c:pt idx="49">
                  <c:v>10.151060901537715</c:v>
                </c:pt>
                <c:pt idx="50">
                  <c:v>10.319597228702374</c:v>
                </c:pt>
                <c:pt idx="51">
                  <c:v>10.486196235937408</c:v>
                </c:pt>
                <c:pt idx="52">
                  <c:v>10.650869420371368</c:v>
                </c:pt>
                <c:pt idx="53">
                  <c:v>10.813629879487953</c:v>
                </c:pt>
                <c:pt idx="54">
                  <c:v>10.974492151572283</c:v>
                </c:pt>
                <c:pt idx="55">
                  <c:v>11.133472065952571</c:v>
                </c:pt>
                <c:pt idx="56">
                  <c:v>11.29058660283382</c:v>
                </c:pt>
                <c:pt idx="57">
                  <c:v>11.445853762460265</c:v>
                </c:pt>
                <c:pt idx="58">
                  <c:v>11.599292443296669</c:v>
                </c:pt>
                <c:pt idx="59">
                  <c:v>11.750922328882844</c:v>
                </c:pt>
                <c:pt idx="60">
                  <c:v>11.900763782990095</c:v>
                </c:pt>
                <c:pt idx="61">
                  <c:v>12.048837752690828</c:v>
                </c:pt>
                <c:pt idx="62">
                  <c:v>12.195165678942374</c:v>
                </c:pt>
                <c:pt idx="63">
                  <c:v>12.339769414281736</c:v>
                </c:pt>
                <c:pt idx="64">
                  <c:v>12.482671147228837</c:v>
                </c:pt>
                <c:pt idx="65">
                  <c:v>12.623893333000439</c:v>
                </c:pt>
                <c:pt idx="66">
                  <c:v>12.763458630145228</c:v>
                </c:pt>
                <c:pt idx="67">
                  <c:v>12.901389842721054</c:v>
                </c:pt>
                <c:pt idx="68">
                  <c:v>13.03770986764814</c:v>
                </c:pt>
                <c:pt idx="69">
                  <c:v>13.172441646886138</c:v>
                </c:pt>
                <c:pt idx="70">
                  <c:v>13.305608124098248</c:v>
                </c:pt>
                <c:pt idx="71">
                  <c:v>13.437232205481427</c:v>
                </c:pt>
                <c:pt idx="72">
                  <c:v>13.567336724458171</c:v>
                </c:pt>
                <c:pt idx="73">
                  <c:v>13.695944409941543</c:v>
                </c:pt>
                <c:pt idx="74">
                  <c:v>13.823077857901847</c:v>
                </c:pt>
                <c:pt idx="75">
                  <c:v>13.948759505979028</c:v>
                </c:pt>
                <c:pt idx="76">
                  <c:v>14.073011610901078</c:v>
                </c:pt>
                <c:pt idx="77">
                  <c:v>14.195856228483633</c:v>
                </c:pt>
                <c:pt idx="78">
                  <c:v>14.317315196000935</c:v>
                </c:pt>
                <c:pt idx="79">
                  <c:v>14.437410116732384</c:v>
                </c:pt>
                <c:pt idx="80">
                  <c:v>14.55616234650234</c:v>
                </c:pt>
                <c:pt idx="81">
                  <c:v>14.673592982043735</c:v>
                </c:pt>
                <c:pt idx="82">
                  <c:v>14.789722851028268</c:v>
                </c:pt>
                <c:pt idx="83">
                  <c:v>14.904572503617262</c:v>
                </c:pt>
                <c:pt idx="84">
                  <c:v>15.018162205398289</c:v>
                </c:pt>
                <c:pt idx="85">
                  <c:v>15.130511931582712</c:v>
                </c:pt>
                <c:pt idx="86">
                  <c:v>15.241641362348803</c:v>
                </c:pt>
                <c:pt idx="87">
                  <c:v>15.35156987922413</c:v>
                </c:pt>
                <c:pt idx="88">
                  <c:v>15.460316562409135</c:v>
                </c:pt>
                <c:pt idx="89">
                  <c:v>15.567900188951597</c:v>
                </c:pt>
                <c:pt idx="90">
                  <c:v>15.674339231688954</c:v>
                </c:pt>
                <c:pt idx="91">
                  <c:v>15.779651858882074</c:v>
                </c:pt>
                <c:pt idx="92">
                  <c:v>15.883855934470468</c:v>
                </c:pt>
                <c:pt idx="93">
                  <c:v>15.986969018884494</c:v>
                </c:pt>
                <c:pt idx="94">
                  <c:v>16.089008370355668</c:v>
                </c:pt>
                <c:pt idx="95">
                  <c:v>16.189990946671031</c:v>
                </c:pt>
                <c:pt idx="96">
                  <c:v>16.289933407322096</c:v>
                </c:pt>
                <c:pt idx="97">
                  <c:v>16.388852116003246</c:v>
                </c:pt>
                <c:pt idx="98">
                  <c:v>16.486763143418209</c:v>
                </c:pt>
                <c:pt idx="99">
                  <c:v>16.583682270356892</c:v>
                </c:pt>
                <c:pt idx="100">
                  <c:v>16.679624991008325</c:v>
                </c:pt>
                <c:pt idx="101">
                  <c:v>16.774606516478116</c:v>
                </c:pt>
                <c:pt idx="102">
                  <c:v>16.86864177848225</c:v>
                </c:pt>
                <c:pt idx="103">
                  <c:v>16.961745433190941</c:v>
                </c:pt>
                <c:pt idx="104">
                  <c:v>17.053931865199218</c:v>
                </c:pt>
                <c:pt idx="105">
                  <c:v>17.145215191602801</c:v>
                </c:pt>
                <c:pt idx="106">
                  <c:v>17.235609266159852</c:v>
                </c:pt>
                <c:pt idx="107">
                  <c:v>17.325127683521099</c:v>
                </c:pt>
                <c:pt idx="108">
                  <c:v>17.413783783512525</c:v>
                </c:pt>
                <c:pt idx="109">
                  <c:v>17.50159065545623</c:v>
                </c:pt>
                <c:pt idx="110">
                  <c:v>17.588561142516689</c:v>
                </c:pt>
                <c:pt idx="111">
                  <c:v>17.674707846060677</c:v>
                </c:pt>
                <c:pt idx="112">
                  <c:v>17.760043130020662</c:v>
                </c:pt>
                <c:pt idx="113">
                  <c:v>17.844579125252078</c:v>
                </c:pt>
                <c:pt idx="114">
                  <c:v>17.928327733876458</c:v>
                </c:pt>
                <c:pt idx="115">
                  <c:v>18.011300633602705</c:v>
                </c:pt>
                <c:pt idx="116">
                  <c:v>18.093509282020143</c:v>
                </c:pt>
                <c:pt idx="117">
                  <c:v>18.174964920857409</c:v>
                </c:pt>
                <c:pt idx="118">
                  <c:v>18.25567858020197</c:v>
                </c:pt>
                <c:pt idx="119">
                  <c:v>18.335661082675955</c:v>
                </c:pt>
                <c:pt idx="120">
                  <c:v>18.414923047564056</c:v>
                </c:pt>
                <c:pt idx="121">
                  <c:v>18.493474894890308</c:v>
                </c:pt>
                <c:pt idx="122">
                  <c:v>18.571326849440752</c:v>
                </c:pt>
                <c:pt idx="123">
                  <c:v>18.648488944729227</c:v>
                </c:pt>
                <c:pt idx="124">
                  <c:v>18.724971026904502</c:v>
                </c:pt>
                <c:pt idx="125">
                  <c:v>18.800782758596654</c:v>
                </c:pt>
                <c:pt idx="126">
                  <c:v>18.875933622701396</c:v>
                </c:pt>
                <c:pt idx="127">
                  <c:v>18.950432926101104</c:v>
                </c:pt>
                <c:pt idx="128">
                  <c:v>19.02428980332164</c:v>
                </c:pt>
                <c:pt idx="129">
                  <c:v>19.097513220124256</c:v>
                </c:pt>
                <c:pt idx="130">
                  <c:v>19.170111977032196</c:v>
                </c:pt>
                <c:pt idx="131">
                  <c:v>19.242094712791609</c:v>
                </c:pt>
                <c:pt idx="132">
                  <c:v>19.313469907766681</c:v>
                </c:pt>
                <c:pt idx="133">
                  <c:v>19.384245887269106</c:v>
                </c:pt>
                <c:pt idx="134">
                  <c:v>19.454430824821969</c:v>
                </c:pt>
                <c:pt idx="135">
                  <c:v>19.52403274535844</c:v>
                </c:pt>
                <c:pt idx="136">
                  <c:v>19.593059528355585</c:v>
                </c:pt>
                <c:pt idx="137">
                  <c:v>19.661518910903894</c:v>
                </c:pt>
                <c:pt idx="138">
                  <c:v>19.729418490713062</c:v>
                </c:pt>
                <c:pt idx="139">
                  <c:v>19.796765729054663</c:v>
                </c:pt>
              </c:numCache>
            </c:numRef>
          </c:yVal>
          <c:smooth val="0"/>
        </c:ser>
        <c:dLbls>
          <c:showLegendKey val="0"/>
          <c:showVal val="0"/>
          <c:showCatName val="0"/>
          <c:showSerName val="0"/>
          <c:showPercent val="0"/>
          <c:showBubbleSize val="0"/>
        </c:dLbls>
        <c:axId val="1251491856"/>
        <c:axId val="1251492416"/>
      </c:scatterChart>
      <c:valAx>
        <c:axId val="1251491856"/>
        <c:scaling>
          <c:orientation val="minMax"/>
          <c:max val="10000"/>
        </c:scaling>
        <c:delete val="0"/>
        <c:axPos val="b"/>
        <c:title>
          <c:tx>
            <c:rich>
              <a:bodyPr/>
              <a:lstStyle/>
              <a:p>
                <a:pPr>
                  <a:defRPr/>
                </a:pPr>
                <a:r>
                  <a:rPr lang="es-BO"/>
                  <a:t>Pressure,</a:t>
                </a:r>
                <a:r>
                  <a:rPr lang="es-BO" baseline="0"/>
                  <a:t> psi</a:t>
                </a:r>
                <a:endParaRPr lang="es-BO"/>
              </a:p>
            </c:rich>
          </c:tx>
          <c:layout/>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492416"/>
        <c:crosses val="autoZero"/>
        <c:crossBetween val="midCat"/>
      </c:valAx>
      <c:valAx>
        <c:axId val="1251492416"/>
        <c:scaling>
          <c:orientation val="minMax"/>
        </c:scaling>
        <c:delete val="0"/>
        <c:axPos val="l"/>
        <c:title>
          <c:tx>
            <c:rich>
              <a:bodyPr rot="0" vert="horz"/>
              <a:lstStyle/>
              <a:p>
                <a:pPr>
                  <a:defRPr/>
                </a:pPr>
                <a:r>
                  <a:rPr lang="es-BO"/>
                  <a:t>Gas</a:t>
                </a:r>
                <a:r>
                  <a:rPr lang="es-BO" baseline="0"/>
                  <a:t> Density, cf/Lb</a:t>
                </a:r>
                <a:endParaRPr lang="es-BO"/>
              </a:p>
            </c:rich>
          </c:tx>
          <c:layout>
            <c:manualLayout>
              <c:xMode val="edge"/>
              <c:yMode val="edge"/>
              <c:x val="4.6968473203144692E-2"/>
              <c:y val="1.4284176623032537E-3"/>
            </c:manualLayout>
          </c:layout>
          <c:overlay val="0"/>
        </c:title>
        <c:numFmt formatCode="General"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4918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74248053739045328"/>
        </c:manualLayout>
      </c:layout>
      <c:scatterChart>
        <c:scatterStyle val="lineMarker"/>
        <c:varyColors val="0"/>
        <c:ser>
          <c:idx val="0"/>
          <c:order val="0"/>
          <c:tx>
            <c:strRef>
              <c:f>'Fluid Properties'!$M$37:$M$39</c:f>
              <c:strCache>
                <c:ptCount val="3"/>
                <c:pt idx="0">
                  <c:v>Gas</c:v>
                </c:pt>
                <c:pt idx="1">
                  <c:v>Viscosity</c:v>
                </c:pt>
                <c:pt idx="2">
                  <c:v>[cp]</c:v>
                </c:pt>
              </c:strCache>
            </c:strRef>
          </c:tx>
          <c:spPr>
            <a:ln w="9525" cap="rnd">
              <a:solidFill>
                <a:srgbClr val="C00000"/>
              </a:solidFill>
              <a:round/>
            </a:ln>
            <a:effectLst/>
          </c:spPr>
          <c:marker>
            <c:symbol val="circle"/>
            <c:size val="4"/>
            <c:spPr>
              <a:solidFill>
                <a:srgbClr val="FFC000"/>
              </a:solidFill>
              <a:ln w="9525">
                <a:solidFill>
                  <a:schemeClr val="tx1"/>
                </a:solidFill>
              </a:ln>
              <a:effectLst/>
            </c:spPr>
          </c:marker>
          <c:xVal>
            <c:numRef>
              <c:f>'Fluid Properties'!$I$40:$I$1000</c:f>
              <c:numCache>
                <c:formatCode>General</c:formatCode>
                <c:ptCount val="961"/>
                <c:pt idx="0">
                  <c:v>100</c:v>
                </c:pt>
                <c:pt idx="1">
                  <c:v>183.3</c:v>
                </c:pt>
                <c:pt idx="2">
                  <c:v>266.60000000000002</c:v>
                </c:pt>
                <c:pt idx="3">
                  <c:v>349.9</c:v>
                </c:pt>
                <c:pt idx="4">
                  <c:v>433.1</c:v>
                </c:pt>
                <c:pt idx="5">
                  <c:v>516.4</c:v>
                </c:pt>
                <c:pt idx="6">
                  <c:v>599.70000000000005</c:v>
                </c:pt>
                <c:pt idx="7">
                  <c:v>683</c:v>
                </c:pt>
                <c:pt idx="8">
                  <c:v>766.3</c:v>
                </c:pt>
                <c:pt idx="9">
                  <c:v>849.6</c:v>
                </c:pt>
                <c:pt idx="10">
                  <c:v>932.8</c:v>
                </c:pt>
                <c:pt idx="11">
                  <c:v>1016.1</c:v>
                </c:pt>
                <c:pt idx="12">
                  <c:v>1099.4000000000001</c:v>
                </c:pt>
                <c:pt idx="13">
                  <c:v>1182.7</c:v>
                </c:pt>
                <c:pt idx="14">
                  <c:v>1266</c:v>
                </c:pt>
                <c:pt idx="15">
                  <c:v>1349.3</c:v>
                </c:pt>
                <c:pt idx="16">
                  <c:v>1432.5</c:v>
                </c:pt>
                <c:pt idx="17">
                  <c:v>1515.8</c:v>
                </c:pt>
                <c:pt idx="18">
                  <c:v>1599.1</c:v>
                </c:pt>
                <c:pt idx="19">
                  <c:v>1682.4</c:v>
                </c:pt>
                <c:pt idx="20">
                  <c:v>1765.7</c:v>
                </c:pt>
                <c:pt idx="21">
                  <c:v>1849</c:v>
                </c:pt>
                <c:pt idx="22">
                  <c:v>1932.2</c:v>
                </c:pt>
                <c:pt idx="23">
                  <c:v>2015.5</c:v>
                </c:pt>
                <c:pt idx="24">
                  <c:v>2098.8000000000002</c:v>
                </c:pt>
                <c:pt idx="25">
                  <c:v>2182.1</c:v>
                </c:pt>
                <c:pt idx="26">
                  <c:v>2265.4</c:v>
                </c:pt>
                <c:pt idx="27">
                  <c:v>2348.6999999999998</c:v>
                </c:pt>
                <c:pt idx="28">
                  <c:v>2431.9</c:v>
                </c:pt>
                <c:pt idx="29">
                  <c:v>2515.1999999999998</c:v>
                </c:pt>
                <c:pt idx="30">
                  <c:v>2598.5</c:v>
                </c:pt>
                <c:pt idx="31">
                  <c:v>2681.8</c:v>
                </c:pt>
                <c:pt idx="32">
                  <c:v>2765.1</c:v>
                </c:pt>
                <c:pt idx="33">
                  <c:v>2848.4</c:v>
                </c:pt>
                <c:pt idx="34">
                  <c:v>2931.6</c:v>
                </c:pt>
                <c:pt idx="35">
                  <c:v>3014.9</c:v>
                </c:pt>
                <c:pt idx="36">
                  <c:v>3098.2</c:v>
                </c:pt>
                <c:pt idx="37">
                  <c:v>3181.5</c:v>
                </c:pt>
                <c:pt idx="38">
                  <c:v>3264.8</c:v>
                </c:pt>
                <c:pt idx="39">
                  <c:v>3348.1</c:v>
                </c:pt>
                <c:pt idx="40">
                  <c:v>3431.3</c:v>
                </c:pt>
                <c:pt idx="41">
                  <c:v>3514.6</c:v>
                </c:pt>
                <c:pt idx="42">
                  <c:v>3597.9</c:v>
                </c:pt>
                <c:pt idx="43">
                  <c:v>3681.2</c:v>
                </c:pt>
                <c:pt idx="44">
                  <c:v>3764.5</c:v>
                </c:pt>
                <c:pt idx="45">
                  <c:v>3847.8</c:v>
                </c:pt>
                <c:pt idx="46">
                  <c:v>3931</c:v>
                </c:pt>
                <c:pt idx="47">
                  <c:v>4014.3</c:v>
                </c:pt>
                <c:pt idx="48">
                  <c:v>4097.6000000000004</c:v>
                </c:pt>
                <c:pt idx="49">
                  <c:v>4180.8999999999996</c:v>
                </c:pt>
                <c:pt idx="50">
                  <c:v>4264.2</c:v>
                </c:pt>
                <c:pt idx="51">
                  <c:v>4347.5</c:v>
                </c:pt>
                <c:pt idx="52">
                  <c:v>4430.7</c:v>
                </c:pt>
                <c:pt idx="53">
                  <c:v>4514</c:v>
                </c:pt>
                <c:pt idx="54">
                  <c:v>4597.3</c:v>
                </c:pt>
                <c:pt idx="55">
                  <c:v>4680.6000000000004</c:v>
                </c:pt>
                <c:pt idx="56">
                  <c:v>4763.8999999999996</c:v>
                </c:pt>
                <c:pt idx="57">
                  <c:v>4847.2</c:v>
                </c:pt>
                <c:pt idx="58">
                  <c:v>4930.3999999999996</c:v>
                </c:pt>
                <c:pt idx="59">
                  <c:v>5013.7</c:v>
                </c:pt>
                <c:pt idx="60">
                  <c:v>5097</c:v>
                </c:pt>
                <c:pt idx="61">
                  <c:v>5180.3</c:v>
                </c:pt>
                <c:pt idx="62">
                  <c:v>5263.6</c:v>
                </c:pt>
                <c:pt idx="63">
                  <c:v>5346.9</c:v>
                </c:pt>
                <c:pt idx="64">
                  <c:v>5430.1</c:v>
                </c:pt>
                <c:pt idx="65">
                  <c:v>5513.4</c:v>
                </c:pt>
                <c:pt idx="66">
                  <c:v>5596.7</c:v>
                </c:pt>
                <c:pt idx="67">
                  <c:v>5680</c:v>
                </c:pt>
                <c:pt idx="68">
                  <c:v>5763.3</c:v>
                </c:pt>
                <c:pt idx="69">
                  <c:v>5846.6</c:v>
                </c:pt>
                <c:pt idx="70">
                  <c:v>5929.8</c:v>
                </c:pt>
                <c:pt idx="71">
                  <c:v>6013.1</c:v>
                </c:pt>
                <c:pt idx="72">
                  <c:v>6096.4</c:v>
                </c:pt>
                <c:pt idx="73">
                  <c:v>6179.7</c:v>
                </c:pt>
                <c:pt idx="74">
                  <c:v>6263</c:v>
                </c:pt>
                <c:pt idx="75">
                  <c:v>6346.3</c:v>
                </c:pt>
                <c:pt idx="76">
                  <c:v>6429.5</c:v>
                </c:pt>
                <c:pt idx="77">
                  <c:v>6512.8</c:v>
                </c:pt>
                <c:pt idx="78">
                  <c:v>6596.1</c:v>
                </c:pt>
                <c:pt idx="79">
                  <c:v>6679.4</c:v>
                </c:pt>
                <c:pt idx="80">
                  <c:v>6762.7</c:v>
                </c:pt>
                <c:pt idx="81">
                  <c:v>6846</c:v>
                </c:pt>
                <c:pt idx="82">
                  <c:v>6929.2</c:v>
                </c:pt>
                <c:pt idx="83">
                  <c:v>7012.5</c:v>
                </c:pt>
                <c:pt idx="84">
                  <c:v>7095.8</c:v>
                </c:pt>
                <c:pt idx="85">
                  <c:v>7179.1</c:v>
                </c:pt>
                <c:pt idx="86">
                  <c:v>7262.4</c:v>
                </c:pt>
                <c:pt idx="87">
                  <c:v>7345.7</c:v>
                </c:pt>
                <c:pt idx="88">
                  <c:v>7428.9</c:v>
                </c:pt>
                <c:pt idx="89">
                  <c:v>7512.2</c:v>
                </c:pt>
                <c:pt idx="90">
                  <c:v>7595.5</c:v>
                </c:pt>
                <c:pt idx="91">
                  <c:v>7678.8</c:v>
                </c:pt>
                <c:pt idx="92">
                  <c:v>7762.1</c:v>
                </c:pt>
                <c:pt idx="93">
                  <c:v>7845.4</c:v>
                </c:pt>
                <c:pt idx="94">
                  <c:v>7928.6</c:v>
                </c:pt>
                <c:pt idx="95">
                  <c:v>8011.9</c:v>
                </c:pt>
                <c:pt idx="96">
                  <c:v>8095.2</c:v>
                </c:pt>
                <c:pt idx="97">
                  <c:v>8178.5</c:v>
                </c:pt>
                <c:pt idx="98">
                  <c:v>8261.7999999999993</c:v>
                </c:pt>
                <c:pt idx="99">
                  <c:v>8345.1</c:v>
                </c:pt>
                <c:pt idx="100">
                  <c:v>8428.2999999999993</c:v>
                </c:pt>
                <c:pt idx="101">
                  <c:v>8511.6</c:v>
                </c:pt>
                <c:pt idx="102">
                  <c:v>8594.9</c:v>
                </c:pt>
                <c:pt idx="103">
                  <c:v>8678.2000000000007</c:v>
                </c:pt>
                <c:pt idx="104">
                  <c:v>8761.5</c:v>
                </c:pt>
                <c:pt idx="105">
                  <c:v>8844.7999999999993</c:v>
                </c:pt>
                <c:pt idx="106">
                  <c:v>8928</c:v>
                </c:pt>
                <c:pt idx="107">
                  <c:v>9011.2999999999993</c:v>
                </c:pt>
                <c:pt idx="108">
                  <c:v>9094.6</c:v>
                </c:pt>
                <c:pt idx="109">
                  <c:v>9177.9</c:v>
                </c:pt>
                <c:pt idx="110">
                  <c:v>9261.2000000000007</c:v>
                </c:pt>
                <c:pt idx="111">
                  <c:v>9344.5</c:v>
                </c:pt>
                <c:pt idx="112">
                  <c:v>9427.7999999999993</c:v>
                </c:pt>
                <c:pt idx="113">
                  <c:v>9511</c:v>
                </c:pt>
                <c:pt idx="114">
                  <c:v>9594.2999999999993</c:v>
                </c:pt>
                <c:pt idx="115">
                  <c:v>9677.6</c:v>
                </c:pt>
                <c:pt idx="116">
                  <c:v>9760.9</c:v>
                </c:pt>
                <c:pt idx="117">
                  <c:v>9844.2000000000007</c:v>
                </c:pt>
                <c:pt idx="118">
                  <c:v>9927.5</c:v>
                </c:pt>
                <c:pt idx="119">
                  <c:v>10010.700000000001</c:v>
                </c:pt>
                <c:pt idx="120">
                  <c:v>10094</c:v>
                </c:pt>
                <c:pt idx="121">
                  <c:v>10177.299999999999</c:v>
                </c:pt>
                <c:pt idx="122">
                  <c:v>10260.6</c:v>
                </c:pt>
                <c:pt idx="123">
                  <c:v>10343.9</c:v>
                </c:pt>
                <c:pt idx="124">
                  <c:v>10427.200000000001</c:v>
                </c:pt>
                <c:pt idx="125">
                  <c:v>10510.4</c:v>
                </c:pt>
                <c:pt idx="126">
                  <c:v>10593.7</c:v>
                </c:pt>
                <c:pt idx="127">
                  <c:v>10677</c:v>
                </c:pt>
                <c:pt idx="128">
                  <c:v>10760.3</c:v>
                </c:pt>
                <c:pt idx="129">
                  <c:v>10843.6</c:v>
                </c:pt>
                <c:pt idx="130">
                  <c:v>10926.9</c:v>
                </c:pt>
                <c:pt idx="131">
                  <c:v>11010.1</c:v>
                </c:pt>
                <c:pt idx="132">
                  <c:v>11093.4</c:v>
                </c:pt>
                <c:pt idx="133">
                  <c:v>11176.7</c:v>
                </c:pt>
                <c:pt idx="134">
                  <c:v>11260</c:v>
                </c:pt>
                <c:pt idx="135">
                  <c:v>11343.3</c:v>
                </c:pt>
                <c:pt idx="136">
                  <c:v>11426.6</c:v>
                </c:pt>
                <c:pt idx="137">
                  <c:v>11509.8</c:v>
                </c:pt>
                <c:pt idx="138">
                  <c:v>11593.1</c:v>
                </c:pt>
                <c:pt idx="139">
                  <c:v>11676.4</c:v>
                </c:pt>
              </c:numCache>
            </c:numRef>
          </c:xVal>
          <c:yVal>
            <c:numRef>
              <c:f>'Fluid Properties'!$M$40:$M$1000</c:f>
              <c:numCache>
                <c:formatCode>0.0000</c:formatCode>
                <c:ptCount val="961"/>
                <c:pt idx="0">
                  <c:v>1.4348258409377325E-2</c:v>
                </c:pt>
                <c:pt idx="1">
                  <c:v>1.4404103728345321E-2</c:v>
                </c:pt>
                <c:pt idx="2">
                  <c:v>1.4470196356100086E-2</c:v>
                </c:pt>
                <c:pt idx="3">
                  <c:v>1.454463481434568E-2</c:v>
                </c:pt>
                <c:pt idx="4">
                  <c:v>1.4626382243759554E-2</c:v>
                </c:pt>
                <c:pt idx="5">
                  <c:v>1.4714777178865867E-2</c:v>
                </c:pt>
                <c:pt idx="6">
                  <c:v>1.4809356608591898E-2</c:v>
                </c:pt>
                <c:pt idx="7">
                  <c:v>1.4909774670692636E-2</c:v>
                </c:pt>
                <c:pt idx="8">
                  <c:v>1.5015759600342935E-2</c:v>
                </c:pt>
                <c:pt idx="9">
                  <c:v>1.5127088658794467E-2</c:v>
                </c:pt>
                <c:pt idx="10">
                  <c:v>1.5243572504470868E-2</c:v>
                </c:pt>
                <c:pt idx="11">
                  <c:v>1.5365044948207996E-2</c:v>
                </c:pt>
                <c:pt idx="12">
                  <c:v>1.5491355982283199E-2</c:v>
                </c:pt>
                <c:pt idx="13">
                  <c:v>1.5622366906306464E-2</c:v>
                </c:pt>
                <c:pt idx="14">
                  <c:v>1.5757946855341935E-2</c:v>
                </c:pt>
                <c:pt idx="15">
                  <c:v>1.5897970300326428E-2</c:v>
                </c:pt>
                <c:pt idx="16">
                  <c:v>1.6042315243499351E-2</c:v>
                </c:pt>
                <c:pt idx="17">
                  <c:v>1.619086192331886E-2</c:v>
                </c:pt>
                <c:pt idx="18">
                  <c:v>1.6343491900501893E-2</c:v>
                </c:pt>
                <c:pt idx="19">
                  <c:v>1.6500087433574694E-2</c:v>
                </c:pt>
                <c:pt idx="20">
                  <c:v>1.6660531076638958E-2</c:v>
                </c:pt>
                <c:pt idx="21">
                  <c:v>1.6824705448599958E-2</c:v>
                </c:pt>
                <c:pt idx="22">
                  <c:v>1.6992493134666435E-2</c:v>
                </c:pt>
                <c:pt idx="23">
                  <c:v>1.7163776689243366E-2</c:v>
                </c:pt>
                <c:pt idx="24">
                  <c:v>1.7338438715485849E-2</c:v>
                </c:pt>
                <c:pt idx="25">
                  <c:v>1.7516362001462477E-2</c:v>
                </c:pt>
                <c:pt idx="26">
                  <c:v>1.7697429696542314E-2</c:v>
                </c:pt>
                <c:pt idx="27">
                  <c:v>1.7881525514567748E-2</c:v>
                </c:pt>
                <c:pt idx="28">
                  <c:v>1.8068533952801655E-2</c:v>
                </c:pt>
                <c:pt idx="29">
                  <c:v>1.8258340517672184E-2</c:v>
                </c:pt>
                <c:pt idx="30">
                  <c:v>1.845083195006814E-2</c:v>
                </c:pt>
                <c:pt idx="31">
                  <c:v>1.8645896444421751E-2</c:v>
                </c:pt>
                <c:pt idx="32">
                  <c:v>1.8843423857093446E-2</c:v>
                </c:pt>
                <c:pt idx="33">
                  <c:v>1.9043305900673716E-2</c:v>
                </c:pt>
                <c:pt idx="34">
                  <c:v>1.9245436321761615E-2</c:v>
                </c:pt>
                <c:pt idx="35">
                  <c:v>1.9449711060584057E-2</c:v>
                </c:pt>
                <c:pt idx="36">
                  <c:v>1.9656028391499207E-2</c:v>
                </c:pt>
                <c:pt idx="37">
                  <c:v>1.986428904399299E-2</c:v>
                </c:pt>
                <c:pt idx="38">
                  <c:v>2.0074396304241352E-2</c:v>
                </c:pt>
                <c:pt idx="39">
                  <c:v>2.0286256097683402E-2</c:v>
                </c:pt>
                <c:pt idx="40">
                  <c:v>2.049977705334249E-2</c:v>
                </c:pt>
                <c:pt idx="41">
                  <c:v>2.0714870550852464E-2</c:v>
                </c:pt>
                <c:pt idx="42">
                  <c:v>2.0931450751306101E-2</c:v>
                </c:pt>
                <c:pt idx="43">
                  <c:v>2.1149434613148881E-2</c:v>
                </c:pt>
                <c:pt idx="44">
                  <c:v>2.1368741894403499E-2</c:v>
                </c:pt>
                <c:pt idx="45">
                  <c:v>2.1589295142536047E-2</c:v>
                </c:pt>
                <c:pt idx="46">
                  <c:v>2.1811019673270021E-2</c:v>
                </c:pt>
                <c:pt idx="47">
                  <c:v>2.2033843539626174E-2</c:v>
                </c:pt>
                <c:pt idx="48">
                  <c:v>2.2257697492419338E-2</c:v>
                </c:pt>
                <c:pt idx="49">
                  <c:v>2.2482514933383015E-2</c:v>
                </c:pt>
                <c:pt idx="50">
                  <c:v>2.2708231862022463E-2</c:v>
                </c:pt>
                <c:pt idx="51">
                  <c:v>2.2934786817220304E-2</c:v>
                </c:pt>
                <c:pt idx="52">
                  <c:v>2.316212081453908E-2</c:v>
                </c:pt>
                <c:pt idx="53">
                  <c:v>2.3390177280083656E-2</c:v>
                </c:pt>
                <c:pt idx="54">
                  <c:v>2.361890198170593E-2</c:v>
                </c:pt>
                <c:pt idx="55">
                  <c:v>2.3848242958255491E-2</c:v>
                </c:pt>
                <c:pt idx="56">
                  <c:v>2.4078150447504498E-2</c:v>
                </c:pt>
                <c:pt idx="57">
                  <c:v>2.4308576813302851E-2</c:v>
                </c:pt>
                <c:pt idx="58">
                  <c:v>2.453947647245272E-2</c:v>
                </c:pt>
                <c:pt idx="59">
                  <c:v>2.4770805821728456E-2</c:v>
                </c:pt>
                <c:pt idx="60">
                  <c:v>2.5002523165409924E-2</c:v>
                </c:pt>
                <c:pt idx="61">
                  <c:v>2.5234588643644314E-2</c:v>
                </c:pt>
                <c:pt idx="62">
                  <c:v>2.5466964161903149E-2</c:v>
                </c:pt>
                <c:pt idx="63">
                  <c:v>2.5699613321757436E-2</c:v>
                </c:pt>
                <c:pt idx="64">
                  <c:v>2.5932501353154794E-2</c:v>
                </c:pt>
                <c:pt idx="65">
                  <c:v>2.6165595048347114E-2</c:v>
                </c:pt>
                <c:pt idx="66">
                  <c:v>2.6398862697586459E-2</c:v>
                </c:pt>
                <c:pt idx="67">
                  <c:v>2.6632274026679125E-2</c:v>
                </c:pt>
                <c:pt idx="68">
                  <c:v>2.6865800136463912E-2</c:v>
                </c:pt>
                <c:pt idx="69">
                  <c:v>2.7099413444259295E-2</c:v>
                </c:pt>
                <c:pt idx="70">
                  <c:v>2.7333087627306171E-2</c:v>
                </c:pt>
                <c:pt idx="71">
                  <c:v>2.7566797568216918E-2</c:v>
                </c:pt>
                <c:pt idx="72">
                  <c:v>2.7800519302428224E-2</c:v>
                </c:pt>
                <c:pt idx="73">
                  <c:v>2.8034229967643334E-2</c:v>
                </c:pt>
                <c:pt idx="74">
                  <c:v>2.8267907755240448E-2</c:v>
                </c:pt>
                <c:pt idx="75">
                  <c:v>2.8501531863614957E-2</c:v>
                </c:pt>
                <c:pt idx="76">
                  <c:v>2.8735082453417864E-2</c:v>
                </c:pt>
                <c:pt idx="77">
                  <c:v>2.8968540604646244E-2</c:v>
                </c:pt>
                <c:pt idx="78">
                  <c:v>2.9201888275538199E-2</c:v>
                </c:pt>
                <c:pt idx="79">
                  <c:v>2.9435108263221203E-2</c:v>
                </c:pt>
                <c:pt idx="80">
                  <c:v>2.9668184166060207E-2</c:v>
                </c:pt>
                <c:pt idx="81">
                  <c:v>2.9901100347650245E-2</c:v>
                </c:pt>
                <c:pt idx="82">
                  <c:v>3.013384190239745E-2</c:v>
                </c:pt>
                <c:pt idx="83">
                  <c:v>3.0366394622631229E-2</c:v>
                </c:pt>
                <c:pt idx="84">
                  <c:v>3.059874496719096E-2</c:v>
                </c:pt>
                <c:pt idx="85">
                  <c:v>3.0830880031430193E-2</c:v>
                </c:pt>
                <c:pt idx="86">
                  <c:v>3.1062787518582307E-2</c:v>
                </c:pt>
                <c:pt idx="87">
                  <c:v>3.1294455712432272E-2</c:v>
                </c:pt>
                <c:pt idx="88">
                  <c:v>3.1525873451240354E-2</c:v>
                </c:pt>
                <c:pt idx="89">
                  <c:v>3.1757030102864486E-2</c:v>
                </c:pt>
                <c:pt idx="90">
                  <c:v>3.19879155410299E-2</c:v>
                </c:pt>
                <c:pt idx="91">
                  <c:v>3.2218520122695521E-2</c:v>
                </c:pt>
                <c:pt idx="92">
                  <c:v>3.2448834666468793E-2</c:v>
                </c:pt>
                <c:pt idx="93">
                  <c:v>3.2678850432021567E-2</c:v>
                </c:pt>
                <c:pt idx="94">
                  <c:v>3.2908559100461747E-2</c:v>
                </c:pt>
                <c:pt idx="95">
                  <c:v>3.3137952755617046E-2</c:v>
                </c:pt>
                <c:pt idx="96">
                  <c:v>3.3367023866188457E-2</c:v>
                </c:pt>
                <c:pt idx="97">
                  <c:v>3.3595765268733355E-2</c:v>
                </c:pt>
                <c:pt idx="98">
                  <c:v>3.382417015143907E-2</c:v>
                </c:pt>
                <c:pt idx="99">
                  <c:v>3.4052232038649939E-2</c:v>
                </c:pt>
                <c:pt idx="100">
                  <c:v>3.4279944776112264E-2</c:v>
                </c:pt>
                <c:pt idx="101">
                  <c:v>3.4507302516902712E-2</c:v>
                </c:pt>
                <c:pt idx="102">
                  <c:v>3.473429970800837E-2</c:v>
                </c:pt>
                <c:pt idx="103">
                  <c:v>3.4960931077526382E-2</c:v>
                </c:pt>
                <c:pt idx="104">
                  <c:v>3.5187191622454268E-2</c:v>
                </c:pt>
                <c:pt idx="105">
                  <c:v>3.5413076597042271E-2</c:v>
                </c:pt>
                <c:pt idx="106">
                  <c:v>3.5638581501680686E-2</c:v>
                </c:pt>
                <c:pt idx="107">
                  <c:v>3.5863702072296569E-2</c:v>
                </c:pt>
                <c:pt idx="108">
                  <c:v>3.6088434270235344E-2</c:v>
                </c:pt>
                <c:pt idx="109">
                  <c:v>3.6312774272603772E-2</c:v>
                </c:pt>
                <c:pt idx="110">
                  <c:v>3.6536718463052356E-2</c:v>
                </c:pt>
                <c:pt idx="111">
                  <c:v>3.6760263422975656E-2</c:v>
                </c:pt>
                <c:pt idx="112">
                  <c:v>3.6983405923110932E-2</c:v>
                </c:pt>
                <c:pt idx="113">
                  <c:v>3.7206142915515369E-2</c:v>
                </c:pt>
                <c:pt idx="114">
                  <c:v>3.7428471525904297E-2</c:v>
                </c:pt>
                <c:pt idx="115">
                  <c:v>3.7650389046332555E-2</c:v>
                </c:pt>
                <c:pt idx="116">
                  <c:v>3.7871892928202998E-2</c:v>
                </c:pt>
                <c:pt idx="117">
                  <c:v>3.809298077558633E-2</c:v>
                </c:pt>
                <c:pt idx="118">
                  <c:v>3.8313650338837192E-2</c:v>
                </c:pt>
                <c:pt idx="119">
                  <c:v>3.8533899508493043E-2</c:v>
                </c:pt>
                <c:pt idx="120">
                  <c:v>3.8753726309441433E-2</c:v>
                </c:pt>
                <c:pt idx="121">
                  <c:v>3.8973128895343837E-2</c:v>
                </c:pt>
                <c:pt idx="122">
                  <c:v>3.919210554330356E-2</c:v>
                </c:pt>
                <c:pt idx="123">
                  <c:v>3.9410654648765871E-2</c:v>
                </c:pt>
                <c:pt idx="124">
                  <c:v>3.9628774720640067E-2</c:v>
                </c:pt>
                <c:pt idx="125">
                  <c:v>3.984646437663257E-2</c:v>
                </c:pt>
                <c:pt idx="126">
                  <c:v>4.0063722338781353E-2</c:v>
                </c:pt>
                <c:pt idx="127">
                  <c:v>4.0280547429182349E-2</c:v>
                </c:pt>
                <c:pt idx="128">
                  <c:v>4.0496938565898748E-2</c:v>
                </c:pt>
                <c:pt idx="129">
                  <c:v>4.0712894759044813E-2</c:v>
                </c:pt>
                <c:pt idx="130">
                  <c:v>4.0928415107036216E-2</c:v>
                </c:pt>
                <c:pt idx="131">
                  <c:v>4.1143498792999125E-2</c:v>
                </c:pt>
                <c:pt idx="132">
                  <c:v>4.1358145081330476E-2</c:v>
                </c:pt>
                <c:pt idx="133">
                  <c:v>4.157235331440326E-2</c:v>
                </c:pt>
                <c:pt idx="134">
                  <c:v>4.1786122909409265E-2</c:v>
                </c:pt>
                <c:pt idx="135">
                  <c:v>4.1999453355333838E-2</c:v>
                </c:pt>
                <c:pt idx="136">
                  <c:v>4.2212344210056145E-2</c:v>
                </c:pt>
                <c:pt idx="137">
                  <c:v>4.2424795097569447E-2</c:v>
                </c:pt>
                <c:pt idx="138">
                  <c:v>4.2636805705316159E-2</c:v>
                </c:pt>
                <c:pt idx="139">
                  <c:v>4.2848375781632107E-2</c:v>
                </c:pt>
              </c:numCache>
            </c:numRef>
          </c:yVal>
          <c:smooth val="0"/>
        </c:ser>
        <c:dLbls>
          <c:showLegendKey val="0"/>
          <c:showVal val="0"/>
          <c:showCatName val="0"/>
          <c:showSerName val="0"/>
          <c:showPercent val="0"/>
          <c:showBubbleSize val="0"/>
        </c:dLbls>
        <c:axId val="1251494656"/>
        <c:axId val="1251495216"/>
      </c:scatterChart>
      <c:valAx>
        <c:axId val="1251494656"/>
        <c:scaling>
          <c:orientation val="minMax"/>
          <c:max val="10000"/>
        </c:scaling>
        <c:delete val="0"/>
        <c:axPos val="b"/>
        <c:title>
          <c:tx>
            <c:rich>
              <a:bodyPr/>
              <a:lstStyle/>
              <a:p>
                <a:pPr>
                  <a:defRPr/>
                </a:pPr>
                <a:r>
                  <a:rPr lang="es-BO"/>
                  <a:t>Pressure,</a:t>
                </a:r>
                <a:r>
                  <a:rPr lang="es-BO" baseline="0"/>
                  <a:t> psi</a:t>
                </a:r>
                <a:endParaRPr lang="es-BO"/>
              </a:p>
            </c:rich>
          </c:tx>
          <c:layout/>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495216"/>
        <c:crosses val="autoZero"/>
        <c:crossBetween val="midCat"/>
      </c:valAx>
      <c:valAx>
        <c:axId val="1251495216"/>
        <c:scaling>
          <c:orientation val="minMax"/>
        </c:scaling>
        <c:delete val="0"/>
        <c:axPos val="l"/>
        <c:title>
          <c:tx>
            <c:rich>
              <a:bodyPr rot="0" vert="horz"/>
              <a:lstStyle/>
              <a:p>
                <a:pPr>
                  <a:defRPr/>
                </a:pPr>
                <a:r>
                  <a:rPr lang="es-BO"/>
                  <a:t>Gas</a:t>
                </a:r>
                <a:r>
                  <a:rPr lang="es-BO" baseline="0"/>
                  <a:t> Viscosity, cp</a:t>
                </a:r>
                <a:endParaRPr lang="es-BO"/>
              </a:p>
            </c:rich>
          </c:tx>
          <c:layout>
            <c:manualLayout>
              <c:xMode val="edge"/>
              <c:yMode val="edge"/>
              <c:x val="4.6968473203144692E-2"/>
              <c:y val="1.4284176623032537E-3"/>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251494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482213438735177"/>
          <c:y val="7.6005874265716783E-2"/>
          <c:w val="0.73764609463342756"/>
          <c:h val="0.77447019419430774"/>
        </c:manualLayout>
      </c:layout>
      <c:scatterChart>
        <c:scatterStyle val="smoothMarker"/>
        <c:varyColors val="0"/>
        <c:ser>
          <c:idx val="3"/>
          <c:order val="0"/>
          <c:tx>
            <c:v>0.455 psi/ft (Water)</c:v>
          </c:tx>
          <c:spPr>
            <a:ln w="12700">
              <a:solidFill>
                <a:srgbClr val="0000FF"/>
              </a:solidFill>
            </a:ln>
          </c:spPr>
          <c:marker>
            <c:symbol val="circle"/>
            <c:size val="4"/>
            <c:spPr>
              <a:solidFill>
                <a:srgbClr val="00B0F0"/>
              </a:solidFill>
              <a:ln>
                <a:solidFill>
                  <a:srgbClr val="0000FF"/>
                </a:solidFill>
              </a:ln>
            </c:spPr>
          </c:marker>
          <c:dLbls>
            <c:dLbl>
              <c:idx val="3"/>
              <c:dLblPos val="l"/>
              <c:showLegendKey val="0"/>
              <c:showVal val="0"/>
              <c:showCatName val="0"/>
              <c:showSerName val="1"/>
              <c:showPercent val="0"/>
              <c:showBubbleSize val="0"/>
              <c:extLst>
                <c:ext xmlns:c15="http://schemas.microsoft.com/office/drawing/2012/chart" uri="{CE6537A1-D6FC-4f65-9D91-7224C49458BB}"/>
              </c:extLst>
            </c:dLbl>
            <c:spPr>
              <a:noFill/>
              <a:ln>
                <a:noFill/>
              </a:ln>
              <a:effectLst/>
            </c:spPr>
            <c:txPr>
              <a:bodyPr/>
              <a:lstStyle/>
              <a:p>
                <a:pPr>
                  <a:defRPr>
                    <a:solidFill>
                      <a:srgbClr val="0000FF"/>
                    </a:solidFill>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'Pore Pressure'!$T$5:$T$14</c:f>
              <c:numCache>
                <c:formatCode>0.0;\-0.0;"--"</c:formatCode>
                <c:ptCount val="10"/>
                <c:pt idx="0">
                  <c:v>0</c:v>
                </c:pt>
                <c:pt idx="1">
                  <c:v>1492.7821522309712</c:v>
                </c:pt>
                <c:pt idx="2">
                  <c:v>2985.5643044619424</c:v>
                </c:pt>
                <c:pt idx="3">
                  <c:v>4478.3464566929133</c:v>
                </c:pt>
                <c:pt idx="4">
                  <c:v>5971.1286089238847</c:v>
                </c:pt>
                <c:pt idx="5">
                  <c:v>7463.9107611548552</c:v>
                </c:pt>
                <c:pt idx="6">
                  <c:v>8956.6929133858266</c:v>
                </c:pt>
                <c:pt idx="7">
                  <c:v>10449.475065616798</c:v>
                </c:pt>
                <c:pt idx="8">
                  <c:v>11942.257217847769</c:v>
                </c:pt>
                <c:pt idx="9">
                  <c:v>13435.039370078739</c:v>
                </c:pt>
              </c:numCache>
            </c:numRef>
          </c:xVal>
          <c:yVal>
            <c:numRef>
              <c:f>'Pore Pressure'!$V$5:$V$14</c:f>
              <c:numCache>
                <c:formatCode>0.0;\-0.0;"--"</c:formatCode>
                <c:ptCount val="10"/>
                <c:pt idx="0">
                  <c:v>0</c:v>
                </c:pt>
                <c:pt idx="1">
                  <c:v>1000</c:v>
                </c:pt>
                <c:pt idx="2">
                  <c:v>2000</c:v>
                </c:pt>
                <c:pt idx="3">
                  <c:v>3000</c:v>
                </c:pt>
                <c:pt idx="4">
                  <c:v>4000</c:v>
                </c:pt>
                <c:pt idx="5">
                  <c:v>5000</c:v>
                </c:pt>
                <c:pt idx="6">
                  <c:v>6000</c:v>
                </c:pt>
                <c:pt idx="7">
                  <c:v>7000</c:v>
                </c:pt>
                <c:pt idx="8">
                  <c:v>8000</c:v>
                </c:pt>
                <c:pt idx="9">
                  <c:v>9000</c:v>
                </c:pt>
              </c:numCache>
            </c:numRef>
          </c:yVal>
          <c:smooth val="1"/>
        </c:ser>
        <c:ser>
          <c:idx val="2"/>
          <c:order val="1"/>
          <c:tx>
            <c:v>Overburden</c:v>
          </c:tx>
          <c:spPr>
            <a:ln w="19050">
              <a:solidFill>
                <a:srgbClr val="C00000"/>
              </a:solidFill>
              <a:prstDash val="solid"/>
            </a:ln>
            <a:effectLst/>
          </c:spPr>
          <c:marker>
            <c:symbol val="circle"/>
            <c:size val="4"/>
            <c:spPr>
              <a:solidFill>
                <a:schemeClr val="tx1"/>
              </a:solidFill>
              <a:ln>
                <a:solidFill>
                  <a:schemeClr val="dk1">
                    <a:shade val="95000"/>
                    <a:satMod val="105000"/>
                  </a:schemeClr>
                </a:solidFill>
              </a:ln>
            </c:spPr>
          </c:marker>
          <c:dLbls>
            <c:dLbl>
              <c:idx val="0"/>
              <c:delete val="1"/>
              <c:extLst>
                <c:ext xmlns:c15="http://schemas.microsoft.com/office/drawing/2012/chart" uri="{CE6537A1-D6FC-4f65-9D91-7224C49458BB}"/>
              </c:extLst>
            </c:dLbl>
            <c:dLbl>
              <c:idx val="1"/>
              <c:delete val="1"/>
              <c:extLst>
                <c:ext xmlns:c15="http://schemas.microsoft.com/office/drawing/2012/chart" uri="{CE6537A1-D6FC-4f65-9D91-7224C49458BB}"/>
              </c:extLst>
            </c:dLbl>
            <c:dLbl>
              <c:idx val="3"/>
              <c:delete val="1"/>
              <c:extLst>
                <c:ext xmlns:c15="http://schemas.microsoft.com/office/drawing/2012/chart" uri="{CE6537A1-D6FC-4f65-9D91-7224C49458BB}"/>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'Pore Pressure'!$W$5:$W$14</c:f>
              <c:numCache>
                <c:formatCode>#,##0.0;\-0.0;"--"</c:formatCode>
                <c:ptCount val="10"/>
                <c:pt idx="0">
                  <c:v>0</c:v>
                </c:pt>
                <c:pt idx="1">
                  <c:v>3280.8398950131232</c:v>
                </c:pt>
                <c:pt idx="2">
                  <c:v>6561.6797900262463</c:v>
                </c:pt>
                <c:pt idx="3">
                  <c:v>9842.5196850393695</c:v>
                </c:pt>
                <c:pt idx="4">
                  <c:v>13123.359580052493</c:v>
                </c:pt>
                <c:pt idx="5">
                  <c:v>16404.199475065616</c:v>
                </c:pt>
                <c:pt idx="6">
                  <c:v>19685.039370078739</c:v>
                </c:pt>
                <c:pt idx="7">
                  <c:v>22965.879265091862</c:v>
                </c:pt>
                <c:pt idx="8">
                  <c:v>26246.719160104985</c:v>
                </c:pt>
                <c:pt idx="9">
                  <c:v>29527.559055118109</c:v>
                </c:pt>
              </c:numCache>
            </c:numRef>
          </c:xVal>
          <c:yVal>
            <c:numRef>
              <c:f>'Pore Pressure'!$V$5:$V$14</c:f>
              <c:numCache>
                <c:formatCode>0.0;\-0.0;"--"</c:formatCode>
                <c:ptCount val="10"/>
                <c:pt idx="0">
                  <c:v>0</c:v>
                </c:pt>
                <c:pt idx="1">
                  <c:v>1000</c:v>
                </c:pt>
                <c:pt idx="2">
                  <c:v>2000</c:v>
                </c:pt>
                <c:pt idx="3">
                  <c:v>3000</c:v>
                </c:pt>
                <c:pt idx="4">
                  <c:v>4000</c:v>
                </c:pt>
                <c:pt idx="5">
                  <c:v>5000</c:v>
                </c:pt>
                <c:pt idx="6">
                  <c:v>6000</c:v>
                </c:pt>
                <c:pt idx="7">
                  <c:v>7000</c:v>
                </c:pt>
                <c:pt idx="8">
                  <c:v>8000</c:v>
                </c:pt>
                <c:pt idx="9">
                  <c:v>9000</c:v>
                </c:pt>
              </c:numCache>
            </c:numRef>
          </c:yVal>
          <c:smooth val="0"/>
        </c:ser>
        <c:ser>
          <c:idx val="16"/>
          <c:order val="3"/>
          <c:tx>
            <c:v>9 ppg (0.468 psi/ft)</c:v>
          </c:tx>
          <c:spPr>
            <a:ln w="3175">
              <a:solidFill>
                <a:srgbClr val="C00000"/>
              </a:solidFill>
              <a:prstDash val="solid"/>
            </a:ln>
            <a:effectLst/>
          </c:spPr>
          <c:marker>
            <c:symbol val="none"/>
          </c:marker>
          <c:xVal>
            <c:numRef>
              <c:f>'Pore Pressure'!$X$5:$X$14</c:f>
              <c:numCache>
                <c:formatCode>0.0;\-0.0;"--"</c:formatCode>
                <c:ptCount val="10"/>
                <c:pt idx="0">
                  <c:v>0</c:v>
                </c:pt>
                <c:pt idx="1">
                  <c:v>1535.4330708661416</c:v>
                </c:pt>
                <c:pt idx="2">
                  <c:v>3070.8661417322833</c:v>
                </c:pt>
                <c:pt idx="3">
                  <c:v>4606.2992125984247</c:v>
                </c:pt>
                <c:pt idx="4">
                  <c:v>6141.7322834645665</c:v>
                </c:pt>
                <c:pt idx="5">
                  <c:v>7677.1653543307075</c:v>
                </c:pt>
                <c:pt idx="6">
                  <c:v>9212.5984251968493</c:v>
                </c:pt>
                <c:pt idx="7">
                  <c:v>10748.031496062991</c:v>
                </c:pt>
                <c:pt idx="8">
                  <c:v>12283.464566929133</c:v>
                </c:pt>
                <c:pt idx="9">
                  <c:v>13818.897637795273</c:v>
                </c:pt>
              </c:numCache>
            </c:numRef>
          </c:xVal>
          <c:yVal>
            <c:numRef>
              <c:f>'Pore Pressure'!$V$5:$V$14</c:f>
              <c:numCache>
                <c:formatCode>0.0;\-0.0;"--"</c:formatCode>
                <c:ptCount val="10"/>
                <c:pt idx="0">
                  <c:v>0</c:v>
                </c:pt>
                <c:pt idx="1">
                  <c:v>1000</c:v>
                </c:pt>
                <c:pt idx="2">
                  <c:v>2000</c:v>
                </c:pt>
                <c:pt idx="3">
                  <c:v>3000</c:v>
                </c:pt>
                <c:pt idx="4">
                  <c:v>4000</c:v>
                </c:pt>
                <c:pt idx="5">
                  <c:v>5000</c:v>
                </c:pt>
                <c:pt idx="6">
                  <c:v>6000</c:v>
                </c:pt>
                <c:pt idx="7">
                  <c:v>7000</c:v>
                </c:pt>
                <c:pt idx="8">
                  <c:v>8000</c:v>
                </c:pt>
                <c:pt idx="9">
                  <c:v>9000</c:v>
                </c:pt>
              </c:numCache>
            </c:numRef>
          </c:yVal>
          <c:smooth val="0"/>
        </c:ser>
        <c:ser>
          <c:idx val="18"/>
          <c:order val="4"/>
          <c:tx>
            <c:v>10 ppg (0.52 psi/ft)</c:v>
          </c:tx>
          <c:spPr>
            <a:ln w="3175">
              <a:solidFill>
                <a:srgbClr val="0000FF"/>
              </a:solidFill>
              <a:prstDash val="dash"/>
            </a:ln>
            <a:effectLst/>
          </c:spPr>
          <c:marker>
            <c:symbol val="none"/>
          </c:marker>
          <c:xVal>
            <c:numRef>
              <c:f>'Pore Pressure'!$Y$5:$Y$14</c:f>
              <c:numCache>
                <c:formatCode>0.0;\-0.0;"--"</c:formatCode>
                <c:ptCount val="10"/>
                <c:pt idx="0">
                  <c:v>0</c:v>
                </c:pt>
                <c:pt idx="1">
                  <c:v>1706.0367454068241</c:v>
                </c:pt>
                <c:pt idx="2">
                  <c:v>3412.0734908136483</c:v>
                </c:pt>
                <c:pt idx="3">
                  <c:v>5118.110236220472</c:v>
                </c:pt>
                <c:pt idx="4">
                  <c:v>6824.1469816272966</c:v>
                </c:pt>
                <c:pt idx="5">
                  <c:v>8530.1837270341202</c:v>
                </c:pt>
                <c:pt idx="6">
                  <c:v>10236.220472440944</c:v>
                </c:pt>
                <c:pt idx="7">
                  <c:v>11942.257217847769</c:v>
                </c:pt>
                <c:pt idx="8">
                  <c:v>13648.293963254593</c:v>
                </c:pt>
                <c:pt idx="9">
                  <c:v>15354.330708661417</c:v>
                </c:pt>
              </c:numCache>
            </c:numRef>
          </c:xVal>
          <c:yVal>
            <c:numRef>
              <c:f>'Pore Pressure'!$V$5:$V$14</c:f>
              <c:numCache>
                <c:formatCode>0.0;\-0.0;"--"</c:formatCode>
                <c:ptCount val="10"/>
                <c:pt idx="0">
                  <c:v>0</c:v>
                </c:pt>
                <c:pt idx="1">
                  <c:v>1000</c:v>
                </c:pt>
                <c:pt idx="2">
                  <c:v>2000</c:v>
                </c:pt>
                <c:pt idx="3">
                  <c:v>3000</c:v>
                </c:pt>
                <c:pt idx="4">
                  <c:v>4000</c:v>
                </c:pt>
                <c:pt idx="5">
                  <c:v>5000</c:v>
                </c:pt>
                <c:pt idx="6">
                  <c:v>6000</c:v>
                </c:pt>
                <c:pt idx="7">
                  <c:v>7000</c:v>
                </c:pt>
                <c:pt idx="8">
                  <c:v>8000</c:v>
                </c:pt>
                <c:pt idx="9">
                  <c:v>9000</c:v>
                </c:pt>
              </c:numCache>
            </c:numRef>
          </c:yVal>
          <c:smooth val="0"/>
        </c:ser>
        <c:ser>
          <c:idx val="19"/>
          <c:order val="5"/>
          <c:tx>
            <c:v>11 ppg (0.572 psi/ft)</c:v>
          </c:tx>
          <c:spPr>
            <a:ln w="3175">
              <a:solidFill>
                <a:srgbClr val="00B050"/>
              </a:solidFill>
              <a:prstDash val="dashDot"/>
            </a:ln>
            <a:effectLst/>
          </c:spPr>
          <c:marker>
            <c:symbol val="none"/>
          </c:marker>
          <c:xVal>
            <c:numRef>
              <c:f>'Pore Pressure'!$Z$5:$Z$14</c:f>
              <c:numCache>
                <c:formatCode>0.0;\-0.0;"--"</c:formatCode>
                <c:ptCount val="10"/>
                <c:pt idx="0">
                  <c:v>0</c:v>
                </c:pt>
                <c:pt idx="1">
                  <c:v>1876.6404199475062</c:v>
                </c:pt>
                <c:pt idx="2">
                  <c:v>3753.2808398950124</c:v>
                </c:pt>
                <c:pt idx="3">
                  <c:v>5629.9212598425192</c:v>
                </c:pt>
                <c:pt idx="4">
                  <c:v>7506.5616797900248</c:v>
                </c:pt>
                <c:pt idx="5">
                  <c:v>9383.2020997375312</c:v>
                </c:pt>
                <c:pt idx="6">
                  <c:v>11259.842519685038</c:v>
                </c:pt>
                <c:pt idx="7">
                  <c:v>13136.482939632544</c:v>
                </c:pt>
                <c:pt idx="8">
                  <c:v>15013.12335958005</c:v>
                </c:pt>
                <c:pt idx="9">
                  <c:v>16889.763779527555</c:v>
                </c:pt>
              </c:numCache>
            </c:numRef>
          </c:xVal>
          <c:yVal>
            <c:numRef>
              <c:f>'Pore Pressure'!$V$5:$V$14</c:f>
              <c:numCache>
                <c:formatCode>0.0;\-0.0;"--"</c:formatCode>
                <c:ptCount val="10"/>
                <c:pt idx="0">
                  <c:v>0</c:v>
                </c:pt>
                <c:pt idx="1">
                  <c:v>1000</c:v>
                </c:pt>
                <c:pt idx="2">
                  <c:v>2000</c:v>
                </c:pt>
                <c:pt idx="3">
                  <c:v>3000</c:v>
                </c:pt>
                <c:pt idx="4">
                  <c:v>4000</c:v>
                </c:pt>
                <c:pt idx="5">
                  <c:v>5000</c:v>
                </c:pt>
                <c:pt idx="6">
                  <c:v>6000</c:v>
                </c:pt>
                <c:pt idx="7">
                  <c:v>7000</c:v>
                </c:pt>
                <c:pt idx="8">
                  <c:v>8000</c:v>
                </c:pt>
                <c:pt idx="9">
                  <c:v>9000</c:v>
                </c:pt>
              </c:numCache>
            </c:numRef>
          </c:yVal>
          <c:smooth val="0"/>
        </c:ser>
        <c:ser>
          <c:idx val="20"/>
          <c:order val="6"/>
          <c:tx>
            <c:v>12 ppg (0.624 psi/ft)</c:v>
          </c:tx>
          <c:spPr>
            <a:ln w="3175">
              <a:solidFill>
                <a:srgbClr val="000000"/>
              </a:solidFill>
              <a:prstDash val="solid"/>
            </a:ln>
            <a:effectLst/>
          </c:spPr>
          <c:marker>
            <c:symbol val="none"/>
          </c:marker>
          <c:xVal>
            <c:numRef>
              <c:f>'Pore Pressure'!$AA$5:$AA$14</c:f>
              <c:numCache>
                <c:formatCode>0.0;\-0.0;"--"</c:formatCode>
                <c:ptCount val="10"/>
                <c:pt idx="0">
                  <c:v>0</c:v>
                </c:pt>
                <c:pt idx="1">
                  <c:v>2047.2440944881889</c:v>
                </c:pt>
                <c:pt idx="2">
                  <c:v>4094.4881889763778</c:v>
                </c:pt>
                <c:pt idx="3">
                  <c:v>6141.7322834645665</c:v>
                </c:pt>
                <c:pt idx="4">
                  <c:v>8188.9763779527557</c:v>
                </c:pt>
                <c:pt idx="5">
                  <c:v>10236.220472440944</c:v>
                </c:pt>
                <c:pt idx="6">
                  <c:v>12283.464566929133</c:v>
                </c:pt>
                <c:pt idx="7">
                  <c:v>14330.708661417322</c:v>
                </c:pt>
                <c:pt idx="8">
                  <c:v>16377.952755905511</c:v>
                </c:pt>
                <c:pt idx="9">
                  <c:v>18425.196850393699</c:v>
                </c:pt>
              </c:numCache>
            </c:numRef>
          </c:xVal>
          <c:yVal>
            <c:numRef>
              <c:f>'Pore Pressure'!$V$5:$V$14</c:f>
              <c:numCache>
                <c:formatCode>0.0;\-0.0;"--"</c:formatCode>
                <c:ptCount val="10"/>
                <c:pt idx="0">
                  <c:v>0</c:v>
                </c:pt>
                <c:pt idx="1">
                  <c:v>1000</c:v>
                </c:pt>
                <c:pt idx="2">
                  <c:v>2000</c:v>
                </c:pt>
                <c:pt idx="3">
                  <c:v>3000</c:v>
                </c:pt>
                <c:pt idx="4">
                  <c:v>4000</c:v>
                </c:pt>
                <c:pt idx="5">
                  <c:v>5000</c:v>
                </c:pt>
                <c:pt idx="6">
                  <c:v>6000</c:v>
                </c:pt>
                <c:pt idx="7">
                  <c:v>7000</c:v>
                </c:pt>
                <c:pt idx="8">
                  <c:v>8000</c:v>
                </c:pt>
                <c:pt idx="9">
                  <c:v>9000</c:v>
                </c:pt>
              </c:numCache>
            </c:numRef>
          </c:yVal>
          <c:smooth val="0"/>
        </c:ser>
        <c:ser>
          <c:idx val="21"/>
          <c:order val="7"/>
          <c:tx>
            <c:v>13 ppg (0.676 psi/ft)</c:v>
          </c:tx>
          <c:spPr>
            <a:ln w="12700">
              <a:solidFill>
                <a:schemeClr val="tx1"/>
              </a:solidFill>
              <a:prstDash val="sysDash"/>
            </a:ln>
            <a:effectLst/>
          </c:spPr>
          <c:marker>
            <c:symbol val="none"/>
          </c:marker>
          <c:xVal>
            <c:numRef>
              <c:f>'Pore Pressure'!$AB$5:$AB$14</c:f>
              <c:numCache>
                <c:formatCode>0.0;\-0.0;"--"</c:formatCode>
                <c:ptCount val="10"/>
                <c:pt idx="0">
                  <c:v>0</c:v>
                </c:pt>
                <c:pt idx="1">
                  <c:v>2217.847769028871</c:v>
                </c:pt>
                <c:pt idx="2">
                  <c:v>4435.6955380577419</c:v>
                </c:pt>
                <c:pt idx="3">
                  <c:v>6653.5433070866129</c:v>
                </c:pt>
                <c:pt idx="4">
                  <c:v>8871.3910761154839</c:v>
                </c:pt>
                <c:pt idx="5">
                  <c:v>11089.238845144355</c:v>
                </c:pt>
                <c:pt idx="6">
                  <c:v>13307.086614173226</c:v>
                </c:pt>
                <c:pt idx="7">
                  <c:v>15524.934383202097</c:v>
                </c:pt>
                <c:pt idx="8">
                  <c:v>17742.782152230968</c:v>
                </c:pt>
                <c:pt idx="9">
                  <c:v>19960.629921259839</c:v>
                </c:pt>
              </c:numCache>
            </c:numRef>
          </c:xVal>
          <c:yVal>
            <c:numRef>
              <c:f>'Pore Pressure'!$V$5:$V$14</c:f>
              <c:numCache>
                <c:formatCode>0.0;\-0.0;"--"</c:formatCode>
                <c:ptCount val="10"/>
                <c:pt idx="0">
                  <c:v>0</c:v>
                </c:pt>
                <c:pt idx="1">
                  <c:v>1000</c:v>
                </c:pt>
                <c:pt idx="2">
                  <c:v>2000</c:v>
                </c:pt>
                <c:pt idx="3">
                  <c:v>3000</c:v>
                </c:pt>
                <c:pt idx="4">
                  <c:v>4000</c:v>
                </c:pt>
                <c:pt idx="5">
                  <c:v>5000</c:v>
                </c:pt>
                <c:pt idx="6">
                  <c:v>6000</c:v>
                </c:pt>
                <c:pt idx="7">
                  <c:v>7000</c:v>
                </c:pt>
                <c:pt idx="8">
                  <c:v>8000</c:v>
                </c:pt>
                <c:pt idx="9">
                  <c:v>9000</c:v>
                </c:pt>
              </c:numCache>
            </c:numRef>
          </c:yVal>
          <c:smooth val="0"/>
        </c:ser>
        <c:ser>
          <c:idx val="22"/>
          <c:order val="8"/>
          <c:tx>
            <c:v>14 ppg (0.728 psi/ft)</c:v>
          </c:tx>
          <c:spPr>
            <a:ln w="3175">
              <a:solidFill>
                <a:schemeClr val="accent1">
                  <a:lumMod val="50000"/>
                </a:schemeClr>
              </a:solidFill>
              <a:prstDash val="solid"/>
            </a:ln>
            <a:effectLst/>
          </c:spPr>
          <c:marker>
            <c:symbol val="none"/>
          </c:marker>
          <c:xVal>
            <c:numRef>
              <c:f>'Pore Pressure'!$AC$5:$AC$14</c:f>
              <c:numCache>
                <c:formatCode>0.0;\-0.0;"--"</c:formatCode>
                <c:ptCount val="10"/>
                <c:pt idx="0">
                  <c:v>0</c:v>
                </c:pt>
                <c:pt idx="1">
                  <c:v>2388.4514435695537</c:v>
                </c:pt>
                <c:pt idx="2">
                  <c:v>4776.9028871391074</c:v>
                </c:pt>
                <c:pt idx="3">
                  <c:v>7165.3543307086611</c:v>
                </c:pt>
                <c:pt idx="4">
                  <c:v>9553.8057742782148</c:v>
                </c:pt>
                <c:pt idx="5">
                  <c:v>11942.257217847768</c:v>
                </c:pt>
                <c:pt idx="6">
                  <c:v>14330.708661417322</c:v>
                </c:pt>
                <c:pt idx="7">
                  <c:v>16719.160104986877</c:v>
                </c:pt>
                <c:pt idx="8">
                  <c:v>19107.61154855643</c:v>
                </c:pt>
                <c:pt idx="9">
                  <c:v>21496.062992125982</c:v>
                </c:pt>
              </c:numCache>
            </c:numRef>
          </c:xVal>
          <c:yVal>
            <c:numRef>
              <c:f>'Pore Pressure'!$V$5:$V$14</c:f>
              <c:numCache>
                <c:formatCode>0.0;\-0.0;"--"</c:formatCode>
                <c:ptCount val="10"/>
                <c:pt idx="0">
                  <c:v>0</c:v>
                </c:pt>
                <c:pt idx="1">
                  <c:v>1000</c:v>
                </c:pt>
                <c:pt idx="2">
                  <c:v>2000</c:v>
                </c:pt>
                <c:pt idx="3">
                  <c:v>3000</c:v>
                </c:pt>
                <c:pt idx="4">
                  <c:v>4000</c:v>
                </c:pt>
                <c:pt idx="5">
                  <c:v>5000</c:v>
                </c:pt>
                <c:pt idx="6">
                  <c:v>6000</c:v>
                </c:pt>
                <c:pt idx="7">
                  <c:v>7000</c:v>
                </c:pt>
                <c:pt idx="8">
                  <c:v>8000</c:v>
                </c:pt>
                <c:pt idx="9">
                  <c:v>9000</c:v>
                </c:pt>
              </c:numCache>
            </c:numRef>
          </c:yVal>
          <c:smooth val="0"/>
        </c:ser>
        <c:ser>
          <c:idx val="0"/>
          <c:order val="9"/>
          <c:tx>
            <c:v>HMP, 4500 m.</c:v>
          </c:tx>
          <c:spPr>
            <a:ln w="3175">
              <a:solidFill>
                <a:srgbClr val="000000"/>
              </a:solidFill>
              <a:prstDash val="sysDash"/>
            </a:ln>
            <a:effectLst/>
          </c:spPr>
          <c:marker>
            <c:symbol val="square"/>
            <c:size val="3"/>
            <c:spPr>
              <a:solidFill>
                <a:srgbClr val="000000"/>
              </a:solidFill>
              <a:ln>
                <a:solidFill>
                  <a:srgbClr val="000000"/>
                </a:solidFill>
                <a:prstDash val="solid"/>
              </a:ln>
            </c:spPr>
          </c:marker>
          <c:dLbls>
            <c:dLbl>
              <c:idx val="1"/>
              <c:dLblPos val="r"/>
              <c:showLegendKey val="0"/>
              <c:showVal val="0"/>
              <c:showCatName val="0"/>
              <c:showSerName val="1"/>
              <c:showPercent val="0"/>
              <c:showBubbleSize val="0"/>
              <c:extLst>
                <c:ext xmlns:c15="http://schemas.microsoft.com/office/drawing/2012/chart" uri="{CE6537A1-D6FC-4f65-9D91-7224C49458BB}"/>
              </c:extLst>
            </c:dLbl>
            <c:spPr>
              <a:noFill/>
              <a:ln>
                <a:noFill/>
              </a:ln>
              <a:effectLst/>
            </c:spPr>
            <c:txPr>
              <a:bodyPr/>
              <a:lstStyle/>
              <a:p>
                <a:pPr>
                  <a:defRPr sz="800" b="1"/>
                </a:pPr>
                <a:endParaRPr lang="es-BO"/>
              </a:p>
            </c:txPr>
            <c:dLblPos val="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20</c:v>
              </c:pt>
              <c:pt idx="1">
                <c:v>10000</c:v>
              </c:pt>
            </c:numLit>
          </c:xVal>
          <c:yVal>
            <c:numLit>
              <c:formatCode>General</c:formatCode>
              <c:ptCount val="2"/>
              <c:pt idx="0">
                <c:v>4500</c:v>
              </c:pt>
              <c:pt idx="1">
                <c:v>4500</c:v>
              </c:pt>
            </c:numLit>
          </c:yVal>
          <c:smooth val="0"/>
        </c:ser>
        <c:ser>
          <c:idx val="1"/>
          <c:order val="10"/>
          <c:tx>
            <c:v>Top: 8318.5 psi @ 4500 m.</c:v>
          </c:tx>
          <c:spPr>
            <a:ln w="3175">
              <a:solidFill>
                <a:srgbClr val="000000"/>
              </a:solidFill>
              <a:prstDash val="sysDash"/>
            </a:ln>
            <a:effectLst/>
          </c:spPr>
          <c:marker>
            <c:symbol val="square"/>
            <c:size val="3"/>
            <c:spPr>
              <a:solidFill>
                <a:srgbClr val="000000"/>
              </a:solidFill>
              <a:ln>
                <a:solidFill>
                  <a:srgbClr val="000000"/>
                </a:solidFill>
                <a:prstDash val="solid"/>
              </a:ln>
            </c:spPr>
          </c:marker>
          <c:dLbls>
            <c:dLbl>
              <c:idx val="0"/>
              <c:tx>
                <c:rich>
                  <a:bodyPr/>
                  <a:lstStyle/>
                  <a:p>
                    <a:r>
                      <a:rPr lang="es-BO"/>
                      <a:t>Top: 8318.5 psi @ 4500 m.</a:t>
                    </a:r>
                  </a:p>
                </c:rich>
              </c:tx>
              <c:dLblPos val="r"/>
              <c:showLegendKey val="0"/>
              <c:showVal val="0"/>
              <c:showCatName val="0"/>
              <c:showSerName val="1"/>
              <c:showPercent val="0"/>
              <c:showBubbleSize val="0"/>
              <c:extLst>
                <c:ext xmlns:c15="http://schemas.microsoft.com/office/drawing/2012/chart" uri="{CE6537A1-D6FC-4f65-9D91-7224C49458BB}"/>
              </c:extLst>
            </c:dLbl>
            <c:spPr>
              <a:solidFill>
                <a:srgbClr val="FFC000">
                  <a:lumMod val="20000"/>
                  <a:lumOff val="80000"/>
                </a:srgbClr>
              </a:solidFill>
            </c:spPr>
            <c:txPr>
              <a:bodyPr/>
              <a:lstStyle/>
              <a:p>
                <a:pPr>
                  <a:defRPr sz="800" b="1"/>
                </a:pPr>
                <a:endParaRPr lang="es-BO"/>
              </a:p>
            </c:txPr>
            <c:dLblPos val="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20</c:v>
              </c:pt>
              <c:pt idx="1">
                <c:v>8318.5057742782192</c:v>
              </c:pt>
            </c:numLit>
          </c:xVal>
          <c:yVal>
            <c:numLit>
              <c:formatCode>General</c:formatCode>
              <c:ptCount val="2"/>
              <c:pt idx="0">
                <c:v>4500</c:v>
              </c:pt>
              <c:pt idx="1">
                <c:v>4500</c:v>
              </c:pt>
            </c:numLit>
          </c:yVal>
          <c:smooth val="0"/>
        </c:ser>
        <c:ser>
          <c:idx val="4"/>
          <c:order val="11"/>
          <c:tx>
            <c:v>GWC: 8328.3 psi @ 4525 m.</c:v>
          </c:tx>
          <c:spPr>
            <a:ln w="3175">
              <a:solidFill>
                <a:srgbClr val="000000"/>
              </a:solidFill>
              <a:prstDash val="sysDash"/>
            </a:ln>
            <a:effectLst/>
          </c:spPr>
          <c:marker>
            <c:symbol val="square"/>
            <c:size val="3"/>
            <c:spPr>
              <a:solidFill>
                <a:srgbClr val="000000"/>
              </a:solidFill>
              <a:ln>
                <a:solidFill>
                  <a:srgbClr val="000000"/>
                </a:solidFill>
                <a:prstDash val="solid"/>
              </a:ln>
            </c:spPr>
          </c:marker>
          <c:dLbls>
            <c:dLbl>
              <c:idx val="0"/>
              <c:tx>
                <c:rich>
                  <a:bodyPr/>
                  <a:lstStyle/>
                  <a:p>
                    <a:r>
                      <a:rPr lang="es-BO"/>
                      <a:t>GWC: 8328.3 psi @ 4525 m.</a:t>
                    </a:r>
                  </a:p>
                </c:rich>
              </c:tx>
              <c:dLblPos val="r"/>
              <c:showLegendKey val="0"/>
              <c:showVal val="0"/>
              <c:showCatName val="0"/>
              <c:showSerName val="1"/>
              <c:showPercent val="0"/>
              <c:showBubbleSize val="0"/>
              <c:extLst>
                <c:ext xmlns:c15="http://schemas.microsoft.com/office/drawing/2012/chart" uri="{CE6537A1-D6FC-4f65-9D91-7224C49458BB}"/>
              </c:extLst>
            </c:dLbl>
            <c:spPr>
              <a:solidFill>
                <a:srgbClr val="FFC000">
                  <a:lumMod val="20000"/>
                  <a:lumOff val="80000"/>
                </a:srgbClr>
              </a:solidFill>
            </c:spPr>
            <c:txPr>
              <a:bodyPr/>
              <a:lstStyle/>
              <a:p>
                <a:pPr>
                  <a:defRPr sz="800" b="1"/>
                </a:pPr>
                <a:endParaRPr lang="es-BO"/>
              </a:p>
            </c:txPr>
            <c:dLblPos val="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20</c:v>
              </c:pt>
              <c:pt idx="1">
                <c:v>8328.3482939632595</c:v>
              </c:pt>
            </c:numLit>
          </c:xVal>
          <c:yVal>
            <c:numLit>
              <c:formatCode>General</c:formatCode>
              <c:ptCount val="2"/>
              <c:pt idx="0">
                <c:v>4525</c:v>
              </c:pt>
              <c:pt idx="1">
                <c:v>4525</c:v>
              </c:pt>
            </c:numLit>
          </c:yVal>
          <c:smooth val="0"/>
        </c:ser>
        <c:dLbls>
          <c:showLegendKey val="0"/>
          <c:showVal val="0"/>
          <c:showCatName val="0"/>
          <c:showSerName val="0"/>
          <c:showPercent val="0"/>
          <c:showBubbleSize val="0"/>
        </c:dLbls>
        <c:axId val="1285715408"/>
        <c:axId val="1285715968"/>
      </c:scatterChart>
      <c:scatterChart>
        <c:scatterStyle val="smoothMarker"/>
        <c:varyColors val="0"/>
        <c:ser>
          <c:idx val="17"/>
          <c:order val="2"/>
          <c:tx>
            <c:v>Secondary Axis</c:v>
          </c:tx>
          <c:marker>
            <c:symbol val="circle"/>
            <c:size val="7"/>
            <c:spPr>
              <a:solidFill>
                <a:schemeClr val="tx1"/>
              </a:solidFill>
              <a:ln>
                <a:solidFill>
                  <a:schemeClr val="tx1"/>
                </a:solidFill>
              </a:ln>
            </c:spPr>
          </c:marker>
          <c:xVal>
            <c:numLit>
              <c:formatCode>General</c:formatCode>
              <c:ptCount val="1"/>
              <c:pt idx="0">
                <c:v>1</c:v>
              </c:pt>
            </c:numLit>
          </c:xVal>
          <c:yVal>
            <c:numLit>
              <c:formatCode>General</c:formatCode>
              <c:ptCount val="1"/>
              <c:pt idx="0">
                <c:v>1</c:v>
              </c:pt>
            </c:numLit>
          </c:yVal>
          <c:smooth val="1"/>
        </c:ser>
        <c:dLbls>
          <c:showLegendKey val="0"/>
          <c:showVal val="0"/>
          <c:showCatName val="0"/>
          <c:showSerName val="0"/>
          <c:showPercent val="0"/>
          <c:showBubbleSize val="0"/>
        </c:dLbls>
        <c:axId val="1285717088"/>
        <c:axId val="1285716528"/>
      </c:scatterChart>
      <c:valAx>
        <c:axId val="1285715408"/>
        <c:scaling>
          <c:orientation val="minMax"/>
          <c:max val="10000"/>
          <c:min val="0"/>
        </c:scaling>
        <c:delete val="0"/>
        <c:axPos val="t"/>
        <c:majorGridlines>
          <c:spPr>
            <a:ln w="3175">
              <a:solidFill>
                <a:schemeClr val="bg1">
                  <a:lumMod val="95000"/>
                </a:schemeClr>
              </a:solidFill>
              <a:prstDash val="sysDash"/>
            </a:ln>
          </c:spPr>
        </c:majorGridlines>
        <c:title>
          <c:tx>
            <c:rich>
              <a:bodyPr/>
              <a:lstStyle/>
              <a:p>
                <a:pPr>
                  <a:defRPr/>
                </a:pPr>
                <a:r>
                  <a:rPr lang="es-BO"/>
                  <a:t>Pressure, psi</a:t>
                </a:r>
              </a:p>
            </c:rich>
          </c:tx>
          <c:layout>
            <c:manualLayout>
              <c:xMode val="edge"/>
              <c:yMode val="edge"/>
              <c:x val="0.76001355561780071"/>
              <c:y val="2.0965748936528403E-2"/>
            </c:manualLayout>
          </c:layout>
          <c:overlay val="0"/>
        </c:title>
        <c:numFmt formatCode="General" sourceLinked="0"/>
        <c:majorTickMark val="out"/>
        <c:minorTickMark val="in"/>
        <c:tickLblPos val="nextTo"/>
        <c:spPr>
          <a:ln w="12700">
            <a:solidFill>
              <a:srgbClr val="000000"/>
            </a:solidFill>
            <a:prstDash val="solid"/>
          </a:ln>
        </c:spPr>
        <c:txPr>
          <a:bodyPr rot="0" vert="horz"/>
          <a:lstStyle/>
          <a:p>
            <a:pPr>
              <a:defRPr sz="1000" b="1"/>
            </a:pPr>
            <a:endParaRPr lang="es-BO"/>
          </a:p>
        </c:txPr>
        <c:crossAx val="1285715968"/>
        <c:crossesAt val="0"/>
        <c:crossBetween val="midCat"/>
      </c:valAx>
      <c:valAx>
        <c:axId val="1285715968"/>
        <c:scaling>
          <c:orientation val="maxMin"/>
          <c:max val="5000"/>
          <c:min val="0"/>
        </c:scaling>
        <c:delete val="0"/>
        <c:axPos val="l"/>
        <c:majorGridlines>
          <c:spPr>
            <a:ln w="3175">
              <a:solidFill>
                <a:schemeClr val="bg1">
                  <a:lumMod val="95000"/>
                </a:schemeClr>
              </a:solidFill>
              <a:prstDash val="sysDash"/>
            </a:ln>
          </c:spPr>
        </c:majorGridlines>
        <c:title>
          <c:tx>
            <c:rich>
              <a:bodyPr rot="-5400000" vert="horz"/>
              <a:lstStyle/>
              <a:p>
                <a:pPr>
                  <a:defRPr/>
                </a:pPr>
                <a:r>
                  <a:rPr lang="es-BO"/>
                  <a:t>Depth, m</a:t>
                </a:r>
              </a:p>
            </c:rich>
          </c:tx>
          <c:layout>
            <c:manualLayout>
              <c:xMode val="edge"/>
              <c:yMode val="edge"/>
              <c:x val="1.564567274940435E-2"/>
              <c:y val="0.43419090820729872"/>
            </c:manualLayout>
          </c:layout>
          <c:overlay val="0"/>
        </c:title>
        <c:numFmt formatCode="#,##0" sourceLinked="0"/>
        <c:majorTickMark val="out"/>
        <c:minorTickMark val="in"/>
        <c:tickLblPos val="nextTo"/>
        <c:spPr>
          <a:ln w="12700">
            <a:solidFill>
              <a:srgbClr val="000000"/>
            </a:solidFill>
            <a:prstDash val="solid"/>
          </a:ln>
        </c:spPr>
        <c:txPr>
          <a:bodyPr rot="0" vert="horz"/>
          <a:lstStyle/>
          <a:p>
            <a:pPr>
              <a:defRPr sz="1000" b="1"/>
            </a:pPr>
            <a:endParaRPr lang="es-BO"/>
          </a:p>
        </c:txPr>
        <c:crossAx val="1285715408"/>
        <c:crossesAt val="0"/>
        <c:crossBetween val="midCat"/>
      </c:valAx>
      <c:valAx>
        <c:axId val="1285716528"/>
        <c:scaling>
          <c:orientation val="maxMin"/>
          <c:max val="5000"/>
          <c:min val="0"/>
        </c:scaling>
        <c:delete val="1"/>
        <c:axPos val="r"/>
        <c:numFmt formatCode="#,##0" sourceLinked="0"/>
        <c:majorTickMark val="out"/>
        <c:minorTickMark val="in"/>
        <c:tickLblPos val="nextTo"/>
        <c:crossAx val="1285717088"/>
        <c:crosses val="max"/>
        <c:crossBetween val="midCat"/>
      </c:valAx>
      <c:valAx>
        <c:axId val="1285717088"/>
        <c:scaling>
          <c:orientation val="minMax"/>
          <c:max val="10000"/>
          <c:min val="0"/>
        </c:scaling>
        <c:delete val="0"/>
        <c:axPos val="b"/>
        <c:title>
          <c:tx>
            <c:rich>
              <a:bodyPr/>
              <a:lstStyle/>
              <a:p>
                <a:pPr>
                  <a:defRPr/>
                </a:pPr>
                <a:r>
                  <a:rPr lang="es-BO"/>
                  <a:t>Pressure, psi</a:t>
                </a:r>
              </a:p>
            </c:rich>
          </c:tx>
          <c:layout>
            <c:manualLayout>
              <c:xMode val="edge"/>
              <c:yMode val="edge"/>
              <c:x val="0.75979929386297074"/>
              <c:y val="0.87636093437611762"/>
            </c:manualLayout>
          </c:layout>
          <c:overlay val="0"/>
        </c:title>
        <c:numFmt formatCode="General" sourceLinked="0"/>
        <c:majorTickMark val="out"/>
        <c:minorTickMark val="in"/>
        <c:tickLblPos val="nextTo"/>
        <c:spPr>
          <a:ln w="15875">
            <a:solidFill>
              <a:schemeClr val="dk1">
                <a:shade val="95000"/>
                <a:satMod val="105000"/>
              </a:schemeClr>
            </a:solidFill>
          </a:ln>
        </c:spPr>
        <c:txPr>
          <a:bodyPr/>
          <a:lstStyle/>
          <a:p>
            <a:pPr>
              <a:defRPr sz="1000" b="1"/>
            </a:pPr>
            <a:endParaRPr lang="es-BO"/>
          </a:p>
        </c:txPr>
        <c:crossAx val="1285716528"/>
        <c:crosses val="max"/>
        <c:crossBetween val="midCat"/>
      </c:valAx>
      <c:spPr>
        <a:solidFill>
          <a:srgbClr val="FFFFFF"/>
        </a:solidFill>
        <a:ln w="9525">
          <a:solidFill>
            <a:schemeClr val="tx1"/>
          </a:solidFill>
        </a:ln>
      </c:spPr>
    </c:plotArea>
    <c:legend>
      <c:legendPos val="l"/>
      <c:legendEntry>
        <c:idx val="10"/>
        <c:delete val="1"/>
      </c:legendEntry>
      <c:legendEntry>
        <c:idx val="11"/>
        <c:delete val="1"/>
      </c:legendEntry>
      <c:layout>
        <c:manualLayout>
          <c:xMode val="edge"/>
          <c:yMode val="edge"/>
          <c:x val="1.3286165316291985E-2"/>
          <c:y val="0.9134252505151681"/>
          <c:w val="0.95587438921913415"/>
          <c:h val="7.5585543018106105E-2"/>
        </c:manualLayout>
      </c:layout>
      <c:overlay val="0"/>
      <c:spPr>
        <a:ln>
          <a:solidFill>
            <a:schemeClr val="tx1"/>
          </a:solidFill>
        </a:ln>
      </c:spPr>
      <c:txPr>
        <a:bodyPr/>
        <a:lstStyle/>
        <a:p>
          <a:pPr>
            <a:defRPr sz="900"/>
          </a:pPr>
          <a:endParaRPr lang="es-BO"/>
        </a:p>
      </c:txPr>
    </c:legend>
    <c:plotVisOnly val="1"/>
    <c:dispBlanksAs val="gap"/>
    <c:showDLblsOverMax val="0"/>
  </c:chart>
  <c:spPr>
    <a:solidFill>
      <a:schemeClr val="bg1"/>
    </a:solidFill>
    <a:ln w="9525" cap="flat" cmpd="sng" algn="ctr">
      <a:solidFill>
        <a:schemeClr val="tx1"/>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0.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image" Target="../media/image2.jpe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9.xml"/><Relationship Id="rId3" Type="http://schemas.openxmlformats.org/officeDocument/2006/relationships/chart" Target="../charts/chart24.xml"/><Relationship Id="rId7" Type="http://schemas.openxmlformats.org/officeDocument/2006/relationships/chart" Target="../charts/chart28.xml"/><Relationship Id="rId12" Type="http://schemas.openxmlformats.org/officeDocument/2006/relationships/chart" Target="../charts/chart33.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11" Type="http://schemas.openxmlformats.org/officeDocument/2006/relationships/chart" Target="../charts/chart32.xml"/><Relationship Id="rId5" Type="http://schemas.openxmlformats.org/officeDocument/2006/relationships/chart" Target="../charts/chart26.xml"/><Relationship Id="rId10" Type="http://schemas.openxmlformats.org/officeDocument/2006/relationships/chart" Target="../charts/chart31.xml"/><Relationship Id="rId4" Type="http://schemas.openxmlformats.org/officeDocument/2006/relationships/chart" Target="../charts/chart25.xml"/><Relationship Id="rId9" Type="http://schemas.openxmlformats.org/officeDocument/2006/relationships/chart" Target="../charts/chart3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4" Type="http://schemas.openxmlformats.org/officeDocument/2006/relationships/chart" Target="../charts/chart3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5.xml.rels><?xml version="1.0" encoding="UTF-8" standalone="yes"?>
<Relationships xmlns="http://schemas.openxmlformats.org/package/2006/relationships"><Relationship Id="rId8" Type="http://schemas.openxmlformats.org/officeDocument/2006/relationships/image" Target="../media/image24.png"/><Relationship Id="rId13" Type="http://schemas.openxmlformats.org/officeDocument/2006/relationships/image" Target="../media/image29.png"/><Relationship Id="rId3" Type="http://schemas.openxmlformats.org/officeDocument/2006/relationships/image" Target="../media/image19.png"/><Relationship Id="rId7" Type="http://schemas.openxmlformats.org/officeDocument/2006/relationships/image" Target="../media/image23.png"/><Relationship Id="rId12" Type="http://schemas.openxmlformats.org/officeDocument/2006/relationships/image" Target="../media/image28.png"/><Relationship Id="rId2" Type="http://schemas.openxmlformats.org/officeDocument/2006/relationships/image" Target="../media/image18.png"/><Relationship Id="rId16" Type="http://schemas.openxmlformats.org/officeDocument/2006/relationships/image" Target="../media/image32.png"/><Relationship Id="rId1" Type="http://schemas.openxmlformats.org/officeDocument/2006/relationships/image" Target="../media/image17.png"/><Relationship Id="rId6" Type="http://schemas.openxmlformats.org/officeDocument/2006/relationships/image" Target="../media/image22.png"/><Relationship Id="rId11" Type="http://schemas.openxmlformats.org/officeDocument/2006/relationships/image" Target="../media/image27.png"/><Relationship Id="rId5" Type="http://schemas.openxmlformats.org/officeDocument/2006/relationships/image" Target="../media/image21.png"/><Relationship Id="rId15" Type="http://schemas.openxmlformats.org/officeDocument/2006/relationships/image" Target="../media/image31.png"/><Relationship Id="rId10" Type="http://schemas.openxmlformats.org/officeDocument/2006/relationships/image" Target="../media/image26.png"/><Relationship Id="rId4" Type="http://schemas.openxmlformats.org/officeDocument/2006/relationships/image" Target="../media/image20.png"/><Relationship Id="rId9" Type="http://schemas.openxmlformats.org/officeDocument/2006/relationships/image" Target="../media/image25.png"/><Relationship Id="rId14" Type="http://schemas.openxmlformats.org/officeDocument/2006/relationships/image" Target="../media/image30.png"/></Relationships>
</file>

<file path=xl/drawings/_rels/drawing6.xml.rels><?xml version="1.0" encoding="UTF-8" standalone="yes"?>
<Relationships xmlns="http://schemas.openxmlformats.org/package/2006/relationships"><Relationship Id="rId8" Type="http://schemas.openxmlformats.org/officeDocument/2006/relationships/image" Target="../media/image42.png"/><Relationship Id="rId3" Type="http://schemas.openxmlformats.org/officeDocument/2006/relationships/image" Target="../media/image37.png"/><Relationship Id="rId7" Type="http://schemas.openxmlformats.org/officeDocument/2006/relationships/image" Target="../media/image41.png"/><Relationship Id="rId12" Type="http://schemas.openxmlformats.org/officeDocument/2006/relationships/chart" Target="../charts/chart42.xml"/><Relationship Id="rId2" Type="http://schemas.openxmlformats.org/officeDocument/2006/relationships/image" Target="../media/image36.png"/><Relationship Id="rId1" Type="http://schemas.openxmlformats.org/officeDocument/2006/relationships/image" Target="../media/image35.png"/><Relationship Id="rId6" Type="http://schemas.openxmlformats.org/officeDocument/2006/relationships/image" Target="../media/image40.png"/><Relationship Id="rId11" Type="http://schemas.openxmlformats.org/officeDocument/2006/relationships/chart" Target="../charts/chart41.xml"/><Relationship Id="rId5" Type="http://schemas.openxmlformats.org/officeDocument/2006/relationships/image" Target="../media/image39.png"/><Relationship Id="rId10" Type="http://schemas.openxmlformats.org/officeDocument/2006/relationships/chart" Target="../charts/chart40.xml"/><Relationship Id="rId4" Type="http://schemas.openxmlformats.org/officeDocument/2006/relationships/image" Target="../media/image38.png"/><Relationship Id="rId9" Type="http://schemas.openxmlformats.org/officeDocument/2006/relationships/chart" Target="../charts/chart3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5.emf"/><Relationship Id="rId5" Type="http://schemas.openxmlformats.org/officeDocument/2006/relationships/image" Target="../media/image10.emf"/><Relationship Id="rId10" Type="http://schemas.openxmlformats.org/officeDocument/2006/relationships/image" Target="../media/image15.emf"/><Relationship Id="rId4" Type="http://schemas.openxmlformats.org/officeDocument/2006/relationships/image" Target="../media/image9.emf"/><Relationship Id="rId9"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drawing1.xml><?xml version="1.0" encoding="utf-8"?>
<xdr:wsDr xmlns:xdr="http://schemas.openxmlformats.org/drawingml/2006/spreadsheetDrawing" xmlns:a="http://schemas.openxmlformats.org/drawingml/2006/main">
  <xdr:twoCellAnchor>
    <xdr:from>
      <xdr:col>9</xdr:col>
      <xdr:colOff>0</xdr:colOff>
      <xdr:row>1</xdr:row>
      <xdr:rowOff>0</xdr:rowOff>
    </xdr:from>
    <xdr:to>
      <xdr:col>16</xdr:col>
      <xdr:colOff>0</xdr:colOff>
      <xdr:row>15</xdr:row>
      <xdr:rowOff>0</xdr:rowOff>
    </xdr:to>
    <xdr:graphicFrame macro="">
      <xdr:nvGraphicFramePr>
        <xdr:cNvPr id="2" name="Rock_Vol"/>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29</xdr:row>
      <xdr:rowOff>0</xdr:rowOff>
    </xdr:from>
    <xdr:to>
      <xdr:col>16</xdr:col>
      <xdr:colOff>0</xdr:colOff>
      <xdr:row>48</xdr:row>
      <xdr:rowOff>0</xdr:rowOff>
    </xdr:to>
    <xdr:graphicFrame macro="">
      <xdr:nvGraphicFramePr>
        <xdr:cNvPr id="3" name="Poros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48</xdr:row>
      <xdr:rowOff>0</xdr:rowOff>
    </xdr:from>
    <xdr:to>
      <xdr:col>16</xdr:col>
      <xdr:colOff>0</xdr:colOff>
      <xdr:row>67</xdr:row>
      <xdr:rowOff>0</xdr:rowOff>
    </xdr:to>
    <xdr:graphicFrame macro="">
      <xdr:nvGraphicFramePr>
        <xdr:cNvPr id="4" name="S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15</xdr:row>
      <xdr:rowOff>0</xdr:rowOff>
    </xdr:from>
    <xdr:to>
      <xdr:col>16</xdr:col>
      <xdr:colOff>0</xdr:colOff>
      <xdr:row>29</xdr:row>
      <xdr:rowOff>0</xdr:rowOff>
    </xdr:to>
    <xdr:graphicFrame macro="">
      <xdr:nvGraphicFramePr>
        <xdr:cNvPr id="5" name="NT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0</xdr:colOff>
      <xdr:row>86</xdr:row>
      <xdr:rowOff>0</xdr:rowOff>
    </xdr:from>
    <xdr:to>
      <xdr:col>23</xdr:col>
      <xdr:colOff>0</xdr:colOff>
      <xdr:row>105</xdr:row>
      <xdr:rowOff>0</xdr:rowOff>
    </xdr:to>
    <xdr:graphicFrame macro="">
      <xdr:nvGraphicFramePr>
        <xdr:cNvPr id="11" name="Oil Recovery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15</xdr:row>
      <xdr:rowOff>0</xdr:rowOff>
    </xdr:from>
    <xdr:to>
      <xdr:col>23</xdr:col>
      <xdr:colOff>0</xdr:colOff>
      <xdr:row>29</xdr:row>
      <xdr:rowOff>0</xdr:rowOff>
    </xdr:to>
    <xdr:graphicFrame macro="">
      <xdr:nvGraphicFramePr>
        <xdr:cNvPr id="13" name="NTG_Distributi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0</xdr:colOff>
      <xdr:row>15</xdr:row>
      <xdr:rowOff>0</xdr:rowOff>
    </xdr:from>
    <xdr:to>
      <xdr:col>30</xdr:col>
      <xdr:colOff>0</xdr:colOff>
      <xdr:row>29</xdr:row>
      <xdr:rowOff>0</xdr:rowOff>
    </xdr:to>
    <xdr:graphicFrame macro="">
      <xdr:nvGraphicFramePr>
        <xdr:cNvPr id="14" name="NTG_Cum"/>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29</xdr:row>
      <xdr:rowOff>0</xdr:rowOff>
    </xdr:from>
    <xdr:to>
      <xdr:col>23</xdr:col>
      <xdr:colOff>0</xdr:colOff>
      <xdr:row>48</xdr:row>
      <xdr:rowOff>0</xdr:rowOff>
    </xdr:to>
    <xdr:graphicFrame macro="">
      <xdr:nvGraphicFramePr>
        <xdr:cNvPr id="15" name="Porosity_Distributi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0</xdr:colOff>
      <xdr:row>29</xdr:row>
      <xdr:rowOff>0</xdr:rowOff>
    </xdr:from>
    <xdr:to>
      <xdr:col>30</xdr:col>
      <xdr:colOff>0</xdr:colOff>
      <xdr:row>48</xdr:row>
      <xdr:rowOff>0</xdr:rowOff>
    </xdr:to>
    <xdr:graphicFrame macro="">
      <xdr:nvGraphicFramePr>
        <xdr:cNvPr id="16" name="Porosity_Cum"/>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0</xdr:colOff>
      <xdr:row>67</xdr:row>
      <xdr:rowOff>0</xdr:rowOff>
    </xdr:from>
    <xdr:to>
      <xdr:col>23</xdr:col>
      <xdr:colOff>0</xdr:colOff>
      <xdr:row>86</xdr:row>
      <xdr:rowOff>0</xdr:rowOff>
    </xdr:to>
    <xdr:graphicFrame macro="">
      <xdr:nvGraphicFramePr>
        <xdr:cNvPr id="17" name="Sg_Distributi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0</xdr:colOff>
      <xdr:row>67</xdr:row>
      <xdr:rowOff>0</xdr:rowOff>
    </xdr:from>
    <xdr:to>
      <xdr:col>30</xdr:col>
      <xdr:colOff>0</xdr:colOff>
      <xdr:row>86</xdr:row>
      <xdr:rowOff>0</xdr:rowOff>
    </xdr:to>
    <xdr:graphicFrame macro="">
      <xdr:nvGraphicFramePr>
        <xdr:cNvPr id="18" name="Sg_Cum"/>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48</xdr:row>
      <xdr:rowOff>0</xdr:rowOff>
    </xdr:from>
    <xdr:to>
      <xdr:col>23</xdr:col>
      <xdr:colOff>0</xdr:colOff>
      <xdr:row>67</xdr:row>
      <xdr:rowOff>0</xdr:rowOff>
    </xdr:to>
    <xdr:graphicFrame macro="">
      <xdr:nvGraphicFramePr>
        <xdr:cNvPr id="19" name="Sw_Distributi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23</xdr:col>
      <xdr:colOff>0</xdr:colOff>
      <xdr:row>48</xdr:row>
      <xdr:rowOff>0</xdr:rowOff>
    </xdr:from>
    <xdr:to>
      <xdr:col>30</xdr:col>
      <xdr:colOff>0</xdr:colOff>
      <xdr:row>67</xdr:row>
      <xdr:rowOff>0</xdr:rowOff>
    </xdr:to>
    <xdr:graphicFrame macro="">
      <xdr:nvGraphicFramePr>
        <xdr:cNvPr id="20" name="Sw_Cum"/>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67</xdr:row>
      <xdr:rowOff>0</xdr:rowOff>
    </xdr:from>
    <xdr:to>
      <xdr:col>16</xdr:col>
      <xdr:colOff>0</xdr:colOff>
      <xdr:row>86</xdr:row>
      <xdr:rowOff>0</xdr:rowOff>
    </xdr:to>
    <xdr:graphicFrame macro="">
      <xdr:nvGraphicFramePr>
        <xdr:cNvPr id="21" name="S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0</xdr:colOff>
      <xdr:row>105</xdr:row>
      <xdr:rowOff>0</xdr:rowOff>
    </xdr:from>
    <xdr:to>
      <xdr:col>16</xdr:col>
      <xdr:colOff>0</xdr:colOff>
      <xdr:row>124</xdr:row>
      <xdr:rowOff>0</xdr:rowOff>
    </xdr:to>
    <xdr:graphicFrame macro="">
      <xdr:nvGraphicFramePr>
        <xdr:cNvPr id="23" name="Eg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23</xdr:col>
      <xdr:colOff>0</xdr:colOff>
      <xdr:row>105</xdr:row>
      <xdr:rowOff>0</xdr:rowOff>
    </xdr:from>
    <xdr:to>
      <xdr:col>30</xdr:col>
      <xdr:colOff>0</xdr:colOff>
      <xdr:row>124</xdr:row>
      <xdr:rowOff>0</xdr:rowOff>
    </xdr:to>
    <xdr:graphicFrame macro="">
      <xdr:nvGraphicFramePr>
        <xdr:cNvPr id="24" name="CGR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0</xdr:colOff>
      <xdr:row>86</xdr:row>
      <xdr:rowOff>0</xdr:rowOff>
    </xdr:from>
    <xdr:to>
      <xdr:col>16</xdr:col>
      <xdr:colOff>0</xdr:colOff>
      <xdr:row>105</xdr:row>
      <xdr:rowOff>0</xdr:rowOff>
    </xdr:to>
    <xdr:graphicFrame macro="">
      <xdr:nvGraphicFramePr>
        <xdr:cNvPr id="25" name="Gas Shrinkage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0</xdr:colOff>
      <xdr:row>105</xdr:row>
      <xdr:rowOff>0</xdr:rowOff>
    </xdr:from>
    <xdr:to>
      <xdr:col>23</xdr:col>
      <xdr:colOff>0</xdr:colOff>
      <xdr:row>124</xdr:row>
      <xdr:rowOff>0</xdr:rowOff>
    </xdr:to>
    <xdr:graphicFrame macro="">
      <xdr:nvGraphicFramePr>
        <xdr:cNvPr id="26" name="Bg 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23</xdr:col>
      <xdr:colOff>0</xdr:colOff>
      <xdr:row>86</xdr:row>
      <xdr:rowOff>0</xdr:rowOff>
    </xdr:from>
    <xdr:to>
      <xdr:col>30</xdr:col>
      <xdr:colOff>0</xdr:colOff>
      <xdr:row>105</xdr:row>
      <xdr:rowOff>0</xdr:rowOff>
    </xdr:to>
    <xdr:graphicFrame macro="">
      <xdr:nvGraphicFramePr>
        <xdr:cNvPr id="27" name="Gas RF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6</xdr:col>
      <xdr:colOff>466725</xdr:colOff>
      <xdr:row>0</xdr:row>
      <xdr:rowOff>85724</xdr:rowOff>
    </xdr:from>
    <xdr:to>
      <xdr:col>7</xdr:col>
      <xdr:colOff>514350</xdr:colOff>
      <xdr:row>3</xdr:row>
      <xdr:rowOff>191001</xdr:rowOff>
    </xdr:to>
    <xdr:pic>
      <xdr:nvPicPr>
        <xdr:cNvPr id="6" name="Picture 5"/>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val="0"/>
            </a:ext>
          </a:extLst>
        </a:blip>
        <a:srcRect l="24172" r="20128"/>
        <a:stretch/>
      </xdr:blipFill>
      <xdr:spPr>
        <a:xfrm>
          <a:off x="4267200" y="85724"/>
          <a:ext cx="638175" cy="762502"/>
        </a:xfrm>
        <a:prstGeom prst="rect">
          <a:avLst/>
        </a:prstGeom>
      </xdr:spPr>
    </xdr:pic>
    <xdr:clientData/>
  </xdr:twoCellAnchor>
  <xdr:twoCellAnchor>
    <xdr:from>
      <xdr:col>23</xdr:col>
      <xdr:colOff>0</xdr:colOff>
      <xdr:row>1</xdr:row>
      <xdr:rowOff>0</xdr:rowOff>
    </xdr:from>
    <xdr:to>
      <xdr:col>30</xdr:col>
      <xdr:colOff>0</xdr:colOff>
      <xdr:row>15</xdr:row>
      <xdr:rowOff>0</xdr:rowOff>
    </xdr:to>
    <xdr:graphicFrame macro="">
      <xdr:nvGraphicFramePr>
        <xdr:cNvPr id="29" name="Rock Vol Cum"/>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0</xdr:colOff>
          <xdr:row>0</xdr:row>
          <xdr:rowOff>121920</xdr:rowOff>
        </xdr:from>
        <xdr:to>
          <xdr:col>5</xdr:col>
          <xdr:colOff>640080</xdr:colOff>
          <xdr:row>2</xdr:row>
          <xdr:rowOff>121920</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0</xdr:colOff>
      <xdr:row>1</xdr:row>
      <xdr:rowOff>0</xdr:rowOff>
    </xdr:from>
    <xdr:to>
      <xdr:col>23</xdr:col>
      <xdr:colOff>0</xdr:colOff>
      <xdr:row>15</xdr:row>
      <xdr:rowOff>0</xdr:rowOff>
    </xdr:to>
    <xdr:graphicFrame macro="">
      <xdr:nvGraphicFramePr>
        <xdr:cNvPr id="28" name="Rock Vol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13</xdr:col>
      <xdr:colOff>402166</xdr:colOff>
      <xdr:row>40</xdr:row>
      <xdr:rowOff>10582</xdr:rowOff>
    </xdr:from>
    <xdr:to>
      <xdr:col>20</xdr:col>
      <xdr:colOff>386079</xdr:colOff>
      <xdr:row>57</xdr:row>
      <xdr:rowOff>31750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465667</xdr:colOff>
      <xdr:row>40</xdr:row>
      <xdr:rowOff>10584</xdr:rowOff>
    </xdr:from>
    <xdr:to>
      <xdr:col>13</xdr:col>
      <xdr:colOff>364913</xdr:colOff>
      <xdr:row>57</xdr:row>
      <xdr:rowOff>31752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402166</xdr:colOff>
      <xdr:row>57</xdr:row>
      <xdr:rowOff>95251</xdr:rowOff>
    </xdr:from>
    <xdr:to>
      <xdr:col>20</xdr:col>
      <xdr:colOff>386079</xdr:colOff>
      <xdr:row>74</xdr:row>
      <xdr:rowOff>95252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592665</xdr:colOff>
      <xdr:row>76</xdr:row>
      <xdr:rowOff>52917</xdr:rowOff>
    </xdr:from>
    <xdr:to>
      <xdr:col>26</xdr:col>
      <xdr:colOff>57995</xdr:colOff>
      <xdr:row>93</xdr:row>
      <xdr:rowOff>95251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592665</xdr:colOff>
      <xdr:row>94</xdr:row>
      <xdr:rowOff>10586</xdr:rowOff>
    </xdr:from>
    <xdr:to>
      <xdr:col>26</xdr:col>
      <xdr:colOff>57995</xdr:colOff>
      <xdr:row>111</xdr:row>
      <xdr:rowOff>52920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10582</xdr:colOff>
      <xdr:row>45</xdr:row>
      <xdr:rowOff>127000</xdr:rowOff>
    </xdr:from>
    <xdr:to>
      <xdr:col>30</xdr:col>
      <xdr:colOff>931333</xdr:colOff>
      <xdr:row>62</xdr:row>
      <xdr:rowOff>169334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137584</xdr:colOff>
      <xdr:row>94</xdr:row>
      <xdr:rowOff>52919</xdr:rowOff>
    </xdr:from>
    <xdr:to>
      <xdr:col>33</xdr:col>
      <xdr:colOff>216747</xdr:colOff>
      <xdr:row>111</xdr:row>
      <xdr:rowOff>95253</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31</xdr:col>
      <xdr:colOff>211667</xdr:colOff>
      <xdr:row>45</xdr:row>
      <xdr:rowOff>52917</xdr:rowOff>
    </xdr:from>
    <xdr:to>
      <xdr:col>34</xdr:col>
      <xdr:colOff>603250</xdr:colOff>
      <xdr:row>62</xdr:row>
      <xdr:rowOff>137585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190501</xdr:colOff>
      <xdr:row>76</xdr:row>
      <xdr:rowOff>127002</xdr:rowOff>
    </xdr:from>
    <xdr:to>
      <xdr:col>34</xdr:col>
      <xdr:colOff>582084</xdr:colOff>
      <xdr:row>93</xdr:row>
      <xdr:rowOff>169336</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39</xdr:col>
      <xdr:colOff>306917</xdr:colOff>
      <xdr:row>13</xdr:row>
      <xdr:rowOff>137583</xdr:rowOff>
    </xdr:from>
    <xdr:to>
      <xdr:col>48</xdr:col>
      <xdr:colOff>216746</xdr:colOff>
      <xdr:row>29</xdr:row>
      <xdr:rowOff>127001</xdr:rowOff>
    </xdr:to>
    <xdr:graphicFrame macro="">
      <xdr:nvGraphicFramePr>
        <xdr:cNvPr id="13" name="Rock Vol Cum"/>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380999</xdr:colOff>
      <xdr:row>77</xdr:row>
      <xdr:rowOff>179917</xdr:rowOff>
    </xdr:from>
    <xdr:to>
      <xdr:col>17</xdr:col>
      <xdr:colOff>299508</xdr:colOff>
      <xdr:row>94</xdr:row>
      <xdr:rowOff>8467</xdr:rowOff>
    </xdr:to>
    <xdr:graphicFrame macro="">
      <xdr:nvGraphicFramePr>
        <xdr:cNvPr id="14" name="Rock Vol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0</xdr:colOff>
      <xdr:row>78</xdr:row>
      <xdr:rowOff>0</xdr:rowOff>
    </xdr:from>
    <xdr:to>
      <xdr:col>12</xdr:col>
      <xdr:colOff>745913</xdr:colOff>
      <xdr:row>95</xdr:row>
      <xdr:rowOff>21168</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0</xdr:colOff>
      <xdr:row>20</xdr:row>
      <xdr:rowOff>0</xdr:rowOff>
    </xdr:from>
    <xdr:to>
      <xdr:col>12</xdr:col>
      <xdr:colOff>0</xdr:colOff>
      <xdr:row>39</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297180</xdr:colOff>
          <xdr:row>0</xdr:row>
          <xdr:rowOff>137160</xdr:rowOff>
        </xdr:from>
        <xdr:to>
          <xdr:col>4</xdr:col>
          <xdr:colOff>99060</xdr:colOff>
          <xdr:row>3</xdr:row>
          <xdr:rowOff>152400</xdr:rowOff>
        </xdr:to>
        <xdr:sp macro="" textlink="">
          <xdr:nvSpPr>
            <xdr:cNvPr id="12289" name="CommandButton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0</xdr:colOff>
      <xdr:row>1</xdr:row>
      <xdr:rowOff>0</xdr:rowOff>
    </xdr:from>
    <xdr:to>
      <xdr:col>12</xdr:col>
      <xdr:colOff>0</xdr:colOff>
      <xdr:row>20</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60960</xdr:colOff>
          <xdr:row>2</xdr:row>
          <xdr:rowOff>45720</xdr:rowOff>
        </xdr:from>
        <xdr:to>
          <xdr:col>15</xdr:col>
          <xdr:colOff>579120</xdr:colOff>
          <xdr:row>6</xdr:row>
          <xdr:rowOff>30480</xdr:rowOff>
        </xdr:to>
        <xdr:sp macro="" textlink="">
          <xdr:nvSpPr>
            <xdr:cNvPr id="12290" name="CommandButton2"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0</xdr:colOff>
      <xdr:row>20</xdr:row>
      <xdr:rowOff>0</xdr:rowOff>
    </xdr:from>
    <xdr:to>
      <xdr:col>8</xdr:col>
      <xdr:colOff>0</xdr:colOff>
      <xdr:row>39</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1</xdr:row>
      <xdr:rowOff>0</xdr:rowOff>
    </xdr:from>
    <xdr:to>
      <xdr:col>8</xdr:col>
      <xdr:colOff>0</xdr:colOff>
      <xdr:row>20</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68580</xdr:colOff>
          <xdr:row>8</xdr:row>
          <xdr:rowOff>7620</xdr:rowOff>
        </xdr:from>
        <xdr:to>
          <xdr:col>1</xdr:col>
          <xdr:colOff>220980</xdr:colOff>
          <xdr:row>9</xdr:row>
          <xdr:rowOff>7620</xdr:rowOff>
        </xdr:to>
        <xdr:sp macro="" textlink="">
          <xdr:nvSpPr>
            <xdr:cNvPr id="6145" name="CheckBox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9</xdr:row>
          <xdr:rowOff>7620</xdr:rowOff>
        </xdr:from>
        <xdr:to>
          <xdr:col>1</xdr:col>
          <xdr:colOff>220980</xdr:colOff>
          <xdr:row>10</xdr:row>
          <xdr:rowOff>7620</xdr:rowOff>
        </xdr:to>
        <xdr:sp macro="" textlink="">
          <xdr:nvSpPr>
            <xdr:cNvPr id="6146" name="CheckBox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10</xdr:row>
          <xdr:rowOff>7620</xdr:rowOff>
        </xdr:from>
        <xdr:to>
          <xdr:col>1</xdr:col>
          <xdr:colOff>220980</xdr:colOff>
          <xdr:row>11</xdr:row>
          <xdr:rowOff>7620</xdr:rowOff>
        </xdr:to>
        <xdr:sp macro="" textlink="">
          <xdr:nvSpPr>
            <xdr:cNvPr id="6147" name="CheckBox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11</xdr:row>
          <xdr:rowOff>7620</xdr:rowOff>
        </xdr:from>
        <xdr:to>
          <xdr:col>1</xdr:col>
          <xdr:colOff>220980</xdr:colOff>
          <xdr:row>12</xdr:row>
          <xdr:rowOff>7620</xdr:rowOff>
        </xdr:to>
        <xdr:sp macro="" textlink="">
          <xdr:nvSpPr>
            <xdr:cNvPr id="6148" name="CheckBox4"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12</xdr:row>
          <xdr:rowOff>7620</xdr:rowOff>
        </xdr:from>
        <xdr:to>
          <xdr:col>1</xdr:col>
          <xdr:colOff>220980</xdr:colOff>
          <xdr:row>13</xdr:row>
          <xdr:rowOff>22860</xdr:rowOff>
        </xdr:to>
        <xdr:sp macro="" textlink="">
          <xdr:nvSpPr>
            <xdr:cNvPr id="6149" name="CheckBox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13</xdr:row>
          <xdr:rowOff>7620</xdr:rowOff>
        </xdr:from>
        <xdr:to>
          <xdr:col>1</xdr:col>
          <xdr:colOff>220980</xdr:colOff>
          <xdr:row>14</xdr:row>
          <xdr:rowOff>7620</xdr:rowOff>
        </xdr:to>
        <xdr:sp macro="" textlink="">
          <xdr:nvSpPr>
            <xdr:cNvPr id="6150" name="CheckBox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14</xdr:row>
          <xdr:rowOff>7620</xdr:rowOff>
        </xdr:from>
        <xdr:to>
          <xdr:col>1</xdr:col>
          <xdr:colOff>220980</xdr:colOff>
          <xdr:row>15</xdr:row>
          <xdr:rowOff>22860</xdr:rowOff>
        </xdr:to>
        <xdr:sp macro="" textlink="">
          <xdr:nvSpPr>
            <xdr:cNvPr id="6151" name="CheckBox7"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15</xdr:row>
          <xdr:rowOff>7620</xdr:rowOff>
        </xdr:from>
        <xdr:to>
          <xdr:col>1</xdr:col>
          <xdr:colOff>220980</xdr:colOff>
          <xdr:row>16</xdr:row>
          <xdr:rowOff>7620</xdr:rowOff>
        </xdr:to>
        <xdr:sp macro="" textlink="">
          <xdr:nvSpPr>
            <xdr:cNvPr id="6152" name="CheckBox8"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16</xdr:row>
          <xdr:rowOff>7620</xdr:rowOff>
        </xdr:from>
        <xdr:to>
          <xdr:col>1</xdr:col>
          <xdr:colOff>220980</xdr:colOff>
          <xdr:row>17</xdr:row>
          <xdr:rowOff>22860</xdr:rowOff>
        </xdr:to>
        <xdr:sp macro="" textlink="">
          <xdr:nvSpPr>
            <xdr:cNvPr id="6153" name="CheckBox9"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17</xdr:row>
          <xdr:rowOff>7620</xdr:rowOff>
        </xdr:from>
        <xdr:to>
          <xdr:col>1</xdr:col>
          <xdr:colOff>220980</xdr:colOff>
          <xdr:row>18</xdr:row>
          <xdr:rowOff>7620</xdr:rowOff>
        </xdr:to>
        <xdr:sp macro="" textlink="">
          <xdr:nvSpPr>
            <xdr:cNvPr id="6154" name="CheckBox10"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18</xdr:row>
          <xdr:rowOff>7620</xdr:rowOff>
        </xdr:from>
        <xdr:to>
          <xdr:col>1</xdr:col>
          <xdr:colOff>220980</xdr:colOff>
          <xdr:row>19</xdr:row>
          <xdr:rowOff>22860</xdr:rowOff>
        </xdr:to>
        <xdr:sp macro="" textlink="">
          <xdr:nvSpPr>
            <xdr:cNvPr id="6155" name="CheckBox11" hidden="1">
              <a:extLst>
                <a:ext uri="{63B3BB69-23CF-44E3-9099-C40C66FF867C}">
                  <a14:compatExt spid="_x0000_s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19</xdr:row>
          <xdr:rowOff>45720</xdr:rowOff>
        </xdr:from>
        <xdr:to>
          <xdr:col>1</xdr:col>
          <xdr:colOff>220980</xdr:colOff>
          <xdr:row>20</xdr:row>
          <xdr:rowOff>60960</xdr:rowOff>
        </xdr:to>
        <xdr:sp macro="" textlink="">
          <xdr:nvSpPr>
            <xdr:cNvPr id="6156" name="CheckBox12"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33</xdr:row>
          <xdr:rowOff>45720</xdr:rowOff>
        </xdr:from>
        <xdr:to>
          <xdr:col>4</xdr:col>
          <xdr:colOff>220980</xdr:colOff>
          <xdr:row>34</xdr:row>
          <xdr:rowOff>7620</xdr:rowOff>
        </xdr:to>
        <xdr:sp macro="" textlink="">
          <xdr:nvSpPr>
            <xdr:cNvPr id="6157" name="CheckBox13" hidden="1">
              <a:extLst>
                <a:ext uri="{63B3BB69-23CF-44E3-9099-C40C66FF867C}">
                  <a14:compatExt spid="_x0000_s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34</xdr:row>
          <xdr:rowOff>45720</xdr:rowOff>
        </xdr:from>
        <xdr:to>
          <xdr:col>4</xdr:col>
          <xdr:colOff>220980</xdr:colOff>
          <xdr:row>35</xdr:row>
          <xdr:rowOff>7620</xdr:rowOff>
        </xdr:to>
        <xdr:sp macro="" textlink="">
          <xdr:nvSpPr>
            <xdr:cNvPr id="6158" name="CheckBox14" hidden="1">
              <a:extLst>
                <a:ext uri="{63B3BB69-23CF-44E3-9099-C40C66FF867C}">
                  <a14:compatExt spid="_x0000_s61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35</xdr:row>
          <xdr:rowOff>45720</xdr:rowOff>
        </xdr:from>
        <xdr:to>
          <xdr:col>4</xdr:col>
          <xdr:colOff>220980</xdr:colOff>
          <xdr:row>36</xdr:row>
          <xdr:rowOff>7620</xdr:rowOff>
        </xdr:to>
        <xdr:sp macro="" textlink="">
          <xdr:nvSpPr>
            <xdr:cNvPr id="6159" name="CheckBox15" hidden="1">
              <a:extLst>
                <a:ext uri="{63B3BB69-23CF-44E3-9099-C40C66FF867C}">
                  <a14:compatExt spid="_x0000_s61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36</xdr:row>
          <xdr:rowOff>45720</xdr:rowOff>
        </xdr:from>
        <xdr:to>
          <xdr:col>4</xdr:col>
          <xdr:colOff>220980</xdr:colOff>
          <xdr:row>37</xdr:row>
          <xdr:rowOff>15240</xdr:rowOff>
        </xdr:to>
        <xdr:sp macro="" textlink="">
          <xdr:nvSpPr>
            <xdr:cNvPr id="6160" name="CheckBox16" hidden="1">
              <a:extLst>
                <a:ext uri="{63B3BB69-23CF-44E3-9099-C40C66FF867C}">
                  <a14:compatExt spid="_x0000_s6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571500</xdr:colOff>
      <xdr:row>56</xdr:row>
      <xdr:rowOff>123825</xdr:rowOff>
    </xdr:from>
    <xdr:to>
      <xdr:col>25</xdr:col>
      <xdr:colOff>214840</xdr:colOff>
      <xdr:row>90</xdr:row>
      <xdr:rowOff>7408</xdr:rowOff>
    </xdr:to>
    <xdr:graphicFrame macro="">
      <xdr:nvGraphicFramePr>
        <xdr:cNvPr id="18" name="Prob_scale_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259080</xdr:colOff>
          <xdr:row>1</xdr:row>
          <xdr:rowOff>30480</xdr:rowOff>
        </xdr:from>
        <xdr:to>
          <xdr:col>2</xdr:col>
          <xdr:colOff>457200</xdr:colOff>
          <xdr:row>2</xdr:row>
          <xdr:rowOff>22860</xdr:rowOff>
        </xdr:to>
        <xdr:sp macro="" textlink="">
          <xdr:nvSpPr>
            <xdr:cNvPr id="6163" name="OptionButton1" hidden="1">
              <a:extLst>
                <a:ext uri="{63B3BB69-23CF-44E3-9099-C40C66FF867C}">
                  <a14:compatExt spid="_x0000_s6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259080</xdr:colOff>
          <xdr:row>2</xdr:row>
          <xdr:rowOff>30480</xdr:rowOff>
        </xdr:from>
        <xdr:to>
          <xdr:col>2</xdr:col>
          <xdr:colOff>457200</xdr:colOff>
          <xdr:row>3</xdr:row>
          <xdr:rowOff>22860</xdr:rowOff>
        </xdr:to>
        <xdr:sp macro="" textlink="">
          <xdr:nvSpPr>
            <xdr:cNvPr id="6164" name="OptionButton2" hidden="1">
              <a:extLst>
                <a:ext uri="{63B3BB69-23CF-44E3-9099-C40C66FF867C}">
                  <a14:compatExt spid="_x0000_s61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259080</xdr:colOff>
          <xdr:row>3</xdr:row>
          <xdr:rowOff>30480</xdr:rowOff>
        </xdr:from>
        <xdr:to>
          <xdr:col>2</xdr:col>
          <xdr:colOff>457200</xdr:colOff>
          <xdr:row>4</xdr:row>
          <xdr:rowOff>22860</xdr:rowOff>
        </xdr:to>
        <xdr:sp macro="" textlink="">
          <xdr:nvSpPr>
            <xdr:cNvPr id="6165" name="OptionButton3" hidden="1">
              <a:extLst>
                <a:ext uri="{63B3BB69-23CF-44E3-9099-C40C66FF867C}">
                  <a14:compatExt spid="_x0000_s61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121920</xdr:rowOff>
        </xdr:from>
        <xdr:to>
          <xdr:col>2</xdr:col>
          <xdr:colOff>388620</xdr:colOff>
          <xdr:row>6</xdr:row>
          <xdr:rowOff>190500</xdr:rowOff>
        </xdr:to>
        <xdr:sp macro="" textlink="">
          <xdr:nvSpPr>
            <xdr:cNvPr id="6166" name="CommandButton1" hidden="1">
              <a:extLst>
                <a:ext uri="{63B3BB69-23CF-44E3-9099-C40C66FF867C}">
                  <a14:compatExt spid="_x0000_s6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4</xdr:row>
          <xdr:rowOff>137160</xdr:rowOff>
        </xdr:from>
        <xdr:to>
          <xdr:col>3</xdr:col>
          <xdr:colOff>434340</xdr:colOff>
          <xdr:row>7</xdr:row>
          <xdr:rowOff>0</xdr:rowOff>
        </xdr:to>
        <xdr:sp macro="" textlink="">
          <xdr:nvSpPr>
            <xdr:cNvPr id="6167" name="CommandButton2" hidden="1">
              <a:extLst>
                <a:ext uri="{63B3BB69-23CF-44E3-9099-C40C66FF867C}">
                  <a14:compatExt spid="_x0000_s6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617220</xdr:colOff>
          <xdr:row>4</xdr:row>
          <xdr:rowOff>144780</xdr:rowOff>
        </xdr:from>
        <xdr:to>
          <xdr:col>5</xdr:col>
          <xdr:colOff>30480</xdr:colOff>
          <xdr:row>7</xdr:row>
          <xdr:rowOff>7620</xdr:rowOff>
        </xdr:to>
        <xdr:sp macro="" textlink="">
          <xdr:nvSpPr>
            <xdr:cNvPr id="6168" name="CommandButton3" hidden="1">
              <a:extLst>
                <a:ext uri="{63B3BB69-23CF-44E3-9099-C40C66FF867C}">
                  <a14:compatExt spid="_x0000_s6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350520</xdr:colOff>
          <xdr:row>21</xdr:row>
          <xdr:rowOff>83820</xdr:rowOff>
        </xdr:from>
        <xdr:to>
          <xdr:col>36</xdr:col>
          <xdr:colOff>381000</xdr:colOff>
          <xdr:row>25</xdr:row>
          <xdr:rowOff>114300</xdr:rowOff>
        </xdr:to>
        <xdr:sp macro="" textlink="">
          <xdr:nvSpPr>
            <xdr:cNvPr id="7170" name="CommandButton1"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20</xdr:col>
      <xdr:colOff>0</xdr:colOff>
      <xdr:row>0</xdr:row>
      <xdr:rowOff>0</xdr:rowOff>
    </xdr:from>
    <xdr:to>
      <xdr:col>29</xdr:col>
      <xdr:colOff>0</xdr:colOff>
      <xdr:row>22</xdr:row>
      <xdr:rowOff>0</xdr:rowOff>
    </xdr:to>
    <xdr:pic>
      <xdr:nvPicPr>
        <xdr:cNvPr id="2" name="Sensitivity_OGIP"/>
        <xdr:cNvPicPr>
          <a:picLocks/>
        </xdr:cNvPicPr>
      </xdr:nvPicPr>
      <xdr:blipFill>
        <a:blip xmlns:r="http://schemas.openxmlformats.org/officeDocument/2006/relationships" r:embed="rId1"/>
        <a:stretch>
          <a:fillRect/>
        </a:stretch>
      </xdr:blipFill>
      <xdr:spPr>
        <a:xfrm>
          <a:off x="12192000" y="0"/>
          <a:ext cx="5486400" cy="4023360"/>
        </a:xfrm>
        <a:prstGeom prst="rect">
          <a:avLst/>
        </a:prstGeom>
      </xdr:spPr>
    </xdr:pic>
    <xdr:clientData/>
  </xdr:twoCellAnchor>
  <xdr:twoCellAnchor editAs="oneCell">
    <xdr:from>
      <xdr:col>20</xdr:col>
      <xdr:colOff>0</xdr:colOff>
      <xdr:row>22</xdr:row>
      <xdr:rowOff>0</xdr:rowOff>
    </xdr:from>
    <xdr:to>
      <xdr:col>29</xdr:col>
      <xdr:colOff>0</xdr:colOff>
      <xdr:row>42</xdr:row>
      <xdr:rowOff>0</xdr:rowOff>
    </xdr:to>
    <xdr:pic>
      <xdr:nvPicPr>
        <xdr:cNvPr id="3" name="GAS RESERVES"/>
        <xdr:cNvPicPr>
          <a:picLocks/>
        </xdr:cNvPicPr>
      </xdr:nvPicPr>
      <xdr:blipFill>
        <a:blip xmlns:r="http://schemas.openxmlformats.org/officeDocument/2006/relationships" r:embed="rId2"/>
        <a:stretch>
          <a:fillRect/>
        </a:stretch>
      </xdr:blipFill>
      <xdr:spPr>
        <a:xfrm>
          <a:off x="12192000" y="4023360"/>
          <a:ext cx="5486400" cy="3657600"/>
        </a:xfrm>
        <a:prstGeom prst="rect">
          <a:avLst/>
        </a:prstGeom>
      </xdr:spPr>
    </xdr:pic>
    <xdr:clientData/>
  </xdr:twoCellAnchor>
  <xdr:twoCellAnchor editAs="oneCell">
    <xdr:from>
      <xdr:col>20</xdr:col>
      <xdr:colOff>0</xdr:colOff>
      <xdr:row>42</xdr:row>
      <xdr:rowOff>0</xdr:rowOff>
    </xdr:from>
    <xdr:to>
      <xdr:col>29</xdr:col>
      <xdr:colOff>0</xdr:colOff>
      <xdr:row>62</xdr:row>
      <xdr:rowOff>0</xdr:rowOff>
    </xdr:to>
    <xdr:pic>
      <xdr:nvPicPr>
        <xdr:cNvPr id="4" name="Sensitivity_OOIP"/>
        <xdr:cNvPicPr>
          <a:picLocks/>
        </xdr:cNvPicPr>
      </xdr:nvPicPr>
      <xdr:blipFill>
        <a:blip xmlns:r="http://schemas.openxmlformats.org/officeDocument/2006/relationships" r:embed="rId3"/>
        <a:stretch>
          <a:fillRect/>
        </a:stretch>
      </xdr:blipFill>
      <xdr:spPr>
        <a:xfrm>
          <a:off x="12192000" y="7680960"/>
          <a:ext cx="5486400" cy="3657600"/>
        </a:xfrm>
        <a:prstGeom prst="rect">
          <a:avLst/>
        </a:prstGeom>
      </xdr:spPr>
    </xdr:pic>
    <xdr:clientData/>
  </xdr:twoCellAnchor>
  <xdr:twoCellAnchor editAs="oneCell">
    <xdr:from>
      <xdr:col>20</xdr:col>
      <xdr:colOff>0</xdr:colOff>
      <xdr:row>62</xdr:row>
      <xdr:rowOff>0</xdr:rowOff>
    </xdr:from>
    <xdr:to>
      <xdr:col>29</xdr:col>
      <xdr:colOff>0</xdr:colOff>
      <xdr:row>82</xdr:row>
      <xdr:rowOff>0</xdr:rowOff>
    </xdr:to>
    <xdr:pic>
      <xdr:nvPicPr>
        <xdr:cNvPr id="5" name="OIL RESERVES"/>
        <xdr:cNvPicPr>
          <a:picLocks/>
        </xdr:cNvPicPr>
      </xdr:nvPicPr>
      <xdr:blipFill>
        <a:blip xmlns:r="http://schemas.openxmlformats.org/officeDocument/2006/relationships" r:embed="rId4"/>
        <a:stretch>
          <a:fillRect/>
        </a:stretch>
      </xdr:blipFill>
      <xdr:spPr>
        <a:xfrm>
          <a:off x="12192000" y="11338560"/>
          <a:ext cx="5486400" cy="3657600"/>
        </a:xfrm>
        <a:prstGeom prst="rect">
          <a:avLst/>
        </a:prstGeom>
      </xdr:spPr>
    </xdr:pic>
    <xdr:clientData/>
  </xdr:twoCellAnchor>
  <xdr:twoCellAnchor editAs="oneCell">
    <xdr:from>
      <xdr:col>0</xdr:col>
      <xdr:colOff>0</xdr:colOff>
      <xdr:row>0</xdr:row>
      <xdr:rowOff>0</xdr:rowOff>
    </xdr:from>
    <xdr:to>
      <xdr:col>10</xdr:col>
      <xdr:colOff>0</xdr:colOff>
      <xdr:row>22</xdr:row>
      <xdr:rowOff>0</xdr:rowOff>
    </xdr:to>
    <xdr:pic>
      <xdr:nvPicPr>
        <xdr:cNvPr id="6" name="OGIP Forecast"/>
        <xdr:cNvPicPr>
          <a:picLocks/>
        </xdr:cNvPicPr>
      </xdr:nvPicPr>
      <xdr:blipFill>
        <a:blip xmlns:r="http://schemas.openxmlformats.org/officeDocument/2006/relationships" r:embed="rId5"/>
        <a:stretch>
          <a:fillRect/>
        </a:stretch>
      </xdr:blipFill>
      <xdr:spPr>
        <a:xfrm>
          <a:off x="0" y="0"/>
          <a:ext cx="6096000" cy="4023360"/>
        </a:xfrm>
        <a:prstGeom prst="rect">
          <a:avLst/>
        </a:prstGeom>
      </xdr:spPr>
    </xdr:pic>
    <xdr:clientData/>
  </xdr:twoCellAnchor>
  <xdr:twoCellAnchor editAs="oneCell">
    <xdr:from>
      <xdr:col>10</xdr:col>
      <xdr:colOff>0</xdr:colOff>
      <xdr:row>0</xdr:row>
      <xdr:rowOff>0</xdr:rowOff>
    </xdr:from>
    <xdr:to>
      <xdr:col>20</xdr:col>
      <xdr:colOff>0</xdr:colOff>
      <xdr:row>22</xdr:row>
      <xdr:rowOff>0</xdr:rowOff>
    </xdr:to>
    <xdr:pic>
      <xdr:nvPicPr>
        <xdr:cNvPr id="7" name="Original Gas in_place Forecast"/>
        <xdr:cNvPicPr>
          <a:picLocks/>
        </xdr:cNvPicPr>
      </xdr:nvPicPr>
      <xdr:blipFill>
        <a:blip xmlns:r="http://schemas.openxmlformats.org/officeDocument/2006/relationships" r:embed="rId6"/>
        <a:stretch>
          <a:fillRect/>
        </a:stretch>
      </xdr:blipFill>
      <xdr:spPr>
        <a:xfrm>
          <a:off x="6096000" y="0"/>
          <a:ext cx="6096000" cy="4023360"/>
        </a:xfrm>
        <a:prstGeom prst="rect">
          <a:avLst/>
        </a:prstGeom>
      </xdr:spPr>
    </xdr:pic>
    <xdr:clientData/>
  </xdr:twoCellAnchor>
  <xdr:twoCellAnchor editAs="oneCell">
    <xdr:from>
      <xdr:col>0</xdr:col>
      <xdr:colOff>0</xdr:colOff>
      <xdr:row>22</xdr:row>
      <xdr:rowOff>0</xdr:rowOff>
    </xdr:from>
    <xdr:to>
      <xdr:col>10</xdr:col>
      <xdr:colOff>0</xdr:colOff>
      <xdr:row>42</xdr:row>
      <xdr:rowOff>0</xdr:rowOff>
    </xdr:to>
    <xdr:pic>
      <xdr:nvPicPr>
        <xdr:cNvPr id="8" name="Gas Produced Forecast"/>
        <xdr:cNvPicPr>
          <a:picLocks/>
        </xdr:cNvPicPr>
      </xdr:nvPicPr>
      <xdr:blipFill>
        <a:blip xmlns:r="http://schemas.openxmlformats.org/officeDocument/2006/relationships" r:embed="rId7"/>
        <a:stretch>
          <a:fillRect/>
        </a:stretch>
      </xdr:blipFill>
      <xdr:spPr>
        <a:xfrm>
          <a:off x="0" y="4023360"/>
          <a:ext cx="6096000" cy="3657600"/>
        </a:xfrm>
        <a:prstGeom prst="rect">
          <a:avLst/>
        </a:prstGeom>
      </xdr:spPr>
    </xdr:pic>
    <xdr:clientData/>
  </xdr:twoCellAnchor>
  <xdr:twoCellAnchor editAs="oneCell">
    <xdr:from>
      <xdr:col>10</xdr:col>
      <xdr:colOff>0</xdr:colOff>
      <xdr:row>22</xdr:row>
      <xdr:rowOff>0</xdr:rowOff>
    </xdr:from>
    <xdr:to>
      <xdr:col>20</xdr:col>
      <xdr:colOff>0</xdr:colOff>
      <xdr:row>42</xdr:row>
      <xdr:rowOff>0</xdr:rowOff>
    </xdr:to>
    <xdr:pic>
      <xdr:nvPicPr>
        <xdr:cNvPr id="9" name="Gas Reservas Forecast"/>
        <xdr:cNvPicPr>
          <a:picLocks/>
        </xdr:cNvPicPr>
      </xdr:nvPicPr>
      <xdr:blipFill>
        <a:blip xmlns:r="http://schemas.openxmlformats.org/officeDocument/2006/relationships" r:embed="rId8"/>
        <a:stretch>
          <a:fillRect/>
        </a:stretch>
      </xdr:blipFill>
      <xdr:spPr>
        <a:xfrm>
          <a:off x="6096000" y="4023360"/>
          <a:ext cx="6096000" cy="3657600"/>
        </a:xfrm>
        <a:prstGeom prst="rect">
          <a:avLst/>
        </a:prstGeom>
      </xdr:spPr>
    </xdr:pic>
    <xdr:clientData/>
  </xdr:twoCellAnchor>
  <xdr:twoCellAnchor editAs="oneCell">
    <xdr:from>
      <xdr:col>0</xdr:col>
      <xdr:colOff>0</xdr:colOff>
      <xdr:row>42</xdr:row>
      <xdr:rowOff>0</xdr:rowOff>
    </xdr:from>
    <xdr:to>
      <xdr:col>10</xdr:col>
      <xdr:colOff>0</xdr:colOff>
      <xdr:row>62</xdr:row>
      <xdr:rowOff>0</xdr:rowOff>
    </xdr:to>
    <xdr:pic>
      <xdr:nvPicPr>
        <xdr:cNvPr id="10" name="OOIP Forecast"/>
        <xdr:cNvPicPr>
          <a:picLocks/>
        </xdr:cNvPicPr>
      </xdr:nvPicPr>
      <xdr:blipFill>
        <a:blip xmlns:r="http://schemas.openxmlformats.org/officeDocument/2006/relationships" r:embed="rId9"/>
        <a:stretch>
          <a:fillRect/>
        </a:stretch>
      </xdr:blipFill>
      <xdr:spPr>
        <a:xfrm>
          <a:off x="0" y="7680960"/>
          <a:ext cx="6096000" cy="3657600"/>
        </a:xfrm>
        <a:prstGeom prst="rect">
          <a:avLst/>
        </a:prstGeom>
      </xdr:spPr>
    </xdr:pic>
    <xdr:clientData/>
  </xdr:twoCellAnchor>
  <xdr:twoCellAnchor editAs="oneCell">
    <xdr:from>
      <xdr:col>10</xdr:col>
      <xdr:colOff>0</xdr:colOff>
      <xdr:row>42</xdr:row>
      <xdr:rowOff>0</xdr:rowOff>
    </xdr:from>
    <xdr:to>
      <xdr:col>20</xdr:col>
      <xdr:colOff>0</xdr:colOff>
      <xdr:row>62</xdr:row>
      <xdr:rowOff>0</xdr:rowOff>
    </xdr:to>
    <xdr:pic>
      <xdr:nvPicPr>
        <xdr:cNvPr id="11" name="Oil Reservas Forecast"/>
        <xdr:cNvPicPr>
          <a:picLocks/>
        </xdr:cNvPicPr>
      </xdr:nvPicPr>
      <xdr:blipFill>
        <a:blip xmlns:r="http://schemas.openxmlformats.org/officeDocument/2006/relationships" r:embed="rId10"/>
        <a:stretch>
          <a:fillRect/>
        </a:stretch>
      </xdr:blipFill>
      <xdr:spPr>
        <a:xfrm>
          <a:off x="6096000" y="7680960"/>
          <a:ext cx="6096000" cy="3657600"/>
        </a:xfrm>
        <a:prstGeom prst="rect">
          <a:avLst/>
        </a:prstGeom>
      </xdr:spPr>
    </xdr:pic>
    <xdr:clientData/>
  </xdr:twoCellAnchor>
  <xdr:twoCellAnchor editAs="oneCell">
    <xdr:from>
      <xdr:col>0</xdr:col>
      <xdr:colOff>0</xdr:colOff>
      <xdr:row>62</xdr:row>
      <xdr:rowOff>0</xdr:rowOff>
    </xdr:from>
    <xdr:to>
      <xdr:col>10</xdr:col>
      <xdr:colOff>0</xdr:colOff>
      <xdr:row>82</xdr:row>
      <xdr:rowOff>128282</xdr:rowOff>
    </xdr:to>
    <xdr:pic>
      <xdr:nvPicPr>
        <xdr:cNvPr id="12" name="Rock Volume"/>
        <xdr:cNvPicPr>
          <a:picLocks noChangeAspect="1"/>
        </xdr:cNvPicPr>
      </xdr:nvPicPr>
      <xdr:blipFill>
        <a:blip xmlns:r="http://schemas.openxmlformats.org/officeDocument/2006/relationships" r:embed="rId11"/>
        <a:stretch>
          <a:fillRect/>
        </a:stretch>
      </xdr:blipFill>
      <xdr:spPr>
        <a:xfrm>
          <a:off x="0" y="11338560"/>
          <a:ext cx="6096000" cy="3785882"/>
        </a:xfrm>
        <a:prstGeom prst="rect">
          <a:avLst/>
        </a:prstGeom>
      </xdr:spPr>
    </xdr:pic>
    <xdr:clientData/>
  </xdr:twoCellAnchor>
  <xdr:twoCellAnchor editAs="oneCell">
    <xdr:from>
      <xdr:col>10</xdr:col>
      <xdr:colOff>0</xdr:colOff>
      <xdr:row>62</xdr:row>
      <xdr:rowOff>0</xdr:rowOff>
    </xdr:from>
    <xdr:to>
      <xdr:col>20</xdr:col>
      <xdr:colOff>0</xdr:colOff>
      <xdr:row>82</xdr:row>
      <xdr:rowOff>128282</xdr:rowOff>
    </xdr:to>
    <xdr:pic>
      <xdr:nvPicPr>
        <xdr:cNvPr id="13" name="Net/Gross"/>
        <xdr:cNvPicPr>
          <a:picLocks noChangeAspect="1"/>
        </xdr:cNvPicPr>
      </xdr:nvPicPr>
      <xdr:blipFill>
        <a:blip xmlns:r="http://schemas.openxmlformats.org/officeDocument/2006/relationships" r:embed="rId12"/>
        <a:stretch>
          <a:fillRect/>
        </a:stretch>
      </xdr:blipFill>
      <xdr:spPr>
        <a:xfrm>
          <a:off x="6096000" y="11338560"/>
          <a:ext cx="6096000" cy="3785882"/>
        </a:xfrm>
        <a:prstGeom prst="rect">
          <a:avLst/>
        </a:prstGeom>
      </xdr:spPr>
    </xdr:pic>
    <xdr:clientData/>
  </xdr:twoCellAnchor>
  <xdr:twoCellAnchor editAs="oneCell">
    <xdr:from>
      <xdr:col>0</xdr:col>
      <xdr:colOff>0</xdr:colOff>
      <xdr:row>82</xdr:row>
      <xdr:rowOff>1</xdr:rowOff>
    </xdr:from>
    <xdr:to>
      <xdr:col>10</xdr:col>
      <xdr:colOff>0</xdr:colOff>
      <xdr:row>102</xdr:row>
      <xdr:rowOff>128283</xdr:rowOff>
    </xdr:to>
    <xdr:pic>
      <xdr:nvPicPr>
        <xdr:cNvPr id="14" name="Porosity"/>
        <xdr:cNvPicPr>
          <a:picLocks noChangeAspect="1"/>
        </xdr:cNvPicPr>
      </xdr:nvPicPr>
      <xdr:blipFill>
        <a:blip xmlns:r="http://schemas.openxmlformats.org/officeDocument/2006/relationships" r:embed="rId13"/>
        <a:stretch>
          <a:fillRect/>
        </a:stretch>
      </xdr:blipFill>
      <xdr:spPr>
        <a:xfrm>
          <a:off x="0" y="14996161"/>
          <a:ext cx="6096000" cy="3785882"/>
        </a:xfrm>
        <a:prstGeom prst="rect">
          <a:avLst/>
        </a:prstGeom>
      </xdr:spPr>
    </xdr:pic>
    <xdr:clientData/>
  </xdr:twoCellAnchor>
  <xdr:twoCellAnchor editAs="oneCell">
    <xdr:from>
      <xdr:col>10</xdr:col>
      <xdr:colOff>0</xdr:colOff>
      <xdr:row>82</xdr:row>
      <xdr:rowOff>1</xdr:rowOff>
    </xdr:from>
    <xdr:to>
      <xdr:col>20</xdr:col>
      <xdr:colOff>0</xdr:colOff>
      <xdr:row>102</xdr:row>
      <xdr:rowOff>128283</xdr:rowOff>
    </xdr:to>
    <xdr:pic>
      <xdr:nvPicPr>
        <xdr:cNvPr id="15" name="Water Saturation"/>
        <xdr:cNvPicPr>
          <a:picLocks noChangeAspect="1"/>
        </xdr:cNvPicPr>
      </xdr:nvPicPr>
      <xdr:blipFill>
        <a:blip xmlns:r="http://schemas.openxmlformats.org/officeDocument/2006/relationships" r:embed="rId14"/>
        <a:stretch>
          <a:fillRect/>
        </a:stretch>
      </xdr:blipFill>
      <xdr:spPr>
        <a:xfrm>
          <a:off x="6096000" y="14996161"/>
          <a:ext cx="6096000" cy="3785882"/>
        </a:xfrm>
        <a:prstGeom prst="rect">
          <a:avLst/>
        </a:prstGeom>
      </xdr:spPr>
    </xdr:pic>
    <xdr:clientData/>
  </xdr:twoCellAnchor>
  <xdr:twoCellAnchor editAs="oneCell">
    <xdr:from>
      <xdr:col>0</xdr:col>
      <xdr:colOff>0</xdr:colOff>
      <xdr:row>102</xdr:row>
      <xdr:rowOff>1</xdr:rowOff>
    </xdr:from>
    <xdr:to>
      <xdr:col>10</xdr:col>
      <xdr:colOff>0</xdr:colOff>
      <xdr:row>122</xdr:row>
      <xdr:rowOff>128283</xdr:rowOff>
    </xdr:to>
    <xdr:pic>
      <xdr:nvPicPr>
        <xdr:cNvPr id="16" name="Gas Volume Factor, Bgi"/>
        <xdr:cNvPicPr>
          <a:picLocks noChangeAspect="1"/>
        </xdr:cNvPicPr>
      </xdr:nvPicPr>
      <xdr:blipFill>
        <a:blip xmlns:r="http://schemas.openxmlformats.org/officeDocument/2006/relationships" r:embed="rId15"/>
        <a:stretch>
          <a:fillRect/>
        </a:stretch>
      </xdr:blipFill>
      <xdr:spPr>
        <a:xfrm>
          <a:off x="0" y="18653761"/>
          <a:ext cx="6096000" cy="3785882"/>
        </a:xfrm>
        <a:prstGeom prst="rect">
          <a:avLst/>
        </a:prstGeom>
      </xdr:spPr>
    </xdr:pic>
    <xdr:clientData/>
  </xdr:twoCellAnchor>
  <xdr:twoCellAnchor editAs="oneCell">
    <xdr:from>
      <xdr:col>10</xdr:col>
      <xdr:colOff>0</xdr:colOff>
      <xdr:row>102</xdr:row>
      <xdr:rowOff>1</xdr:rowOff>
    </xdr:from>
    <xdr:to>
      <xdr:col>20</xdr:col>
      <xdr:colOff>0</xdr:colOff>
      <xdr:row>122</xdr:row>
      <xdr:rowOff>49333</xdr:rowOff>
    </xdr:to>
    <xdr:pic>
      <xdr:nvPicPr>
        <xdr:cNvPr id="17" name="CGR"/>
        <xdr:cNvPicPr>
          <a:picLocks noChangeAspect="1"/>
        </xdr:cNvPicPr>
      </xdr:nvPicPr>
      <xdr:blipFill>
        <a:blip xmlns:r="http://schemas.openxmlformats.org/officeDocument/2006/relationships" r:embed="rId16"/>
        <a:stretch>
          <a:fillRect/>
        </a:stretch>
      </xdr:blipFill>
      <xdr:spPr>
        <a:xfrm>
          <a:off x="6096000" y="18653761"/>
          <a:ext cx="6096000" cy="370693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99060</xdr:colOff>
          <xdr:row>1</xdr:row>
          <xdr:rowOff>30480</xdr:rowOff>
        </xdr:from>
        <xdr:to>
          <xdr:col>12</xdr:col>
          <xdr:colOff>495300</xdr:colOff>
          <xdr:row>4</xdr:row>
          <xdr:rowOff>129540</xdr:rowOff>
        </xdr:to>
        <xdr:sp macro="" textlink="">
          <xdr:nvSpPr>
            <xdr:cNvPr id="8195" name="CommandButton1"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66675</xdr:colOff>
      <xdr:row>49</xdr:row>
      <xdr:rowOff>9525</xdr:rowOff>
    </xdr:from>
    <xdr:to>
      <xdr:col>6</xdr:col>
      <xdr:colOff>314325</xdr:colOff>
      <xdr:row>50</xdr:row>
      <xdr:rowOff>19050</xdr:rowOff>
    </xdr:to>
    <xdr:pic>
      <xdr:nvPicPr>
        <xdr:cNvPr id="11" name="Picture 10" descr="\alpha = \left(1 + \kappa \left(1-T_r^{\,0.5}\right)\right)^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67050" y="8382000"/>
          <a:ext cx="1714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76200</xdr:colOff>
      <xdr:row>47</xdr:row>
      <xdr:rowOff>38100</xdr:rowOff>
    </xdr:from>
    <xdr:to>
      <xdr:col>7</xdr:col>
      <xdr:colOff>552450</xdr:colOff>
      <xdr:row>47</xdr:row>
      <xdr:rowOff>152400</xdr:rowOff>
    </xdr:to>
    <xdr:pic>
      <xdr:nvPicPr>
        <xdr:cNvPr id="12" name="Picture 11" descr="\kappa = 0.37464 + 1.54226\,\omega - 0.26992\,\omega^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76575" y="8067675"/>
          <a:ext cx="255270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123825</xdr:colOff>
      <xdr:row>52</xdr:row>
      <xdr:rowOff>76200</xdr:rowOff>
    </xdr:from>
    <xdr:to>
      <xdr:col>5</xdr:col>
      <xdr:colOff>600075</xdr:colOff>
      <xdr:row>54</xdr:row>
      <xdr:rowOff>76200</xdr:rowOff>
    </xdr:to>
    <xdr:pic>
      <xdr:nvPicPr>
        <xdr:cNvPr id="13" name="Picture 12" descr="a = \frac{0.457235\,R^2\,T_c^2}{p_c}"/>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24200" y="8943975"/>
          <a:ext cx="133350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114300</xdr:colOff>
      <xdr:row>55</xdr:row>
      <xdr:rowOff>114300</xdr:rowOff>
    </xdr:from>
    <xdr:to>
      <xdr:col>5</xdr:col>
      <xdr:colOff>466725</xdr:colOff>
      <xdr:row>57</xdr:row>
      <xdr:rowOff>133350</xdr:rowOff>
    </xdr:to>
    <xdr:pic>
      <xdr:nvPicPr>
        <xdr:cNvPr id="14" name="Picture 13" descr="b = \frac{0.077796\,R\,T_c}{p_c}"/>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14675" y="9467850"/>
          <a:ext cx="120967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171450</xdr:colOff>
      <xdr:row>42</xdr:row>
      <xdr:rowOff>0</xdr:rowOff>
    </xdr:from>
    <xdr:to>
      <xdr:col>4</xdr:col>
      <xdr:colOff>695325</xdr:colOff>
      <xdr:row>43</xdr:row>
      <xdr:rowOff>133350</xdr:rowOff>
    </xdr:to>
    <xdr:pic>
      <xdr:nvPicPr>
        <xdr:cNvPr id="15" name="Picture 14" descr="T_r = \frac{T}{T_c}"/>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095625" y="7219950"/>
          <a:ext cx="52387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123825</xdr:colOff>
      <xdr:row>58</xdr:row>
      <xdr:rowOff>142875</xdr:rowOff>
    </xdr:from>
    <xdr:to>
      <xdr:col>5</xdr:col>
      <xdr:colOff>28575</xdr:colOff>
      <xdr:row>60</xdr:row>
      <xdr:rowOff>76200</xdr:rowOff>
    </xdr:to>
    <xdr:pic>
      <xdr:nvPicPr>
        <xdr:cNvPr id="16" name="Picture 15" descr="A = \frac{a\alpha p}{ R^2\,T^2}"/>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24200" y="9982200"/>
          <a:ext cx="7620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123825</xdr:colOff>
      <xdr:row>61</xdr:row>
      <xdr:rowOff>104775</xdr:rowOff>
    </xdr:from>
    <xdr:to>
      <xdr:col>4</xdr:col>
      <xdr:colOff>714375</xdr:colOff>
      <xdr:row>63</xdr:row>
      <xdr:rowOff>47625</xdr:rowOff>
    </xdr:to>
    <xdr:pic>
      <xdr:nvPicPr>
        <xdr:cNvPr id="17" name="Picture 16" descr="B = \frac{b p}{R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124200" y="10429875"/>
          <a:ext cx="590550"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276225</xdr:colOff>
      <xdr:row>72</xdr:row>
      <xdr:rowOff>85726</xdr:rowOff>
    </xdr:from>
    <xdr:to>
      <xdr:col>7</xdr:col>
      <xdr:colOff>571500</xdr:colOff>
      <xdr:row>75</xdr:row>
      <xdr:rowOff>123825</xdr:rowOff>
    </xdr:to>
    <xdr:grpSp>
      <xdr:nvGrpSpPr>
        <xdr:cNvPr id="2" name="Group 1"/>
        <xdr:cNvGrpSpPr/>
      </xdr:nvGrpSpPr>
      <xdr:grpSpPr>
        <a:xfrm>
          <a:off x="2478405" y="12064366"/>
          <a:ext cx="3312795" cy="495299"/>
          <a:chOff x="3228975" y="11106151"/>
          <a:chExt cx="4200525" cy="666749"/>
        </a:xfrm>
      </xdr:grpSpPr>
      <xdr:pic>
        <xdr:nvPicPr>
          <xdr:cNvPr id="18" name="Picture 17" descr="Z^3 - (1-B)\ Z^2 + (A-2B-3B^2)\ Z -(AB-B^2-B^3) = 0 \,\!"/>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28975" y="11201400"/>
            <a:ext cx="4200525" cy="2286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9" name="AutoShape 9" descr="3c689265-a2d4-4903-b95d-3786d54aaff2"/>
          <xdr:cNvSpPr>
            <a:spLocks noChangeArrowheads="1"/>
          </xdr:cNvSpPr>
        </xdr:nvSpPr>
        <xdr:spPr bwMode="auto">
          <a:xfrm>
            <a:off x="3562350" y="11106151"/>
            <a:ext cx="561975" cy="381000"/>
          </a:xfrm>
          <a:prstGeom prst="roundRect">
            <a:avLst>
              <a:gd name="adj" fmla="val 16667"/>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20" name="AutoShape 11" descr="b690ddc8-1432-4509-bb5a-d836ec704629"/>
          <xdr:cNvSpPr>
            <a:spLocks noChangeArrowheads="1"/>
          </xdr:cNvSpPr>
        </xdr:nvSpPr>
        <xdr:spPr bwMode="auto">
          <a:xfrm>
            <a:off x="3686175" y="11525250"/>
            <a:ext cx="304800" cy="219075"/>
          </a:xfrm>
          <a:prstGeom prst="roundRect">
            <a:avLst>
              <a:gd name="adj" fmla="val 16667"/>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txBody>
          <a:bodyPr vertOverflow="clip" wrap="square" lIns="27432" tIns="22860" rIns="27432" bIns="0" anchor="t" upright="1"/>
          <a:lstStyle/>
          <a:p>
            <a:pPr algn="ctr" rtl="0">
              <a:defRPr sz="1000"/>
            </a:pPr>
            <a:r>
              <a:rPr lang="es-BO" sz="800" b="0" i="0" u="none" strike="noStrike" baseline="0">
                <a:solidFill>
                  <a:srgbClr val="000000"/>
                </a:solidFill>
                <a:latin typeface="Arial"/>
                <a:cs typeface="Arial"/>
              </a:rPr>
              <a:t>x</a:t>
            </a:r>
          </a:p>
        </xdr:txBody>
      </xdr:sp>
      <xdr:sp macro="" textlink="">
        <xdr:nvSpPr>
          <xdr:cNvPr id="21" name="AutoShape 12" descr="9716b380-817a-4ee3-9da9-ddf982c316ef"/>
          <xdr:cNvSpPr>
            <a:spLocks noChangeArrowheads="1"/>
          </xdr:cNvSpPr>
        </xdr:nvSpPr>
        <xdr:spPr bwMode="auto">
          <a:xfrm>
            <a:off x="4533900" y="11134725"/>
            <a:ext cx="1133476" cy="352425"/>
          </a:xfrm>
          <a:prstGeom prst="roundRect">
            <a:avLst>
              <a:gd name="adj" fmla="val 16667"/>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22" name="AutoShape 14" descr="eae2c865-c1b1-4c8c-96e1-efda286e930b"/>
          <xdr:cNvSpPr>
            <a:spLocks noChangeArrowheads="1"/>
          </xdr:cNvSpPr>
        </xdr:nvSpPr>
        <xdr:spPr bwMode="auto">
          <a:xfrm>
            <a:off x="4905375" y="11534775"/>
            <a:ext cx="304800" cy="219075"/>
          </a:xfrm>
          <a:prstGeom prst="roundRect">
            <a:avLst>
              <a:gd name="adj" fmla="val 16667"/>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txBody>
          <a:bodyPr vertOverflow="clip" wrap="square" lIns="27432" tIns="22860" rIns="27432" bIns="0" anchor="t" upright="1"/>
          <a:lstStyle/>
          <a:p>
            <a:pPr algn="ctr" rtl="0">
              <a:defRPr sz="1000"/>
            </a:pPr>
            <a:r>
              <a:rPr lang="es-BO" sz="800" b="0" i="0" u="none" strike="noStrike" baseline="0">
                <a:solidFill>
                  <a:srgbClr val="000000"/>
                </a:solidFill>
                <a:latin typeface="Arial"/>
                <a:cs typeface="Arial"/>
              </a:rPr>
              <a:t>y</a:t>
            </a:r>
          </a:p>
        </xdr:txBody>
      </xdr:sp>
      <xdr:sp macro="" textlink="">
        <xdr:nvSpPr>
          <xdr:cNvPr id="23" name="AutoShape 15" descr="c2179ba5-b051-454c-b78b-4fe6f66bf998"/>
          <xdr:cNvSpPr>
            <a:spLocks noChangeArrowheads="1"/>
          </xdr:cNvSpPr>
        </xdr:nvSpPr>
        <xdr:spPr bwMode="auto">
          <a:xfrm>
            <a:off x="6010275" y="11115675"/>
            <a:ext cx="1181100" cy="390525"/>
          </a:xfrm>
          <a:prstGeom prst="roundRect">
            <a:avLst>
              <a:gd name="adj" fmla="val 16667"/>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24" name="AutoShape 17" descr="49f9ceb0-a222-42bd-824a-cc4cffa7c50c"/>
          <xdr:cNvSpPr>
            <a:spLocks noChangeArrowheads="1"/>
          </xdr:cNvSpPr>
        </xdr:nvSpPr>
        <xdr:spPr bwMode="auto">
          <a:xfrm>
            <a:off x="6457950" y="11553825"/>
            <a:ext cx="228600" cy="219075"/>
          </a:xfrm>
          <a:prstGeom prst="roundRect">
            <a:avLst>
              <a:gd name="adj" fmla="val 16667"/>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txBody>
          <a:bodyPr vertOverflow="clip" wrap="square" lIns="27432" tIns="22860" rIns="27432" bIns="0" anchor="t" upright="1"/>
          <a:lstStyle/>
          <a:p>
            <a:pPr algn="ctr" rtl="0">
              <a:defRPr sz="1000"/>
            </a:pPr>
            <a:r>
              <a:rPr lang="es-BO" sz="800" b="0" i="0" u="none" strike="noStrike" baseline="0">
                <a:solidFill>
                  <a:srgbClr val="000000"/>
                </a:solidFill>
                <a:latin typeface="Arial"/>
                <a:cs typeface="Arial"/>
              </a:rPr>
              <a:t>g</a:t>
            </a:r>
          </a:p>
        </xdr:txBody>
      </xdr:sp>
    </xdr:grpSp>
    <xdr:clientData/>
  </xdr:twoCellAnchor>
  <xdr:oneCellAnchor>
    <xdr:from>
      <xdr:col>3</xdr:col>
      <xdr:colOff>565117</xdr:colOff>
      <xdr:row>83</xdr:row>
      <xdr:rowOff>113188</xdr:rowOff>
    </xdr:from>
    <xdr:ext cx="3016283" cy="413062"/>
    <mc:AlternateContent xmlns:mc="http://schemas.openxmlformats.org/markup-compatibility/2006" xmlns:a14="http://schemas.microsoft.com/office/drawing/2010/main">
      <mc:Choice Requires="a14">
        <xdr:sp macro="" textlink="">
          <xdr:nvSpPr>
            <xdr:cNvPr id="3" name="TextBox 2"/>
            <xdr:cNvSpPr txBox="1"/>
          </xdr:nvSpPr>
          <xdr:spPr>
            <a:xfrm>
              <a:off x="2708242" y="13838713"/>
              <a:ext cx="3016283" cy="4130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r>
                      <a:rPr lang="es-BO" sz="1100" b="0" i="1">
                        <a:latin typeface="Cambria Math"/>
                      </a:rPr>
                      <m:t>𝐵𝑔</m:t>
                    </m:r>
                    <m:r>
                      <a:rPr lang="es-BO" sz="1100" i="1">
                        <a:latin typeface="Cambria Math"/>
                      </a:rPr>
                      <m:t>=</m:t>
                    </m:r>
                    <m:f>
                      <m:fPr>
                        <m:ctrlPr>
                          <a:rPr lang="es-BO" sz="1100" i="1">
                            <a:latin typeface="Cambria Math" panose="02040503050406030204" pitchFamily="18" charset="0"/>
                          </a:rPr>
                        </m:ctrlPr>
                      </m:fPr>
                      <m:num>
                        <m:r>
                          <a:rPr lang="es-BO" sz="1100" b="0" i="1">
                            <a:solidFill>
                              <a:schemeClr val="tx1"/>
                            </a:solidFill>
                            <a:effectLst/>
                            <a:latin typeface="Cambria Math"/>
                            <a:ea typeface="+mn-ea"/>
                            <a:cs typeface="+mn-cs"/>
                          </a:rPr>
                          <m:t>0.00504 ×</m:t>
                        </m:r>
                        <m:r>
                          <a:rPr lang="es-BO" sz="1100" b="0" i="1">
                            <a:solidFill>
                              <a:schemeClr val="tx1"/>
                            </a:solidFill>
                            <a:effectLst/>
                            <a:latin typeface="Cambria Math"/>
                            <a:ea typeface="+mn-ea"/>
                            <a:cs typeface="+mn-cs"/>
                          </a:rPr>
                          <m:t>𝑓𝑎𝑐𝑡𝑜𝑟</m:t>
                        </m:r>
                        <m:r>
                          <a:rPr lang="es-BO" sz="1100" b="0" i="1">
                            <a:solidFill>
                              <a:schemeClr val="tx1"/>
                            </a:solidFill>
                            <a:effectLst/>
                            <a:latin typeface="Cambria Math"/>
                            <a:ea typeface="+mn-ea"/>
                            <a:cs typeface="+mn-cs"/>
                          </a:rPr>
                          <m:t>−</m:t>
                        </m:r>
                        <m:r>
                          <a:rPr lang="es-BO" sz="1100" b="0" i="1">
                            <a:solidFill>
                              <a:schemeClr val="tx1"/>
                            </a:solidFill>
                            <a:effectLst/>
                            <a:latin typeface="Cambria Math"/>
                            <a:ea typeface="+mn-ea"/>
                            <a:cs typeface="+mn-cs"/>
                          </a:rPr>
                          <m:t>𝑧</m:t>
                        </m:r>
                        <m:r>
                          <a:rPr lang="es-BO" sz="1100" b="0" i="1">
                            <a:solidFill>
                              <a:schemeClr val="tx1"/>
                            </a:solidFill>
                            <a:effectLst/>
                            <a:latin typeface="Cambria Math"/>
                            <a:ea typeface="+mn-ea"/>
                            <a:cs typeface="+mn-cs"/>
                          </a:rPr>
                          <m:t>×</m:t>
                        </m:r>
                        <m:r>
                          <a:rPr lang="es-BO" sz="1100" b="0" i="1">
                            <a:solidFill>
                              <a:schemeClr val="tx1"/>
                            </a:solidFill>
                            <a:effectLst/>
                            <a:latin typeface="Cambria Math"/>
                            <a:ea typeface="+mn-ea"/>
                            <a:cs typeface="+mn-cs"/>
                          </a:rPr>
                          <m:t>𝑇𝑒𝑚𝑝</m:t>
                        </m:r>
                        <m:r>
                          <m:rPr>
                            <m:nor/>
                          </m:rPr>
                          <a:rPr lang="es-BO">
                            <a:effectLst/>
                          </a:rPr>
                          <m:t> </m:t>
                        </m:r>
                      </m:num>
                      <m:den>
                        <m:r>
                          <a:rPr lang="es-BO" sz="1100" b="0" i="1">
                            <a:latin typeface="Cambria Math"/>
                          </a:rPr>
                          <m:t>𝑃𝑟𝑒𝑠𝑠𝑢𝑟𝑒</m:t>
                        </m:r>
                      </m:den>
                    </m:f>
                  </m:oMath>
                </m:oMathPara>
              </a14:m>
              <a:endParaRPr lang="es-BO" sz="1100"/>
            </a:p>
          </xdr:txBody>
        </xdr:sp>
      </mc:Choice>
      <mc:Fallback xmlns="">
        <xdr:sp macro="" textlink="">
          <xdr:nvSpPr>
            <xdr:cNvPr id="3" name="TextBox 2"/>
            <xdr:cNvSpPr txBox="1"/>
          </xdr:nvSpPr>
          <xdr:spPr>
            <a:xfrm>
              <a:off x="2708242" y="13838713"/>
              <a:ext cx="3016283" cy="4130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BO" sz="1100" b="0" i="0">
                  <a:latin typeface="Cambria Math"/>
                </a:rPr>
                <a:t>𝐵𝑔</a:t>
              </a:r>
              <a:r>
                <a:rPr lang="es-BO" sz="1100" i="0">
                  <a:latin typeface="Cambria Math"/>
                </a:rPr>
                <a:t>=(</a:t>
              </a:r>
              <a:r>
                <a:rPr lang="es-BO" sz="1100" b="0" i="0">
                  <a:solidFill>
                    <a:schemeClr val="tx1"/>
                  </a:solidFill>
                  <a:effectLst/>
                  <a:latin typeface="+mn-lt"/>
                  <a:ea typeface="+mn-ea"/>
                  <a:cs typeface="+mn-cs"/>
                </a:rPr>
                <a:t>0.00504 ×𝑓𝑎𝑐𝑡𝑜𝑟−𝑧×𝑇𝑒𝑚𝑝"</a:t>
              </a:r>
              <a:r>
                <a:rPr lang="es-BO" i="0">
                  <a:effectLst/>
                </a:rPr>
                <a:t> </a:t>
              </a:r>
              <a:r>
                <a:rPr lang="es-BO" sz="1100" i="0">
                  <a:effectLst/>
                  <a:latin typeface="Cambria Math"/>
                </a:rPr>
                <a:t>" )/</a:t>
              </a:r>
              <a:r>
                <a:rPr lang="es-BO" sz="1100" b="0" i="0">
                  <a:latin typeface="Cambria Math"/>
                </a:rPr>
                <a:t>𝑃𝑟𝑒𝑠𝑠𝑢𝑟𝑒</a:t>
              </a:r>
              <a:endParaRPr lang="es-BO" sz="1100"/>
            </a:p>
          </xdr:txBody>
        </xdr:sp>
      </mc:Fallback>
    </mc:AlternateContent>
    <xdr:clientData/>
  </xdr:oneCellAnchor>
  <xdr:twoCellAnchor>
    <xdr:from>
      <xdr:col>14</xdr:col>
      <xdr:colOff>0</xdr:colOff>
      <xdr:row>0</xdr:row>
      <xdr:rowOff>0</xdr:rowOff>
    </xdr:from>
    <xdr:to>
      <xdr:col>20</xdr:col>
      <xdr:colOff>0</xdr:colOff>
      <xdr:row>19</xdr:row>
      <xdr:rowOff>0</xdr:rowOff>
    </xdr:to>
    <xdr:graphicFrame macro="">
      <xdr:nvGraphicFramePr>
        <xdr:cNvPr id="25" name="Factor_z"/>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1013460</xdr:colOff>
          <xdr:row>88</xdr:row>
          <xdr:rowOff>144780</xdr:rowOff>
        </xdr:from>
        <xdr:to>
          <xdr:col>3</xdr:col>
          <xdr:colOff>297180</xdr:colOff>
          <xdr:row>92</xdr:row>
          <xdr:rowOff>60960</xdr:rowOff>
        </xdr:to>
        <xdr:sp macro="" textlink="">
          <xdr:nvSpPr>
            <xdr:cNvPr id="8196" name="CommandButton2"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0</xdr:colOff>
      <xdr:row>19</xdr:row>
      <xdr:rowOff>0</xdr:rowOff>
    </xdr:from>
    <xdr:to>
      <xdr:col>20</xdr:col>
      <xdr:colOff>0</xdr:colOff>
      <xdr:row>38</xdr:row>
      <xdr:rowOff>0</xdr:rowOff>
    </xdr:to>
    <xdr:graphicFrame macro="">
      <xdr:nvGraphicFramePr>
        <xdr:cNvPr id="26" name="B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0</xdr:colOff>
      <xdr:row>19</xdr:row>
      <xdr:rowOff>0</xdr:rowOff>
    </xdr:from>
    <xdr:to>
      <xdr:col>26</xdr:col>
      <xdr:colOff>0</xdr:colOff>
      <xdr:row>38</xdr:row>
      <xdr:rowOff>0</xdr:rowOff>
    </xdr:to>
    <xdr:graphicFrame macro="">
      <xdr:nvGraphicFramePr>
        <xdr:cNvPr id="27" name="Gas_Dens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0</xdr:colOff>
      <xdr:row>0</xdr:row>
      <xdr:rowOff>0</xdr:rowOff>
    </xdr:from>
    <xdr:to>
      <xdr:col>26</xdr:col>
      <xdr:colOff>0</xdr:colOff>
      <xdr:row>19</xdr:row>
      <xdr:rowOff>0</xdr:rowOff>
    </xdr:to>
    <xdr:graphicFrame macro="">
      <xdr:nvGraphicFramePr>
        <xdr:cNvPr id="28" name="Gas_Viscos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28575</xdr:colOff>
      <xdr:row>0</xdr:row>
      <xdr:rowOff>85724</xdr:rowOff>
    </xdr:from>
    <xdr:to>
      <xdr:col>18</xdr:col>
      <xdr:colOff>552450</xdr:colOff>
      <xdr:row>55</xdr:row>
      <xdr:rowOff>38100</xdr:rowOff>
    </xdr:to>
    <xdr:graphicFrame macro="">
      <xdr:nvGraphicFramePr>
        <xdr:cNvPr id="2" name="Chart_M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30480</xdr:colOff>
          <xdr:row>24</xdr:row>
          <xdr:rowOff>121920</xdr:rowOff>
        </xdr:from>
        <xdr:to>
          <xdr:col>5</xdr:col>
          <xdr:colOff>53340</xdr:colOff>
          <xdr:row>28</xdr:row>
          <xdr:rowOff>76200</xdr:rowOff>
        </xdr:to>
        <xdr:sp macro="" textlink="">
          <xdr:nvSpPr>
            <xdr:cNvPr id="10241" name="CommandButton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342900</xdr:colOff>
          <xdr:row>17</xdr:row>
          <xdr:rowOff>60960</xdr:rowOff>
        </xdr:from>
        <xdr:to>
          <xdr:col>26</xdr:col>
          <xdr:colOff>556260</xdr:colOff>
          <xdr:row>21</xdr:row>
          <xdr:rowOff>106680</xdr:rowOff>
        </xdr:to>
        <xdr:sp macro="" textlink="">
          <xdr:nvSpPr>
            <xdr:cNvPr id="10242" name="CommandButton2"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ranco/Pictures/19.%20OHIP.CB.OPENSERVER%20v.2.0%20OPE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B_DATA_"/>
      <sheetName val="License Notice"/>
      <sheetName val="Input Data (Volumetric)_CB"/>
      <sheetName val="Probability_Scale_Data_HIDE"/>
      <sheetName val="Probability_Scale_Assump_Charts"/>
      <sheetName val="Forecast_Variables_CB"/>
      <sheetName val="OGIP_Volumetric_Estimation_CB"/>
      <sheetName val="Forecast_Data_CB"/>
      <sheetName val="Sensitivity-Scatter_Charts_CB"/>
      <sheetName val="Assumptions_Forecast_Charts_CB"/>
      <sheetName val="Fluid_Data"/>
      <sheetName val="Calc"/>
      <sheetName val="Solution_Tables"/>
      <sheetName val="Properties"/>
      <sheetName val="GAP_model_Summary_OP"/>
      <sheetName val="Trans_Aquifer_MBAL_setup_OP"/>
      <sheetName val="Crystal_Ball_to_GAP_setup_OP"/>
      <sheetName val="Plant_Cap._Schedule_OP"/>
      <sheetName val="Prediction_Results_OP"/>
      <sheetName val="Prediction_Results_STATUS_OP"/>
      <sheetName val="Costume_Forecast_Table"/>
    </sheetNames>
    <sheetDataSet>
      <sheetData sheetId="0"/>
      <sheetData sheetId="1"/>
      <sheetData sheetId="2">
        <row r="8">
          <cell r="D8">
            <v>7457.5</v>
          </cell>
        </row>
      </sheetData>
      <sheetData sheetId="3">
        <row r="3">
          <cell r="K3" t="str">
            <v xml:space="preserve">Net to </v>
          </cell>
        </row>
      </sheetData>
      <sheetData sheetId="4"/>
      <sheetData sheetId="5"/>
      <sheetData sheetId="6"/>
      <sheetData sheetId="7">
        <row r="10">
          <cell r="B10">
            <v>964.75909532950277</v>
          </cell>
        </row>
      </sheetData>
      <sheetData sheetId="8"/>
      <sheetData sheetId="9"/>
      <sheetData sheetId="10"/>
      <sheetData sheetId="11"/>
      <sheetData sheetId="12">
        <row r="10">
          <cell r="C10">
            <v>14.7</v>
          </cell>
          <cell r="D10">
            <v>0.99816000000000005</v>
          </cell>
          <cell r="G10">
            <v>1.2204946531457622E-2</v>
          </cell>
          <cell r="J10">
            <v>1.7737753949591782E-2</v>
          </cell>
          <cell r="K10">
            <v>14.727097860062514</v>
          </cell>
        </row>
        <row r="11">
          <cell r="C11">
            <v>55.21632653061225</v>
          </cell>
          <cell r="D11">
            <v>0.99314000000000002</v>
          </cell>
          <cell r="G11">
            <v>1.2230183491159223E-2</v>
          </cell>
          <cell r="J11">
            <v>0.25081172026038095</v>
          </cell>
          <cell r="K11">
            <v>55.597726937402832</v>
          </cell>
        </row>
        <row r="12">
          <cell r="C12">
            <v>95.732653061224497</v>
          </cell>
          <cell r="D12">
            <v>0.98817999999999995</v>
          </cell>
          <cell r="G12">
            <v>1.2261595469641048E-2</v>
          </cell>
          <cell r="J12">
            <v>0.75511246652307551</v>
          </cell>
          <cell r="K12">
            <v>96.877748043093874</v>
          </cell>
        </row>
        <row r="13">
          <cell r="C13">
            <v>136.24897959183676</v>
          </cell>
          <cell r="D13">
            <v>0.98326999999999998</v>
          </cell>
          <cell r="G13">
            <v>1.2296999063870804E-2</v>
          </cell>
          <cell r="J13">
            <v>1.531781470061975</v>
          </cell>
          <cell r="K13">
            <v>138.56720899837964</v>
          </cell>
        </row>
        <row r="14">
          <cell r="C14">
            <v>176.765306122449</v>
          </cell>
          <cell r="D14">
            <v>0.97843000000000002</v>
          </cell>
          <cell r="G14">
            <v>1.2335504536884697E-2</v>
          </cell>
          <cell r="J14">
            <v>2.5817249326935028</v>
          </cell>
          <cell r="K14">
            <v>180.6621895510655</v>
          </cell>
        </row>
        <row r="15">
          <cell r="C15">
            <v>217.28163265306125</v>
          </cell>
          <cell r="D15">
            <v>0.97365000000000002</v>
          </cell>
          <cell r="G15">
            <v>1.2376608788647422E-2</v>
          </cell>
          <cell r="J15">
            <v>3.9056628419379984</v>
          </cell>
          <cell r="K15">
            <v>223.16195003652365</v>
          </cell>
        </row>
        <row r="16">
          <cell r="C16">
            <v>257.79795918367347</v>
          </cell>
          <cell r="D16">
            <v>0.96894000000000002</v>
          </cell>
          <cell r="G16">
            <v>1.2419984489786739E-2</v>
          </cell>
          <cell r="J16">
            <v>5.5041542775486185</v>
          </cell>
          <cell r="K16">
            <v>266.06183993196015</v>
          </cell>
        </row>
        <row r="17">
          <cell r="C17">
            <v>298.31428571428569</v>
          </cell>
          <cell r="D17">
            <v>0.96428999999999998</v>
          </cell>
          <cell r="G17">
            <v>1.246540070122742E-2</v>
          </cell>
          <cell r="J17">
            <v>7.377616894491327</v>
          </cell>
          <cell r="K17">
            <v>309.36158802257171</v>
          </cell>
        </row>
        <row r="18">
          <cell r="C18">
            <v>338.83061224489791</v>
          </cell>
          <cell r="D18">
            <v>0.9597</v>
          </cell>
          <cell r="G18">
            <v>1.2512685608004536E-2</v>
          </cell>
          <cell r="J18">
            <v>9.5263474632145275</v>
          </cell>
          <cell r="K18">
            <v>353.05888532343221</v>
          </cell>
        </row>
        <row r="19">
          <cell r="C19">
            <v>379.34693877551013</v>
          </cell>
          <cell r="D19">
            <v>0.95518999999999998</v>
          </cell>
          <cell r="G19">
            <v>1.2561706507990949E-2</v>
          </cell>
          <cell r="J19">
            <v>11.950497578589557</v>
          </cell>
          <cell r="K19">
            <v>397.14291269329675</v>
          </cell>
        </row>
        <row r="20">
          <cell r="C20">
            <v>419.86326530612234</v>
          </cell>
          <cell r="D20">
            <v>0.95074999999999998</v>
          </cell>
          <cell r="G20">
            <v>1.2612358031190769E-2</v>
          </cell>
          <cell r="J20">
            <v>14.650086131820629</v>
          </cell>
          <cell r="K20">
            <v>441.61269030357334</v>
          </cell>
        </row>
        <row r="21">
          <cell r="C21">
            <v>460.37959183673456</v>
          </cell>
          <cell r="D21">
            <v>0.94638</v>
          </cell>
          <cell r="G21">
            <v>1.2664554720893357E-2</v>
          </cell>
          <cell r="J21">
            <v>17.625026741866929</v>
          </cell>
          <cell r="K21">
            <v>486.4637797044893</v>
          </cell>
        </row>
        <row r="22">
          <cell r="C22">
            <v>500.89591836734678</v>
          </cell>
          <cell r="D22">
            <v>0.94208000000000003</v>
          </cell>
          <cell r="G22">
            <v>1.2718226113736729E-2</v>
          </cell>
          <cell r="J22">
            <v>20.87512146803882</v>
          </cell>
          <cell r="K22">
            <v>531.69148943544792</v>
          </cell>
        </row>
        <row r="23">
          <cell r="C23">
            <v>541.412244897959</v>
          </cell>
          <cell r="D23">
            <v>0.93786000000000003</v>
          </cell>
          <cell r="G23">
            <v>1.2773313340332909E-2</v>
          </cell>
          <cell r="J23">
            <v>24.40004471113792</v>
          </cell>
          <cell r="K23">
            <v>577.28471722640802</v>
          </cell>
        </row>
        <row r="24">
          <cell r="C24">
            <v>581.92857142857122</v>
          </cell>
          <cell r="D24">
            <v>0.93371000000000004</v>
          </cell>
          <cell r="G24">
            <v>1.2829766696775772E-2</v>
          </cell>
          <cell r="J24">
            <v>28.199362512160594</v>
          </cell>
          <cell r="K24">
            <v>623.24337474009189</v>
          </cell>
        </row>
        <row r="25">
          <cell r="C25">
            <v>622.44489795918344</v>
          </cell>
          <cell r="D25">
            <v>0.92964999999999998</v>
          </cell>
          <cell r="G25">
            <v>1.2887543860980545E-2</v>
          </cell>
          <cell r="J25">
            <v>32.272509230106174</v>
          </cell>
          <cell r="K25">
            <v>669.54756947150372</v>
          </cell>
        </row>
        <row r="26">
          <cell r="C26">
            <v>662.96122448979565</v>
          </cell>
          <cell r="D26">
            <v>0.92566999999999999</v>
          </cell>
          <cell r="G26">
            <v>1.2946608551625865E-2</v>
          </cell>
          <cell r="J26">
            <v>36.618788027460326</v>
          </cell>
          <cell r="K26">
            <v>716.19607904522741</v>
          </cell>
        </row>
        <row r="27">
          <cell r="C27">
            <v>703.47755102040787</v>
          </cell>
          <cell r="D27">
            <v>0.92176000000000002</v>
          </cell>
          <cell r="G27">
            <v>1.3006929499486376E-2</v>
          </cell>
          <cell r="J27">
            <v>41.237439053746357</v>
          </cell>
          <cell r="K27">
            <v>763.18949728823975</v>
          </cell>
        </row>
        <row r="28">
          <cell r="C28">
            <v>743.99387755102009</v>
          </cell>
          <cell r="D28">
            <v>0.91793999999999998</v>
          </cell>
          <cell r="G28">
            <v>1.3068479644601293E-2</v>
          </cell>
          <cell r="J28">
            <v>46.1275715314422</v>
          </cell>
          <cell r="K28">
            <v>810.50382111142358</v>
          </cell>
        </row>
        <row r="29">
          <cell r="C29">
            <v>784.51020408163231</v>
          </cell>
          <cell r="D29">
            <v>0.91420999999999997</v>
          </cell>
          <cell r="G29">
            <v>1.3131235500142564E-2</v>
          </cell>
          <cell r="J29">
            <v>51.288134675907095</v>
          </cell>
          <cell r="K29">
            <v>858.12909953034023</v>
          </cell>
        </row>
        <row r="30">
          <cell r="C30">
            <v>825.02653061224453</v>
          </cell>
          <cell r="D30">
            <v>0.91056000000000004</v>
          </cell>
          <cell r="G30">
            <v>1.3195176641600708E-2</v>
          </cell>
          <cell r="J30">
            <v>56.717994817194871</v>
          </cell>
          <cell r="K30">
            <v>906.06498266148799</v>
          </cell>
        </row>
        <row r="31">
          <cell r="C31">
            <v>865.54285714285675</v>
          </cell>
          <cell r="D31">
            <v>0.90700000000000003</v>
          </cell>
          <cell r="G31">
            <v>1.3260285291714264E-2</v>
          </cell>
          <cell r="J31">
            <v>62.415909249962063</v>
          </cell>
          <cell r="K31">
            <v>954.29201449047048</v>
          </cell>
        </row>
        <row r="32">
          <cell r="C32">
            <v>906.05918367346897</v>
          </cell>
          <cell r="D32">
            <v>0.90353000000000006</v>
          </cell>
          <cell r="G32">
            <v>1.332654597960942E-2</v>
          </cell>
          <cell r="J32">
            <v>68.380496853948969</v>
          </cell>
          <cell r="K32">
            <v>1002.7992248995262</v>
          </cell>
        </row>
        <row r="33">
          <cell r="C33">
            <v>946.57551020408118</v>
          </cell>
          <cell r="D33">
            <v>0.90015000000000001</v>
          </cell>
          <cell r="G33">
            <v>1.3393945258207246E-2</v>
          </cell>
          <cell r="J33">
            <v>74.610266602808053</v>
          </cell>
          <cell r="K33">
            <v>1051.5753043426998</v>
          </cell>
        </row>
        <row r="34">
          <cell r="C34">
            <v>987.0918367346934</v>
          </cell>
          <cell r="D34">
            <v>0.89685999999999999</v>
          </cell>
          <cell r="G34">
            <v>1.346247146791724E-2</v>
          </cell>
          <cell r="J34">
            <v>81.103618687233578</v>
          </cell>
          <cell r="K34">
            <v>1100.6086086286527</v>
          </cell>
        </row>
        <row r="35">
          <cell r="C35">
            <v>1027.6081632653056</v>
          </cell>
          <cell r="D35">
            <v>0.89366000000000001</v>
          </cell>
          <cell r="G35">
            <v>1.3532114537490139E-2</v>
          </cell>
          <cell r="J35">
            <v>87.858845639936646</v>
          </cell>
          <cell r="K35">
            <v>1149.8871643189866</v>
          </cell>
        </row>
        <row r="36">
          <cell r="C36">
            <v>1068.124489795918</v>
          </cell>
          <cell r="D36">
            <v>0.89056000000000002</v>
          </cell>
          <cell r="G36">
            <v>1.3602865814991297E-2</v>
          </cell>
          <cell r="J36">
            <v>94.874093359515768</v>
          </cell>
          <cell r="K36">
            <v>1199.3852068315643</v>
          </cell>
        </row>
        <row r="37">
          <cell r="C37">
            <v>1108.6408163265303</v>
          </cell>
          <cell r="D37">
            <v>0.88754999999999995</v>
          </cell>
          <cell r="G37">
            <v>1.3674717923405216E-2</v>
          </cell>
          <cell r="J37">
            <v>102.14739921671568</v>
          </cell>
          <cell r="K37">
            <v>1249.1023788254524</v>
          </cell>
        </row>
        <row r="38">
          <cell r="C38">
            <v>1149.1571428571426</v>
          </cell>
          <cell r="D38">
            <v>0.88463000000000003</v>
          </cell>
          <cell r="G38">
            <v>1.3747664636545948E-2</v>
          </cell>
          <cell r="J38">
            <v>109.67673337774308</v>
          </cell>
          <cell r="K38">
            <v>1299.0257428044974</v>
          </cell>
        </row>
        <row r="39">
          <cell r="C39">
            <v>1189.6734693877549</v>
          </cell>
          <cell r="D39">
            <v>0.88182000000000005</v>
          </cell>
          <cell r="G39">
            <v>1.3821700771832887E-2</v>
          </cell>
          <cell r="J39">
            <v>117.45987341497107</v>
          </cell>
          <cell r="K39">
            <v>1349.1114619624809</v>
          </cell>
        </row>
        <row r="40">
          <cell r="C40">
            <v>1230.1897959183673</v>
          </cell>
          <cell r="D40">
            <v>0.87909999999999999</v>
          </cell>
          <cell r="G40">
            <v>1.3896822097171481E-2</v>
          </cell>
          <cell r="J40">
            <v>125.49448903508105</v>
          </cell>
          <cell r="K40">
            <v>1399.3741279926826</v>
          </cell>
        </row>
        <row r="41">
          <cell r="C41">
            <v>1270.7061224489796</v>
          </cell>
          <cell r="D41">
            <v>0.87648000000000004</v>
          </cell>
          <cell r="G41">
            <v>1.397302524970591E-2</v>
          </cell>
          <cell r="J41">
            <v>133.77818520246601</v>
          </cell>
          <cell r="K41">
            <v>1449.7833635096974</v>
          </cell>
        </row>
        <row r="42">
          <cell r="C42">
            <v>1311.2224489795919</v>
          </cell>
          <cell r="D42">
            <v>0.87395</v>
          </cell>
          <cell r="G42">
            <v>1.4050307664624015E-2</v>
          </cell>
          <cell r="J42">
            <v>142.30846502805105</v>
          </cell>
          <cell r="K42">
            <v>1500.3403501110956</v>
          </cell>
        </row>
        <row r="43">
          <cell r="C43">
            <v>1351.7387755102043</v>
          </cell>
          <cell r="D43">
            <v>0.87153000000000003</v>
          </cell>
          <cell r="G43">
            <v>1.4128667512521143E-2</v>
          </cell>
          <cell r="J43">
            <v>151.0826771656881</v>
          </cell>
          <cell r="K43">
            <v>1550.9951183667852</v>
          </cell>
        </row>
        <row r="44">
          <cell r="C44">
            <v>1392.2551020408166</v>
          </cell>
          <cell r="D44">
            <v>0.86919999999999997</v>
          </cell>
          <cell r="G44">
            <v>1.4208103644089367E-2</v>
          </cell>
          <cell r="J44">
            <v>160.09806850501764</v>
          </cell>
          <cell r="K44">
            <v>1601.7661091127666</v>
          </cell>
        </row>
        <row r="45">
          <cell r="C45">
            <v>1432.7714285714289</v>
          </cell>
          <cell r="D45">
            <v>0.86697999999999997</v>
          </cell>
          <cell r="G45">
            <v>1.4288615541106987E-2</v>
          </cell>
          <cell r="J45">
            <v>169.35177982631711</v>
          </cell>
          <cell r="K45">
            <v>1652.6003236192635</v>
          </cell>
        </row>
        <row r="46">
          <cell r="C46">
            <v>1473.2877551020413</v>
          </cell>
          <cell r="D46">
            <v>0.86485000000000001</v>
          </cell>
          <cell r="G46">
            <v>1.4370203272871545E-2</v>
          </cell>
          <cell r="J46">
            <v>178.84085372273205</v>
          </cell>
          <cell r="K46">
            <v>1703.5182460565893</v>
          </cell>
        </row>
        <row r="47">
          <cell r="C47">
            <v>1513.8040816326536</v>
          </cell>
          <cell r="D47">
            <v>0.86282000000000003</v>
          </cell>
          <cell r="G47">
            <v>1.4452867457356435E-2</v>
          </cell>
          <cell r="J47">
            <v>188.56228755684418</v>
          </cell>
          <cell r="K47">
            <v>1754.4842280344146</v>
          </cell>
        </row>
        <row r="48">
          <cell r="C48">
            <v>1554.3204081632659</v>
          </cell>
          <cell r="D48">
            <v>0.8609</v>
          </cell>
          <cell r="G48">
            <v>1.4536609226483092E-2</v>
          </cell>
          <cell r="J48">
            <v>198.51287043596011</v>
          </cell>
          <cell r="K48">
            <v>1805.4598770626856</v>
          </cell>
        </row>
        <row r="49">
          <cell r="C49">
            <v>1594.8367346938783</v>
          </cell>
          <cell r="D49">
            <v>0.85907</v>
          </cell>
          <cell r="G49">
            <v>1.4621430194992884E-2</v>
          </cell>
          <cell r="J49">
            <v>208.68935337590005</v>
          </cell>
          <cell r="K49">
            <v>1856.4688962411424</v>
          </cell>
        </row>
        <row r="50">
          <cell r="C50">
            <v>1635.3530612244906</v>
          </cell>
          <cell r="D50">
            <v>0.85733999999999999</v>
          </cell>
          <cell r="G50">
            <v>1.4707332432478997E-2</v>
          </cell>
          <cell r="J50">
            <v>219.08845298497454</v>
          </cell>
          <cell r="K50">
            <v>1907.4731859291421</v>
          </cell>
        </row>
        <row r="51">
          <cell r="C51">
            <v>1675.8693877551029</v>
          </cell>
          <cell r="D51">
            <v>0.85572000000000004</v>
          </cell>
          <cell r="G51">
            <v>1.4794318438201877E-2</v>
          </cell>
          <cell r="J51">
            <v>229.7066756384416</v>
          </cell>
          <cell r="K51">
            <v>1958.4319494169856</v>
          </cell>
        </row>
        <row r="52">
          <cell r="C52">
            <v>1716.3857142857153</v>
          </cell>
          <cell r="D52">
            <v>0.85419</v>
          </cell>
          <cell r="G52">
            <v>1.4882391118364775E-2</v>
          </cell>
          <cell r="J52">
            <v>240.54050089542474</v>
          </cell>
          <cell r="K52">
            <v>2009.3722875305439</v>
          </cell>
        </row>
        <row r="53">
          <cell r="C53">
            <v>1756.9020408163276</v>
          </cell>
          <cell r="D53">
            <v>0.85275999999999996</v>
          </cell>
          <cell r="G53">
            <v>1.4971553765570357E-2</v>
          </cell>
          <cell r="J53">
            <v>251.58638540117863</v>
          </cell>
          <cell r="K53">
            <v>2060.2538121116463</v>
          </cell>
        </row>
        <row r="54">
          <cell r="C54">
            <v>1797.4183673469399</v>
          </cell>
          <cell r="D54">
            <v>0.85141999999999995</v>
          </cell>
          <cell r="G54">
            <v>1.5061810040216729E-2</v>
          </cell>
          <cell r="J54">
            <v>262.84070819820022</v>
          </cell>
          <cell r="K54">
            <v>2111.0830933580842</v>
          </cell>
        </row>
        <row r="55">
          <cell r="C55">
            <v>1837.9346938775523</v>
          </cell>
          <cell r="D55">
            <v>0.85019</v>
          </cell>
          <cell r="G55">
            <v>1.5153163953623006E-2</v>
          </cell>
          <cell r="J55">
            <v>274.29970260473249</v>
          </cell>
          <cell r="K55">
            <v>2161.7928861519804</v>
          </cell>
        </row>
        <row r="56">
          <cell r="C56">
            <v>1878.4510204081646</v>
          </cell>
          <cell r="D56">
            <v>0.84904999999999997</v>
          </cell>
          <cell r="G56">
            <v>1.5245619852701406E-2</v>
          </cell>
          <cell r="J56">
            <v>285.95952692845486</v>
          </cell>
          <cell r="K56">
            <v>2212.4150761535416</v>
          </cell>
        </row>
        <row r="57">
          <cell r="C57">
            <v>1918.9673469387769</v>
          </cell>
          <cell r="D57">
            <v>0.84801000000000004</v>
          </cell>
          <cell r="G57">
            <v>1.5339182406015971E-2</v>
          </cell>
          <cell r="J57">
            <v>297.8163326552874</v>
          </cell>
          <cell r="K57">
            <v>2262.9065069265421</v>
          </cell>
        </row>
        <row r="58">
          <cell r="C58">
            <v>1959.4836734693893</v>
          </cell>
          <cell r="D58">
            <v>0.84706000000000004</v>
          </cell>
          <cell r="G58">
            <v>1.5433856591087531E-2</v>
          </cell>
          <cell r="J58">
            <v>309.86620436687912</v>
          </cell>
          <cell r="K58">
            <v>2313.2761238511903</v>
          </cell>
        </row>
        <row r="59">
          <cell r="C59">
            <v>2000.0000000000016</v>
          </cell>
          <cell r="D59">
            <v>0.84619999999999995</v>
          </cell>
          <cell r="G59">
            <v>1.552964768282159E-2</v>
          </cell>
          <cell r="J59">
            <v>322.10523298557189</v>
          </cell>
          <cell r="K59">
            <v>2363.507445048454</v>
          </cell>
        </row>
      </sheetData>
      <sheetData sheetId="13"/>
      <sheetData sheetId="14">
        <row r="7">
          <cell r="I7" t="str">
            <v>GM_1_Tank</v>
          </cell>
          <cell r="L7" t="str">
            <v>Trans02</v>
          </cell>
        </row>
        <row r="8">
          <cell r="I8" t="str">
            <v>Aquifer</v>
          </cell>
        </row>
      </sheetData>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13" Type="http://schemas.openxmlformats.org/officeDocument/2006/relationships/image" Target="../media/image8.emf"/><Relationship Id="rId18" Type="http://schemas.openxmlformats.org/officeDocument/2006/relationships/control" Target="../activeX/activeX14.xml"/><Relationship Id="rId26" Type="http://schemas.openxmlformats.org/officeDocument/2006/relationships/control" Target="../activeX/activeX20.xml"/><Relationship Id="rId21" Type="http://schemas.openxmlformats.org/officeDocument/2006/relationships/control" Target="../activeX/activeX16.xml"/><Relationship Id="rId34" Type="http://schemas.openxmlformats.org/officeDocument/2006/relationships/image" Target="../media/image14.emf"/><Relationship Id="rId7" Type="http://schemas.openxmlformats.org/officeDocument/2006/relationships/image" Target="../media/image6.emf"/><Relationship Id="rId12" Type="http://schemas.openxmlformats.org/officeDocument/2006/relationships/control" Target="../activeX/activeX9.xml"/><Relationship Id="rId17" Type="http://schemas.openxmlformats.org/officeDocument/2006/relationships/control" Target="../activeX/activeX13.xml"/><Relationship Id="rId25" Type="http://schemas.openxmlformats.org/officeDocument/2006/relationships/control" Target="../activeX/activeX19.xml"/><Relationship Id="rId33" Type="http://schemas.openxmlformats.org/officeDocument/2006/relationships/control" Target="../activeX/activeX24.xml"/><Relationship Id="rId2" Type="http://schemas.openxmlformats.org/officeDocument/2006/relationships/drawing" Target="../drawings/drawing4.xml"/><Relationship Id="rId16" Type="http://schemas.openxmlformats.org/officeDocument/2006/relationships/control" Target="../activeX/activeX12.xml"/><Relationship Id="rId20" Type="http://schemas.openxmlformats.org/officeDocument/2006/relationships/image" Target="../media/image9.emf"/><Relationship Id="rId29"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24" Type="http://schemas.openxmlformats.org/officeDocument/2006/relationships/control" Target="../activeX/activeX18.xml"/><Relationship Id="rId32" Type="http://schemas.openxmlformats.org/officeDocument/2006/relationships/image" Target="../media/image13.emf"/><Relationship Id="rId37" Type="http://schemas.openxmlformats.org/officeDocument/2006/relationships/comments" Target="../comments2.xml"/><Relationship Id="rId5" Type="http://schemas.openxmlformats.org/officeDocument/2006/relationships/image" Target="../media/image5.emf"/><Relationship Id="rId15" Type="http://schemas.openxmlformats.org/officeDocument/2006/relationships/control" Target="../activeX/activeX11.xml"/><Relationship Id="rId23" Type="http://schemas.openxmlformats.org/officeDocument/2006/relationships/image" Target="../media/image10.emf"/><Relationship Id="rId28" Type="http://schemas.openxmlformats.org/officeDocument/2006/relationships/image" Target="../media/image11.emf"/><Relationship Id="rId36" Type="http://schemas.openxmlformats.org/officeDocument/2006/relationships/image" Target="../media/image15.emf"/><Relationship Id="rId10" Type="http://schemas.openxmlformats.org/officeDocument/2006/relationships/image" Target="../media/image7.emf"/><Relationship Id="rId19" Type="http://schemas.openxmlformats.org/officeDocument/2006/relationships/control" Target="../activeX/activeX15.xml"/><Relationship Id="rId31" Type="http://schemas.openxmlformats.org/officeDocument/2006/relationships/control" Target="../activeX/activeX23.xml"/><Relationship Id="rId4" Type="http://schemas.openxmlformats.org/officeDocument/2006/relationships/control" Target="../activeX/activeX4.xml"/><Relationship Id="rId9" Type="http://schemas.openxmlformats.org/officeDocument/2006/relationships/control" Target="../activeX/activeX7.xml"/><Relationship Id="rId14" Type="http://schemas.openxmlformats.org/officeDocument/2006/relationships/control" Target="../activeX/activeX10.xml"/><Relationship Id="rId22" Type="http://schemas.openxmlformats.org/officeDocument/2006/relationships/control" Target="../activeX/activeX17.xml"/><Relationship Id="rId27" Type="http://schemas.openxmlformats.org/officeDocument/2006/relationships/control" Target="../activeX/activeX21.xml"/><Relationship Id="rId30" Type="http://schemas.openxmlformats.org/officeDocument/2006/relationships/image" Target="../media/image12.emf"/><Relationship Id="rId35" Type="http://schemas.openxmlformats.org/officeDocument/2006/relationships/control" Target="../activeX/activeX25.xml"/><Relationship Id="rId8" Type="http://schemas.openxmlformats.org/officeDocument/2006/relationships/control" Target="../activeX/activeX6.xml"/><Relationship Id="rId3"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16.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34.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28.xml"/><Relationship Id="rId5" Type="http://schemas.openxmlformats.org/officeDocument/2006/relationships/image" Target="../media/image33.emf"/><Relationship Id="rId4" Type="http://schemas.openxmlformats.org/officeDocument/2006/relationships/control" Target="../activeX/activeX27.xml"/></Relationships>
</file>

<file path=xl/worksheets/_rels/sheet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7.vml"/><Relationship Id="rId7" Type="http://schemas.openxmlformats.org/officeDocument/2006/relationships/image" Target="../media/image44.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image" Target="../media/image43.emf"/><Relationship Id="rId4" Type="http://schemas.openxmlformats.org/officeDocument/2006/relationships/control" Target="../activeX/activeX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1:AD114"/>
  <sheetViews>
    <sheetView showGridLines="0" topLeftCell="A16" zoomScaleNormal="100" workbookViewId="0">
      <selection activeCell="F11" sqref="F11"/>
    </sheetView>
  </sheetViews>
  <sheetFormatPr defaultColWidth="8.88671875" defaultRowHeight="10.199999999999999"/>
  <cols>
    <col min="1" max="1" width="0.6640625" style="6" customWidth="1"/>
    <col min="2" max="2" width="18.44140625" style="6" customWidth="1"/>
    <col min="3" max="3" width="12.88671875" style="6" customWidth="1"/>
    <col min="4" max="4" width="11.6640625" style="6" bestFit="1" customWidth="1"/>
    <col min="5" max="5" width="9.109375" style="6" customWidth="1"/>
    <col min="6" max="6" width="9.5546875" style="6" bestFit="1" customWidth="1"/>
    <col min="7" max="8" width="8.88671875" style="6"/>
    <col min="9" max="9" width="0.88671875" style="6" customWidth="1"/>
    <col min="10" max="29" width="8.6640625" style="6" customWidth="1"/>
    <col min="30" max="16384" width="8.88671875" style="6"/>
  </cols>
  <sheetData>
    <row r="1" spans="2:22" ht="17.25" customHeight="1">
      <c r="B1" s="3" t="s">
        <v>138</v>
      </c>
      <c r="C1" s="4"/>
      <c r="D1" s="4"/>
      <c r="E1" s="4"/>
      <c r="F1" s="165"/>
      <c r="G1" s="4"/>
      <c r="H1" s="5"/>
      <c r="J1" s="147" t="s">
        <v>168</v>
      </c>
    </row>
    <row r="2" spans="2:22" ht="17.25" customHeight="1">
      <c r="B2" s="7" t="s">
        <v>139</v>
      </c>
      <c r="C2" s="8"/>
      <c r="D2" s="8"/>
      <c r="E2" s="8"/>
      <c r="F2" s="166"/>
      <c r="G2" s="8"/>
      <c r="H2" s="9"/>
    </row>
    <row r="3" spans="2:22" ht="17.25" customHeight="1">
      <c r="B3" s="7" t="s">
        <v>140</v>
      </c>
      <c r="C3" s="168"/>
      <c r="D3" s="168"/>
      <c r="E3" s="8"/>
      <c r="F3" s="8"/>
      <c r="G3" s="8"/>
      <c r="H3" s="9"/>
      <c r="R3" s="174"/>
      <c r="S3" s="174"/>
      <c r="T3" s="174"/>
      <c r="U3" s="174"/>
      <c r="V3" s="174"/>
    </row>
    <row r="4" spans="2:22" ht="17.25" customHeight="1">
      <c r="B4" s="10" t="s">
        <v>136</v>
      </c>
      <c r="C4" s="11" t="s">
        <v>344</v>
      </c>
      <c r="D4" s="11"/>
      <c r="E4" s="167" t="s">
        <v>137</v>
      </c>
      <c r="F4" s="11" t="s">
        <v>345</v>
      </c>
      <c r="G4" s="11"/>
      <c r="H4" s="12"/>
    </row>
    <row r="5" spans="2:22" ht="17.25" customHeight="1"/>
    <row r="6" spans="2:22" ht="17.25" customHeight="1">
      <c r="B6" s="13" t="s">
        <v>10</v>
      </c>
      <c r="C6" s="89"/>
      <c r="D6" s="48"/>
      <c r="E6" s="48"/>
      <c r="F6" s="48"/>
      <c r="G6" s="13"/>
      <c r="H6" s="13"/>
    </row>
    <row r="7" spans="2:22" ht="17.25" customHeight="1">
      <c r="B7" s="14" t="s">
        <v>7</v>
      </c>
      <c r="C7" s="87" t="s">
        <v>1</v>
      </c>
      <c r="D7" s="46" t="s">
        <v>106</v>
      </c>
      <c r="E7" s="46" t="s">
        <v>108</v>
      </c>
      <c r="F7" s="46" t="s">
        <v>107</v>
      </c>
      <c r="G7" s="14" t="s">
        <v>5</v>
      </c>
      <c r="H7" s="14" t="s">
        <v>6</v>
      </c>
    </row>
    <row r="8" spans="2:22" ht="17.25" customHeight="1">
      <c r="B8" s="170" t="s">
        <v>8</v>
      </c>
      <c r="C8" s="91"/>
      <c r="D8" s="47"/>
      <c r="E8" s="47"/>
      <c r="F8" s="47"/>
      <c r="G8" s="1" t="s">
        <v>14</v>
      </c>
    </row>
    <row r="9" spans="2:22" ht="17.25" customHeight="1">
      <c r="B9" s="170" t="s">
        <v>9</v>
      </c>
      <c r="C9" s="91"/>
      <c r="D9" s="47"/>
      <c r="E9" s="47"/>
      <c r="F9" s="47"/>
      <c r="G9" s="1" t="s">
        <v>15</v>
      </c>
    </row>
    <row r="10" spans="2:22" ht="17.25" customHeight="1">
      <c r="B10" s="170" t="s">
        <v>10</v>
      </c>
      <c r="C10" s="92">
        <v>1109</v>
      </c>
      <c r="D10" s="53">
        <v>10723</v>
      </c>
      <c r="E10" s="53">
        <v>3852</v>
      </c>
      <c r="F10" s="53">
        <v>500</v>
      </c>
      <c r="G10" s="1" t="s">
        <v>26</v>
      </c>
      <c r="H10" s="6" t="s">
        <v>28</v>
      </c>
    </row>
    <row r="11" spans="2:22" ht="17.25" customHeight="1">
      <c r="C11" s="88"/>
      <c r="D11" s="47"/>
      <c r="E11" s="47"/>
      <c r="F11" s="47"/>
    </row>
    <row r="12" spans="2:22" ht="17.25" customHeight="1">
      <c r="B12" s="13" t="s">
        <v>141</v>
      </c>
      <c r="C12" s="89"/>
      <c r="D12" s="520"/>
      <c r="E12" s="520"/>
      <c r="F12" s="520"/>
      <c r="G12" s="13"/>
      <c r="H12" s="13"/>
    </row>
    <row r="13" spans="2:22" ht="17.25" customHeight="1">
      <c r="B13" s="14" t="s">
        <v>7</v>
      </c>
      <c r="C13" s="175" t="s">
        <v>1</v>
      </c>
      <c r="D13" s="46" t="s">
        <v>2</v>
      </c>
      <c r="E13" s="46" t="s">
        <v>3</v>
      </c>
      <c r="F13" s="46" t="s">
        <v>4</v>
      </c>
      <c r="G13" s="14" t="s">
        <v>5</v>
      </c>
      <c r="H13" s="14" t="s">
        <v>6</v>
      </c>
    </row>
    <row r="14" spans="2:22" ht="17.25" customHeight="1">
      <c r="B14" s="170" t="s">
        <v>11</v>
      </c>
      <c r="C14" s="93">
        <v>0.51</v>
      </c>
      <c r="D14" s="52">
        <v>0.62</v>
      </c>
      <c r="E14" s="52">
        <v>0.6</v>
      </c>
      <c r="F14" s="52">
        <v>0.57999999999999996</v>
      </c>
      <c r="G14" s="1" t="s">
        <v>16</v>
      </c>
      <c r="H14" s="6" t="s">
        <v>27</v>
      </c>
    </row>
    <row r="15" spans="2:22" ht="17.25" customHeight="1">
      <c r="B15" s="236" t="s">
        <v>12</v>
      </c>
      <c r="C15" s="237">
        <v>7.0000000000000007E-2</v>
      </c>
      <c r="D15" s="238">
        <v>0.06</v>
      </c>
      <c r="E15" s="238">
        <v>5.5E-2</v>
      </c>
      <c r="F15" s="238">
        <v>0.05</v>
      </c>
      <c r="G15" s="239" t="s">
        <v>16</v>
      </c>
      <c r="H15" s="5" t="s">
        <v>27</v>
      </c>
    </row>
    <row r="16" spans="2:22" ht="17.25" customHeight="1">
      <c r="B16" s="240"/>
      <c r="C16" s="11"/>
      <c r="D16" s="241">
        <f>+D15*100</f>
        <v>6</v>
      </c>
      <c r="E16" s="241">
        <f t="shared" ref="E16:F16" si="0">+E15*100</f>
        <v>5.5</v>
      </c>
      <c r="F16" s="241">
        <f t="shared" si="0"/>
        <v>5</v>
      </c>
      <c r="G16" s="11" t="s">
        <v>175</v>
      </c>
      <c r="H16" s="12"/>
    </row>
    <row r="17" spans="2:29" ht="17.25" customHeight="1">
      <c r="B17" s="236" t="s">
        <v>146</v>
      </c>
      <c r="C17" s="237">
        <v>0.5</v>
      </c>
      <c r="D17" s="238">
        <v>0.6</v>
      </c>
      <c r="E17" s="238">
        <v>0.5</v>
      </c>
      <c r="F17" s="238">
        <v>0.4</v>
      </c>
      <c r="G17" s="239" t="s">
        <v>16</v>
      </c>
      <c r="H17" s="5" t="s">
        <v>27</v>
      </c>
    </row>
    <row r="18" spans="2:29" ht="17.25" customHeight="1">
      <c r="B18" s="240"/>
      <c r="C18" s="11"/>
      <c r="D18" s="241">
        <f>+D17*100</f>
        <v>60</v>
      </c>
      <c r="E18" s="241">
        <f t="shared" ref="E18" si="1">+E17*100</f>
        <v>50</v>
      </c>
      <c r="F18" s="241">
        <f t="shared" ref="F18" si="2">+F17*100</f>
        <v>40</v>
      </c>
      <c r="G18" s="11" t="s">
        <v>175</v>
      </c>
      <c r="H18" s="12"/>
    </row>
    <row r="19" spans="2:29" ht="17.25" customHeight="1">
      <c r="B19" s="236" t="s">
        <v>13</v>
      </c>
      <c r="C19" s="380">
        <f>1-C17</f>
        <v>0.5</v>
      </c>
      <c r="D19" s="238">
        <f>1-D17</f>
        <v>0.4</v>
      </c>
      <c r="E19" s="238">
        <f t="shared" ref="E19:F19" si="3">1-E17</f>
        <v>0.5</v>
      </c>
      <c r="F19" s="238">
        <f t="shared" si="3"/>
        <v>0.6</v>
      </c>
      <c r="G19" s="239" t="s">
        <v>16</v>
      </c>
      <c r="H19" s="5" t="s">
        <v>27</v>
      </c>
    </row>
    <row r="20" spans="2:29" ht="17.25" customHeight="1">
      <c r="B20" s="240"/>
      <c r="C20" s="243"/>
      <c r="D20" s="241">
        <f>+D19*100</f>
        <v>40</v>
      </c>
      <c r="E20" s="241">
        <f t="shared" ref="E20" si="4">+E19*100</f>
        <v>50</v>
      </c>
      <c r="F20" s="241">
        <f t="shared" ref="F20" si="5">+F19*100</f>
        <v>60</v>
      </c>
      <c r="G20" s="11" t="s">
        <v>175</v>
      </c>
      <c r="H20" s="12"/>
    </row>
    <row r="21" spans="2:29" ht="17.25" customHeight="1"/>
    <row r="22" spans="2:29" ht="17.25" customHeight="1">
      <c r="B22" s="13" t="s">
        <v>17</v>
      </c>
      <c r="C22" s="89"/>
      <c r="D22" s="48"/>
      <c r="E22" s="48"/>
      <c r="F22" s="48"/>
      <c r="G22" s="13"/>
      <c r="H22" s="13"/>
    </row>
    <row r="23" spans="2:29" ht="17.25" customHeight="1">
      <c r="B23" s="14" t="s">
        <v>7</v>
      </c>
      <c r="C23" s="175" t="s">
        <v>1</v>
      </c>
      <c r="D23" s="46" t="s">
        <v>106</v>
      </c>
      <c r="E23" s="46"/>
      <c r="F23" s="46" t="s">
        <v>107</v>
      </c>
      <c r="G23" s="14" t="s">
        <v>5</v>
      </c>
      <c r="H23" s="14" t="s">
        <v>6</v>
      </c>
    </row>
    <row r="24" spans="2:29" ht="17.25" customHeight="1">
      <c r="B24" s="170" t="s">
        <v>142</v>
      </c>
      <c r="C24" s="169">
        <f>1/C25</f>
        <v>3.3333333333333335E-3</v>
      </c>
      <c r="D24" s="393">
        <f>+'Pore Pressure'!$E$13</f>
        <v>2.6887865304411501E-3</v>
      </c>
      <c r="E24" s="393"/>
      <c r="F24" s="393">
        <f>+'Pore Pressure'!$D$13</f>
        <v>2.7983028996160938E-3</v>
      </c>
      <c r="G24" s="2" t="s">
        <v>145</v>
      </c>
      <c r="H24" s="6" t="s">
        <v>22</v>
      </c>
    </row>
    <row r="25" spans="2:29" ht="17.25" customHeight="1">
      <c r="B25" s="170" t="s">
        <v>38</v>
      </c>
      <c r="C25" s="94">
        <v>300</v>
      </c>
      <c r="D25" s="49">
        <f>1/D24</f>
        <v>371.914984205135</v>
      </c>
      <c r="E25" s="49"/>
      <c r="F25" s="49">
        <f>1/F24</f>
        <v>357.35945531028557</v>
      </c>
      <c r="G25" s="2" t="s">
        <v>176</v>
      </c>
      <c r="H25" s="6" t="s">
        <v>22</v>
      </c>
    </row>
    <row r="26" spans="2:29" ht="17.25" customHeight="1">
      <c r="B26" s="170" t="s">
        <v>143</v>
      </c>
      <c r="C26" s="94">
        <v>5</v>
      </c>
      <c r="D26" s="49">
        <v>2</v>
      </c>
      <c r="E26" s="49"/>
      <c r="F26" s="49">
        <v>0.5</v>
      </c>
      <c r="G26" s="2" t="s">
        <v>144</v>
      </c>
      <c r="H26" s="6" t="s">
        <v>22</v>
      </c>
    </row>
    <row r="27" spans="2:29" ht="17.25" customHeight="1"/>
    <row r="28" spans="2:29" ht="17.25" customHeight="1">
      <c r="B28" s="13" t="s">
        <v>23</v>
      </c>
      <c r="C28" s="89"/>
      <c r="D28" s="48"/>
      <c r="E28" s="48"/>
      <c r="F28" s="48"/>
      <c r="G28" s="13"/>
      <c r="H28" s="13"/>
      <c r="AC28" s="6">
        <v>1.6069045212187549E+44</v>
      </c>
    </row>
    <row r="29" spans="2:29" ht="17.25" customHeight="1">
      <c r="B29" s="14" t="s">
        <v>7</v>
      </c>
      <c r="C29" s="175" t="s">
        <v>1</v>
      </c>
      <c r="D29" s="46" t="s">
        <v>106</v>
      </c>
      <c r="E29" s="46"/>
      <c r="F29" s="46" t="s">
        <v>107</v>
      </c>
      <c r="G29" s="14" t="s">
        <v>5</v>
      </c>
      <c r="H29" s="14" t="s">
        <v>6</v>
      </c>
      <c r="AC29" s="6">
        <v>1.6069045212187549E+44</v>
      </c>
    </row>
    <row r="30" spans="2:29" ht="17.25" customHeight="1">
      <c r="B30" s="170" t="s">
        <v>24</v>
      </c>
      <c r="C30" s="93">
        <v>0.5</v>
      </c>
      <c r="D30" s="95">
        <v>0.55000000000000004</v>
      </c>
      <c r="E30" s="95"/>
      <c r="F30" s="95">
        <v>0.45</v>
      </c>
      <c r="G30" s="6" t="s">
        <v>16</v>
      </c>
      <c r="H30" s="6" t="s">
        <v>22</v>
      </c>
      <c r="J30" s="147"/>
    </row>
    <row r="31" spans="2:29" ht="17.25" customHeight="1">
      <c r="B31" s="170" t="s">
        <v>315</v>
      </c>
      <c r="C31" s="93">
        <v>0.95</v>
      </c>
      <c r="D31" s="95">
        <v>0.98</v>
      </c>
      <c r="E31" s="95"/>
      <c r="F31" s="95">
        <v>0.97</v>
      </c>
      <c r="G31" s="6" t="s">
        <v>16</v>
      </c>
      <c r="H31" s="6" t="s">
        <v>22</v>
      </c>
    </row>
    <row r="32" spans="2:29" ht="17.25" customHeight="1">
      <c r="B32" s="170" t="s">
        <v>317</v>
      </c>
      <c r="C32" s="95">
        <v>0.99</v>
      </c>
      <c r="D32" s="95"/>
      <c r="E32" s="95"/>
      <c r="F32" s="95"/>
      <c r="G32" s="6" t="s">
        <v>16</v>
      </c>
      <c r="H32" s="6" t="s">
        <v>109</v>
      </c>
    </row>
    <row r="33" spans="2:27" ht="17.25" customHeight="1">
      <c r="B33" s="170" t="s">
        <v>111</v>
      </c>
      <c r="C33" s="171">
        <v>0.65</v>
      </c>
      <c r="D33" s="95">
        <v>0.55000000000000004</v>
      </c>
      <c r="E33" s="95"/>
      <c r="F33" s="95">
        <v>0.45</v>
      </c>
      <c r="G33" s="6" t="s">
        <v>16</v>
      </c>
      <c r="H33" s="6" t="s">
        <v>22</v>
      </c>
    </row>
    <row r="35" spans="2:27">
      <c r="Z35" s="6">
        <v>1</v>
      </c>
      <c r="AA35" s="6">
        <v>1</v>
      </c>
    </row>
    <row r="36" spans="2:27">
      <c r="U36" s="174"/>
      <c r="V36" s="174"/>
      <c r="W36" s="174"/>
      <c r="Z36" s="184">
        <f>+F26</f>
        <v>0.5</v>
      </c>
      <c r="AA36" s="184">
        <f>+D26</f>
        <v>2</v>
      </c>
    </row>
    <row r="39" spans="2:27">
      <c r="R39" s="179"/>
      <c r="S39" s="179"/>
    </row>
    <row r="40" spans="2:27">
      <c r="D40" s="521"/>
      <c r="E40" s="521"/>
      <c r="F40" s="521"/>
      <c r="T40" s="179"/>
    </row>
    <row r="41" spans="2:27">
      <c r="T41" s="179"/>
    </row>
    <row r="42" spans="2:27">
      <c r="D42" s="521"/>
      <c r="E42" s="521"/>
      <c r="F42" s="521"/>
    </row>
    <row r="44" spans="2:27">
      <c r="D44" s="521"/>
      <c r="E44" s="521"/>
      <c r="F44" s="521"/>
    </row>
    <row r="88" spans="10:30">
      <c r="J88" s="6">
        <v>0</v>
      </c>
      <c r="K88" s="6">
        <v>0</v>
      </c>
      <c r="L88" s="6">
        <f>1/(M89-L89)</f>
        <v>6.8702415915223566E-2</v>
      </c>
      <c r="M88" s="6">
        <f>+L88</f>
        <v>6.8702415915223566E-2</v>
      </c>
      <c r="N88" s="6">
        <v>0</v>
      </c>
      <c r="O88" s="6">
        <v>0</v>
      </c>
    </row>
    <row r="89" spans="10:30">
      <c r="J89" s="244">
        <f>+L89-1</f>
        <v>356.35945531028557</v>
      </c>
      <c r="K89" s="244">
        <f>+L89</f>
        <v>357.35945531028557</v>
      </c>
      <c r="L89" s="244">
        <f>+F25</f>
        <v>357.35945531028557</v>
      </c>
      <c r="M89" s="244">
        <f>+D25</f>
        <v>371.914984205135</v>
      </c>
      <c r="N89" s="244">
        <f>+M89</f>
        <v>371.914984205135</v>
      </c>
      <c r="O89" s="244">
        <f>+M89+1</f>
        <v>372.914984205135</v>
      </c>
      <c r="Q89" s="6">
        <v>0</v>
      </c>
      <c r="R89" s="6">
        <v>0</v>
      </c>
      <c r="S89" s="6">
        <f>1/(T90-S90)</f>
        <v>0.66666666666666663</v>
      </c>
      <c r="T89" s="6">
        <f>+S89</f>
        <v>0.66666666666666663</v>
      </c>
      <c r="U89" s="6">
        <v>0</v>
      </c>
      <c r="V89" s="6">
        <v>0</v>
      </c>
      <c r="Y89" s="6">
        <v>0</v>
      </c>
      <c r="Z89" s="6">
        <v>0</v>
      </c>
      <c r="AA89" s="6">
        <f>1/(AB90-AA90)</f>
        <v>9.9999999999999922E-2</v>
      </c>
      <c r="AB89" s="6">
        <f>+AA89</f>
        <v>9.9999999999999922E-2</v>
      </c>
      <c r="AC89" s="6">
        <v>0</v>
      </c>
      <c r="AD89" s="6">
        <v>0</v>
      </c>
    </row>
    <row r="90" spans="10:30">
      <c r="Q90" s="245">
        <f>+S90-0.5</f>
        <v>0</v>
      </c>
      <c r="R90" s="245">
        <f>+S90</f>
        <v>0.5</v>
      </c>
      <c r="S90" s="245">
        <f>+F26</f>
        <v>0.5</v>
      </c>
      <c r="T90" s="245">
        <f>+D26</f>
        <v>2</v>
      </c>
      <c r="U90" s="245">
        <f>+T90</f>
        <v>2</v>
      </c>
      <c r="V90" s="245">
        <f>+T90+0.5</f>
        <v>2.5</v>
      </c>
      <c r="Y90" s="245">
        <f>+AA90-2</f>
        <v>43</v>
      </c>
      <c r="Z90" s="245">
        <f>+AA90</f>
        <v>45</v>
      </c>
      <c r="AA90" s="245">
        <f>+F30*100</f>
        <v>45</v>
      </c>
      <c r="AB90" s="245">
        <f>+D30*100</f>
        <v>55.000000000000007</v>
      </c>
      <c r="AC90" s="245">
        <f>+AB90</f>
        <v>55.000000000000007</v>
      </c>
      <c r="AD90" s="245">
        <f>+AB90+2</f>
        <v>57.000000000000007</v>
      </c>
    </row>
    <row r="110" spans="10:30">
      <c r="J110" s="6">
        <v>0</v>
      </c>
      <c r="K110" s="6">
        <v>0</v>
      </c>
      <c r="L110" s="6">
        <f>1/(M111-L111)</f>
        <v>1</v>
      </c>
      <c r="M110" s="6">
        <f>+L110</f>
        <v>1</v>
      </c>
      <c r="N110" s="6">
        <v>0</v>
      </c>
      <c r="O110" s="6">
        <v>0</v>
      </c>
      <c r="Q110" s="6">
        <v>0</v>
      </c>
      <c r="R110" s="6">
        <v>0</v>
      </c>
      <c r="S110" s="6">
        <f>1/(T111-S111)</f>
        <v>9131.0550882359839</v>
      </c>
      <c r="T110" s="6">
        <f>+S110</f>
        <v>9131.0550882359839</v>
      </c>
      <c r="U110" s="6">
        <v>0</v>
      </c>
      <c r="V110" s="6">
        <v>0</v>
      </c>
      <c r="Y110" s="6">
        <v>0</v>
      </c>
      <c r="Z110" s="6">
        <v>0</v>
      </c>
      <c r="AA110" s="6">
        <f>1/(AB111-AA111)</f>
        <v>9.9999999999999922E-2</v>
      </c>
      <c r="AB110" s="6">
        <f>+AA110</f>
        <v>9.9999999999999922E-2</v>
      </c>
      <c r="AC110" s="6">
        <v>0</v>
      </c>
      <c r="AD110" s="6">
        <v>0</v>
      </c>
    </row>
    <row r="111" spans="10:30">
      <c r="J111" s="245">
        <f>+L111-2</f>
        <v>95</v>
      </c>
      <c r="K111" s="245">
        <f>+L111</f>
        <v>97</v>
      </c>
      <c r="L111" s="245">
        <f>+F31*100</f>
        <v>97</v>
      </c>
      <c r="M111" s="245">
        <f>+D31*100</f>
        <v>98</v>
      </c>
      <c r="N111" s="245">
        <f>+M111</f>
        <v>98</v>
      </c>
      <c r="O111" s="245">
        <f>+M111+2</f>
        <v>100</v>
      </c>
      <c r="Q111" s="540">
        <f>+S111-0.01</f>
        <v>-7.3112134695588506E-3</v>
      </c>
      <c r="R111" s="540">
        <f>+S111</f>
        <v>2.6887865304411501E-3</v>
      </c>
      <c r="S111" s="540">
        <f>+D24</f>
        <v>2.6887865304411501E-3</v>
      </c>
      <c r="T111" s="540">
        <f>+F24</f>
        <v>2.7983028996160938E-3</v>
      </c>
      <c r="U111" s="540">
        <f>+T111</f>
        <v>2.7983028996160938E-3</v>
      </c>
      <c r="V111" s="540">
        <f>+T111+2</f>
        <v>2.0027983028996159</v>
      </c>
      <c r="Y111" s="245">
        <f>+AA111-2</f>
        <v>43</v>
      </c>
      <c r="Z111" s="245">
        <f>+AA111</f>
        <v>45</v>
      </c>
      <c r="AA111" s="245">
        <f>+F33*100</f>
        <v>45</v>
      </c>
      <c r="AB111" s="245">
        <f>+D33*100</f>
        <v>55.000000000000007</v>
      </c>
      <c r="AC111" s="245">
        <f>+AB111</f>
        <v>55.000000000000007</v>
      </c>
      <c r="AD111" s="245">
        <f>+AB111+2</f>
        <v>57.000000000000007</v>
      </c>
    </row>
    <row r="113" spans="17:22">
      <c r="Q113" s="6">
        <v>0</v>
      </c>
      <c r="R113" s="6">
        <v>0</v>
      </c>
      <c r="S113" s="6">
        <f>1/(T114-S114)</f>
        <v>9.1315861565154158E-2</v>
      </c>
      <c r="T113" s="6">
        <f>+S113</f>
        <v>9.1315861565154158E-2</v>
      </c>
      <c r="U113" s="6">
        <v>0</v>
      </c>
      <c r="V113" s="6">
        <v>0</v>
      </c>
    </row>
    <row r="114" spans="17:22">
      <c r="Q114" s="6">
        <f>+R114-1</f>
        <v>267.87900000000002</v>
      </c>
      <c r="R114" s="6">
        <f>+S114</f>
        <v>268.87900000000002</v>
      </c>
      <c r="S114" s="6">
        <f>+ROUND(S111*100000,3)</f>
        <v>268.87900000000002</v>
      </c>
      <c r="T114" s="6">
        <f>ROUND(T111*100000,3)</f>
        <v>279.83</v>
      </c>
      <c r="U114" s="6">
        <f>+ROUND(T114,3)</f>
        <v>279.83</v>
      </c>
      <c r="V114" s="6">
        <f>+U114+1</f>
        <v>280.83</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0</xdr:colOff>
                <xdr:row>0</xdr:row>
                <xdr:rowOff>121920</xdr:rowOff>
              </from>
              <to>
                <xdr:col>5</xdr:col>
                <xdr:colOff>640080</xdr:colOff>
                <xdr:row>2</xdr:row>
                <xdr:rowOff>121920</xdr:rowOff>
              </to>
            </anchor>
          </controlPr>
        </control>
      </mc:Choice>
      <mc:Fallback>
        <control shapeId="1025"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M108"/>
  <sheetViews>
    <sheetView showGridLines="0" topLeftCell="A70" zoomScale="90" zoomScaleNormal="90" workbookViewId="0">
      <selection activeCell="C107" sqref="C107"/>
    </sheetView>
  </sheetViews>
  <sheetFormatPr defaultColWidth="8.88671875" defaultRowHeight="14.4"/>
  <cols>
    <col min="1" max="1" width="11.88671875" style="18" customWidth="1"/>
    <col min="2" max="3" width="14.109375" style="18" customWidth="1"/>
    <col min="4" max="4" width="11.5546875" style="18" bestFit="1" customWidth="1"/>
    <col min="5" max="5" width="10.109375" style="18" customWidth="1"/>
    <col min="6" max="9" width="9.88671875" style="19" customWidth="1"/>
    <col min="10" max="10" width="13.6640625" style="18" customWidth="1"/>
    <col min="11" max="11" width="12.109375" style="18" customWidth="1"/>
    <col min="12" max="12" width="10.88671875" style="18" customWidth="1"/>
    <col min="13" max="13" width="12.6640625" style="18" customWidth="1"/>
    <col min="14" max="14" width="13.109375" style="18" customWidth="1"/>
    <col min="15" max="15" width="14.44140625" style="18" bestFit="1" customWidth="1"/>
    <col min="16" max="16" width="17.6640625" style="18" customWidth="1"/>
    <col min="17" max="17" width="16.88671875" style="18" customWidth="1"/>
    <col min="18" max="19" width="8.88671875" style="18"/>
    <col min="20" max="20" width="12" style="18" customWidth="1"/>
    <col min="21" max="21" width="8.88671875" style="18" customWidth="1"/>
    <col min="22" max="22" width="15.109375" style="18" customWidth="1"/>
    <col min="23" max="27" width="14.6640625" style="19" customWidth="1"/>
    <col min="28" max="28" width="14.6640625" customWidth="1"/>
    <col min="29" max="31" width="14.6640625" style="19" customWidth="1"/>
    <col min="32" max="32" width="18.6640625" customWidth="1"/>
    <col min="33" max="34" width="18.6640625" style="19" customWidth="1"/>
    <col min="35" max="35" width="10.6640625" style="18" customWidth="1"/>
    <col min="36" max="36" width="12.5546875" style="18" bestFit="1" customWidth="1"/>
    <col min="37" max="16384" width="8.88671875" style="18"/>
  </cols>
  <sheetData>
    <row r="1" spans="1:39">
      <c r="I1" s="13" t="s">
        <v>0</v>
      </c>
      <c r="J1" s="13"/>
      <c r="K1" s="13"/>
      <c r="L1" s="13"/>
      <c r="M1" s="13"/>
      <c r="N1" s="13"/>
      <c r="O1" s="13"/>
    </row>
    <row r="2" spans="1:39">
      <c r="I2" s="14" t="s">
        <v>7</v>
      </c>
      <c r="J2" s="14" t="s">
        <v>1</v>
      </c>
      <c r="K2" s="46" t="s">
        <v>2</v>
      </c>
      <c r="L2" s="46" t="s">
        <v>3</v>
      </c>
      <c r="M2" s="46" t="s">
        <v>4</v>
      </c>
      <c r="N2" s="14" t="s">
        <v>5</v>
      </c>
      <c r="O2" s="14" t="s">
        <v>6</v>
      </c>
    </row>
    <row r="3" spans="1:39">
      <c r="D3" s="18" t="s">
        <v>159</v>
      </c>
      <c r="I3" s="6" t="s">
        <v>8</v>
      </c>
      <c r="J3" s="6"/>
      <c r="K3" s="47"/>
      <c r="L3" s="47"/>
      <c r="M3" s="47"/>
      <c r="N3" s="1" t="s">
        <v>14</v>
      </c>
      <c r="O3" s="6"/>
      <c r="W3" s="187" t="s">
        <v>11</v>
      </c>
      <c r="Z3" s="187" t="s">
        <v>12</v>
      </c>
      <c r="AA3" s="187"/>
      <c r="AC3" s="187"/>
      <c r="AD3" s="187" t="s">
        <v>146</v>
      </c>
      <c r="AE3" s="187"/>
      <c r="AG3" s="187"/>
      <c r="AH3" s="187" t="s">
        <v>13</v>
      </c>
    </row>
    <row r="4" spans="1:39">
      <c r="B4" s="22" t="s">
        <v>31</v>
      </c>
      <c r="C4" s="23" t="s">
        <v>32</v>
      </c>
      <c r="D4" s="24" t="s">
        <v>33</v>
      </c>
      <c r="I4" s="6" t="s">
        <v>9</v>
      </c>
      <c r="J4" s="6"/>
      <c r="K4" s="47"/>
      <c r="L4" s="47"/>
      <c r="M4" s="47"/>
      <c r="N4" s="1" t="s">
        <v>15</v>
      </c>
      <c r="O4" s="6"/>
    </row>
    <row r="5" spans="1:39">
      <c r="A5" s="18">
        <v>99</v>
      </c>
      <c r="B5" s="26">
        <v>0.99</v>
      </c>
      <c r="C5" s="19">
        <v>0</v>
      </c>
      <c r="D5" s="19">
        <f>_xlfn.NORM.S.INV(B5)</f>
        <v>2.3263478740408408</v>
      </c>
      <c r="I5" s="6" t="s">
        <v>10</v>
      </c>
      <c r="J5" s="6"/>
      <c r="K5" s="49">
        <f>+Input_Data!D10</f>
        <v>10723</v>
      </c>
      <c r="L5" s="49">
        <f>+Input_Data!E10</f>
        <v>3852</v>
      </c>
      <c r="M5" s="49">
        <f>+Input_Data!F10</f>
        <v>500</v>
      </c>
      <c r="N5" s="1" t="s">
        <v>26</v>
      </c>
      <c r="O5" s="6" t="s">
        <v>28</v>
      </c>
      <c r="U5" s="18" t="s">
        <v>153</v>
      </c>
      <c r="V5" s="18" t="s">
        <v>150</v>
      </c>
      <c r="W5" s="207">
        <f>+LN(K9*100)</f>
        <v>4.1271343850450917</v>
      </c>
      <c r="Z5" s="207">
        <f>+LN(K10*100)</f>
        <v>1.791759469228055</v>
      </c>
      <c r="AA5" s="207"/>
      <c r="AC5" s="207"/>
      <c r="AD5" s="207">
        <f>+LN(K11*100)</f>
        <v>4.0943445622221004</v>
      </c>
      <c r="AE5" s="207"/>
      <c r="AG5" s="207"/>
      <c r="AH5" s="207">
        <f>+LN(K12*100)</f>
        <v>3.6888794541139363</v>
      </c>
    </row>
    <row r="6" spans="1:39">
      <c r="A6" s="18">
        <v>90</v>
      </c>
      <c r="B6" s="26">
        <v>0.9</v>
      </c>
      <c r="C6" s="19">
        <v>0</v>
      </c>
      <c r="D6" s="19">
        <f t="shared" ref="D6:D16" si="0">_xlfn.NORM.S.INV(B6)</f>
        <v>1.2815515655446006</v>
      </c>
      <c r="I6" s="6"/>
      <c r="J6" s="6"/>
      <c r="K6" s="49"/>
      <c r="L6" s="49"/>
      <c r="M6" s="49"/>
      <c r="N6" s="6"/>
      <c r="O6" s="6"/>
      <c r="U6" s="18" t="s">
        <v>153</v>
      </c>
      <c r="V6" s="18" t="s">
        <v>149</v>
      </c>
      <c r="W6" s="207">
        <f>+LN(M9*100)</f>
        <v>4.0604430105464191</v>
      </c>
      <c r="Z6" s="207">
        <f>+LN(M10*100)</f>
        <v>1.6094379124341003</v>
      </c>
      <c r="AA6" s="207"/>
      <c r="AC6" s="207"/>
      <c r="AD6" s="207">
        <f>+LN(M11*100)</f>
        <v>3.6888794541139363</v>
      </c>
      <c r="AE6" s="207"/>
      <c r="AG6" s="207"/>
      <c r="AH6" s="207">
        <f>+LN(M12*100)</f>
        <v>4.0943445622221004</v>
      </c>
    </row>
    <row r="7" spans="1:39">
      <c r="A7" s="18">
        <v>80</v>
      </c>
      <c r="B7" s="26">
        <v>0.8</v>
      </c>
      <c r="C7" s="19">
        <v>0</v>
      </c>
      <c r="D7" s="19">
        <f t="shared" si="0"/>
        <v>0.84162123357291474</v>
      </c>
      <c r="I7" s="13" t="s">
        <v>0</v>
      </c>
      <c r="J7" s="13"/>
      <c r="K7" s="50"/>
      <c r="L7" s="50"/>
      <c r="M7" s="50"/>
      <c r="N7" s="13"/>
      <c r="O7" s="13"/>
      <c r="U7" s="18" t="s">
        <v>153</v>
      </c>
      <c r="V7" s="18" t="s">
        <v>151</v>
      </c>
      <c r="W7" s="207">
        <f>+D14</f>
        <v>-1.2815515655446006</v>
      </c>
      <c r="Z7" s="207">
        <f>+W7</f>
        <v>-1.2815515655446006</v>
      </c>
      <c r="AA7" s="207"/>
      <c r="AC7" s="207"/>
      <c r="AD7" s="207">
        <f>+Z7</f>
        <v>-1.2815515655446006</v>
      </c>
      <c r="AE7" s="207"/>
      <c r="AG7" s="207"/>
      <c r="AH7" s="207">
        <f t="shared" ref="AH7" si="1">+AD7</f>
        <v>-1.2815515655446006</v>
      </c>
    </row>
    <row r="8" spans="1:39">
      <c r="A8" s="18">
        <v>70</v>
      </c>
      <c r="B8" s="26">
        <v>0.7</v>
      </c>
      <c r="C8" s="19">
        <v>0</v>
      </c>
      <c r="D8" s="19">
        <f t="shared" si="0"/>
        <v>0.52440051270804078</v>
      </c>
      <c r="I8" s="14" t="s">
        <v>7</v>
      </c>
      <c r="J8" s="14" t="s">
        <v>1</v>
      </c>
      <c r="K8" s="51" t="s">
        <v>2</v>
      </c>
      <c r="L8" s="51" t="s">
        <v>3</v>
      </c>
      <c r="M8" s="51" t="s">
        <v>4</v>
      </c>
      <c r="N8" s="14" t="s">
        <v>5</v>
      </c>
      <c r="O8" s="14" t="s">
        <v>6</v>
      </c>
      <c r="U8" s="18" t="s">
        <v>153</v>
      </c>
      <c r="V8" s="18" t="s">
        <v>152</v>
      </c>
      <c r="W8" s="207">
        <f>+D6</f>
        <v>1.2815515655446006</v>
      </c>
      <c r="Z8" s="207">
        <f>+W8</f>
        <v>1.2815515655446006</v>
      </c>
      <c r="AA8" s="207"/>
      <c r="AC8" s="207"/>
      <c r="AD8" s="207">
        <f>+Z8</f>
        <v>1.2815515655446006</v>
      </c>
      <c r="AE8" s="207"/>
      <c r="AG8" s="207"/>
      <c r="AH8" s="207">
        <f t="shared" ref="AH8" si="2">+AD8</f>
        <v>1.2815515655446006</v>
      </c>
    </row>
    <row r="9" spans="1:39">
      <c r="A9" s="18">
        <v>60</v>
      </c>
      <c r="B9" s="26">
        <v>0.6</v>
      </c>
      <c r="C9" s="19">
        <v>0</v>
      </c>
      <c r="D9" s="19">
        <f t="shared" si="0"/>
        <v>0.25334710313579978</v>
      </c>
      <c r="I9" s="6" t="s">
        <v>11</v>
      </c>
      <c r="J9" s="6"/>
      <c r="K9" s="462">
        <f>+Input_Data!D14</f>
        <v>0.62</v>
      </c>
      <c r="L9" s="462">
        <f>+Input_Data!E14</f>
        <v>0.6</v>
      </c>
      <c r="M9" s="462">
        <f>+Input_Data!F14</f>
        <v>0.57999999999999996</v>
      </c>
      <c r="N9" s="1" t="s">
        <v>16</v>
      </c>
      <c r="O9" s="6" t="s">
        <v>27</v>
      </c>
    </row>
    <row r="10" spans="1:39">
      <c r="A10" s="18">
        <v>50</v>
      </c>
      <c r="B10" s="26">
        <v>0.5</v>
      </c>
      <c r="C10" s="19">
        <v>0</v>
      </c>
      <c r="D10" s="19">
        <f t="shared" si="0"/>
        <v>0</v>
      </c>
      <c r="I10" s="6" t="s">
        <v>12</v>
      </c>
      <c r="J10" s="6"/>
      <c r="K10" s="462">
        <f>+Input_Data!D15</f>
        <v>0.06</v>
      </c>
      <c r="L10" s="462">
        <f>+Input_Data!E15</f>
        <v>5.5E-2</v>
      </c>
      <c r="M10" s="462">
        <f>+Input_Data!F15</f>
        <v>0.05</v>
      </c>
      <c r="N10" s="1" t="s">
        <v>16</v>
      </c>
      <c r="O10" s="6" t="s">
        <v>27</v>
      </c>
      <c r="T10" s="18" t="s">
        <v>61</v>
      </c>
      <c r="U10" s="18" t="s">
        <v>155</v>
      </c>
      <c r="V10" s="185" t="s">
        <v>147</v>
      </c>
      <c r="W10" s="193">
        <f>+((W6*W7)-(W5*W8))/(W7-W8)</f>
        <v>4.0937886977957554</v>
      </c>
      <c r="Z10" s="193">
        <f>+((Z6*Z7)-(Z5*Z8))/(Z7-Z8)</f>
        <v>1.7005986908310777</v>
      </c>
      <c r="AA10" s="193"/>
      <c r="AC10" s="193"/>
      <c r="AD10" s="193">
        <f t="shared" ref="AD10:AH10" si="3">+((AD6*AD7)-(AD5*AD8))/(AD7-AD8)</f>
        <v>3.8916120081680186</v>
      </c>
      <c r="AE10" s="193"/>
      <c r="AG10" s="193"/>
      <c r="AH10" s="193">
        <f t="shared" si="3"/>
        <v>3.8916120081680186</v>
      </c>
      <c r="AJ10" s="18" t="str">
        <f>+CONCATENATE("Min.: ",ROUND(AJ14,1))</f>
        <v>Min.: 500</v>
      </c>
    </row>
    <row r="11" spans="1:39">
      <c r="A11" s="18">
        <v>40</v>
      </c>
      <c r="B11" s="26">
        <v>0.4</v>
      </c>
      <c r="C11" s="19">
        <v>0</v>
      </c>
      <c r="D11" s="19">
        <f t="shared" si="0"/>
        <v>-0.25334710313579978</v>
      </c>
      <c r="I11" s="6" t="s">
        <v>146</v>
      </c>
      <c r="J11" s="6"/>
      <c r="K11" s="462">
        <f>+Input_Data!D17</f>
        <v>0.6</v>
      </c>
      <c r="L11" s="462">
        <f>+Input_Data!E17</f>
        <v>0.5</v>
      </c>
      <c r="M11" s="462">
        <f>+Input_Data!F17</f>
        <v>0.4</v>
      </c>
      <c r="N11" s="1" t="s">
        <v>16</v>
      </c>
      <c r="O11" s="6" t="s">
        <v>27</v>
      </c>
      <c r="U11" s="18" t="s">
        <v>155</v>
      </c>
      <c r="W11" s="193">
        <f>+(W5-((W7/W8)*W6))/(1-(W7/W8))</f>
        <v>4.0937886977957554</v>
      </c>
      <c r="Z11" s="193">
        <f>+(Z5-((Z7/Z8)*Z6))/(1-(Z7/Z8))</f>
        <v>1.7005986908310775</v>
      </c>
      <c r="AA11" s="193"/>
      <c r="AC11" s="193"/>
      <c r="AD11" s="193">
        <f t="shared" ref="AD11:AH11" si="4">+(AD5-((AD7/AD8)*AD6))/(1-(AD7/AD8))</f>
        <v>3.8916120081680186</v>
      </c>
      <c r="AE11" s="193"/>
      <c r="AG11" s="193"/>
      <c r="AH11" s="193">
        <f t="shared" si="4"/>
        <v>3.8916120081680186</v>
      </c>
      <c r="AJ11" s="18" t="str">
        <f>+CONCATENATE("Max.: ",ROUND(AK14,1))</f>
        <v>Max.: 10723</v>
      </c>
    </row>
    <row r="12" spans="1:39">
      <c r="A12" s="18">
        <v>30</v>
      </c>
      <c r="B12" s="26">
        <v>0.3</v>
      </c>
      <c r="C12" s="19">
        <v>0</v>
      </c>
      <c r="D12" s="19">
        <f t="shared" si="0"/>
        <v>-0.52440051270804089</v>
      </c>
      <c r="I12" s="6" t="s">
        <v>13</v>
      </c>
      <c r="J12" s="6"/>
      <c r="K12" s="462">
        <f>+Input_Data!D19</f>
        <v>0.4</v>
      </c>
      <c r="L12" s="462">
        <f>+Input_Data!E19</f>
        <v>0.5</v>
      </c>
      <c r="M12" s="462">
        <f>+Input_Data!F19</f>
        <v>0.6</v>
      </c>
      <c r="N12" s="1" t="s">
        <v>16</v>
      </c>
      <c r="O12" s="6" t="s">
        <v>27</v>
      </c>
      <c r="U12" s="18" t="s">
        <v>155</v>
      </c>
      <c r="V12" s="185" t="s">
        <v>154</v>
      </c>
      <c r="W12" s="194">
        <f>ABS(+((W5-W10)/W7))</f>
        <v>2.6019778014289969E-2</v>
      </c>
      <c r="Z12" s="194">
        <f>ABS(+((Z5-Z10)/Z7))</f>
        <v>7.1133133342346694E-2</v>
      </c>
      <c r="AA12" s="194"/>
      <c r="AC12" s="463" t="s">
        <v>314</v>
      </c>
      <c r="AD12" s="194">
        <f t="shared" ref="AD12:AH12" si="5">ABS(+((AD5-AD10)/AD7))</f>
        <v>0.15819305247224277</v>
      </c>
      <c r="AE12" s="194"/>
      <c r="AG12" s="463" t="s">
        <v>4</v>
      </c>
      <c r="AH12" s="194">
        <f t="shared" si="5"/>
        <v>0.15819305247224311</v>
      </c>
    </row>
    <row r="13" spans="1:39">
      <c r="A13" s="18">
        <v>20</v>
      </c>
      <c r="B13" s="26">
        <v>0.2</v>
      </c>
      <c r="C13" s="19">
        <v>0</v>
      </c>
      <c r="D13" s="19">
        <f t="shared" si="0"/>
        <v>-0.84162123357291452</v>
      </c>
      <c r="I13" s="6"/>
      <c r="J13" s="6"/>
      <c r="K13" s="55"/>
      <c r="L13" s="55"/>
      <c r="M13" s="55"/>
      <c r="N13" s="6"/>
      <c r="O13" s="6"/>
      <c r="AC13" s="464">
        <f>(1-L28)*100</f>
        <v>60</v>
      </c>
      <c r="AG13" s="464">
        <f>+L27*100</f>
        <v>60</v>
      </c>
      <c r="AJ13" s="18" t="s">
        <v>272</v>
      </c>
      <c r="AK13" s="18" t="s">
        <v>271</v>
      </c>
    </row>
    <row r="14" spans="1:39">
      <c r="A14" s="18">
        <v>10</v>
      </c>
      <c r="B14" s="26">
        <v>0.1</v>
      </c>
      <c r="C14" s="19">
        <v>0</v>
      </c>
      <c r="D14" s="19">
        <f t="shared" si="0"/>
        <v>-1.2815515655446006</v>
      </c>
      <c r="I14" s="13" t="s">
        <v>17</v>
      </c>
      <c r="J14" s="13"/>
      <c r="K14" s="56"/>
      <c r="L14" s="56"/>
      <c r="M14" s="56"/>
      <c r="N14" s="13"/>
      <c r="O14" s="13"/>
      <c r="T14" s="18" t="s">
        <v>61</v>
      </c>
      <c r="U14" s="18" t="s">
        <v>155</v>
      </c>
      <c r="V14" s="185" t="s">
        <v>147</v>
      </c>
      <c r="W14" s="199">
        <f>+EXP(W10+0.5*W12^2)</f>
        <v>59.98696041698468</v>
      </c>
      <c r="Z14" s="188">
        <f>+EXP(Z10)</f>
        <v>5.4772255750516612</v>
      </c>
      <c r="AA14" s="188"/>
      <c r="AC14" s="463" t="s">
        <v>313</v>
      </c>
      <c r="AD14" s="188">
        <f>+EXP(AD10)</f>
        <v>48.989794855663568</v>
      </c>
      <c r="AE14" s="188"/>
      <c r="AG14" s="463" t="s">
        <v>2</v>
      </c>
      <c r="AH14" s="188">
        <f>+EXP(AH10)</f>
        <v>48.989794855663568</v>
      </c>
      <c r="AJ14" s="235">
        <f>+AL21</f>
        <v>500</v>
      </c>
      <c r="AK14" s="235">
        <f>+AL23</f>
        <v>10723</v>
      </c>
      <c r="AL14" s="18">
        <v>0</v>
      </c>
      <c r="AM14" s="18">
        <v>0</v>
      </c>
    </row>
    <row r="15" spans="1:39">
      <c r="A15" s="18">
        <v>5</v>
      </c>
      <c r="B15" s="26">
        <v>0.05</v>
      </c>
      <c r="C15" s="19">
        <v>0</v>
      </c>
      <c r="D15" s="19">
        <f t="shared" si="0"/>
        <v>-1.6448536269514726</v>
      </c>
      <c r="I15" s="14" t="s">
        <v>7</v>
      </c>
      <c r="J15" s="14" t="s">
        <v>1</v>
      </c>
      <c r="K15" s="57" t="s">
        <v>2</v>
      </c>
      <c r="L15" s="57" t="s">
        <v>3</v>
      </c>
      <c r="M15" s="57" t="s">
        <v>4</v>
      </c>
      <c r="N15" s="14" t="s">
        <v>5</v>
      </c>
      <c r="O15" s="14" t="s">
        <v>6</v>
      </c>
      <c r="U15" s="18" t="s">
        <v>153</v>
      </c>
      <c r="V15" s="185" t="s">
        <v>154</v>
      </c>
      <c r="Z15" s="188"/>
      <c r="AA15" s="188"/>
      <c r="AC15" s="464">
        <f>(1-L27)*100</f>
        <v>40</v>
      </c>
      <c r="AD15" s="188"/>
      <c r="AE15" s="188"/>
      <c r="AG15" s="464">
        <f>+L28*100</f>
        <v>40</v>
      </c>
      <c r="AH15" s="188"/>
      <c r="AJ15" s="235">
        <f>+AJ14</f>
        <v>500</v>
      </c>
      <c r="AK15" s="235">
        <f>+AK14</f>
        <v>10723</v>
      </c>
      <c r="AL15" s="18">
        <v>0.5</v>
      </c>
      <c r="AM15" s="18">
        <v>0.5</v>
      </c>
    </row>
    <row r="16" spans="1:39">
      <c r="A16" s="18">
        <v>1</v>
      </c>
      <c r="B16" s="26">
        <v>0.01</v>
      </c>
      <c r="C16" s="19">
        <v>0</v>
      </c>
      <c r="D16" s="19">
        <f t="shared" si="0"/>
        <v>-2.3263478740408408</v>
      </c>
      <c r="I16" s="6" t="s">
        <v>18</v>
      </c>
      <c r="J16" s="6"/>
      <c r="K16" s="55">
        <f>+Input_Data!D24</f>
        <v>2.6887865304411501E-3</v>
      </c>
      <c r="L16" s="55">
        <f>+Input_Data!E24</f>
        <v>0</v>
      </c>
      <c r="M16" s="55">
        <f>+Input_Data!F24</f>
        <v>2.7983028996160938E-3</v>
      </c>
      <c r="N16" s="2" t="s">
        <v>20</v>
      </c>
      <c r="O16" s="6" t="s">
        <v>22</v>
      </c>
      <c r="U16" s="18" t="s">
        <v>155</v>
      </c>
      <c r="V16" s="185" t="s">
        <v>154</v>
      </c>
      <c r="W16" s="188">
        <f>+(W5-W14)/W7</f>
        <v>43.587653851604266</v>
      </c>
      <c r="Z16" s="188">
        <f>+(Z5-Z14)/Z7</f>
        <v>2.8757844825833851</v>
      </c>
      <c r="AA16" s="188"/>
      <c r="AC16" s="463" t="s">
        <v>311</v>
      </c>
      <c r="AD16" s="188">
        <f t="shared" ref="AD16:AH16" si="6">+(AD5-AD14)/AD7</f>
        <v>35.032106003758784</v>
      </c>
      <c r="AE16" s="188"/>
      <c r="AG16" s="463" t="s">
        <v>42</v>
      </c>
      <c r="AH16" s="188">
        <f t="shared" si="6"/>
        <v>35.348492108703269</v>
      </c>
      <c r="AK16" s="235">
        <f>+AK15</f>
        <v>10723</v>
      </c>
      <c r="AL16" s="18">
        <v>1</v>
      </c>
      <c r="AM16" s="18">
        <v>0</v>
      </c>
    </row>
    <row r="17" spans="1:39">
      <c r="D17" s="19"/>
      <c r="I17" s="6" t="s">
        <v>19</v>
      </c>
      <c r="J17" s="6"/>
      <c r="K17" s="55">
        <f>+Input_Data!D25</f>
        <v>371.914984205135</v>
      </c>
      <c r="L17" s="55">
        <f>+Input_Data!E25</f>
        <v>0</v>
      </c>
      <c r="M17" s="55">
        <f>+Input_Data!F25</f>
        <v>357.35945531028557</v>
      </c>
      <c r="N17" s="2" t="s">
        <v>21</v>
      </c>
      <c r="O17" s="6" t="s">
        <v>22</v>
      </c>
      <c r="AC17" s="464">
        <f>1-L34</f>
        <v>0.66100000000000003</v>
      </c>
      <c r="AG17" s="464">
        <f>+L36*100</f>
        <v>70.8</v>
      </c>
    </row>
    <row r="18" spans="1:39">
      <c r="I18" s="6"/>
      <c r="J18" s="6"/>
      <c r="K18" s="55"/>
      <c r="L18" s="55"/>
      <c r="M18" s="55"/>
      <c r="N18" s="6"/>
      <c r="O18" s="6"/>
      <c r="W18" s="199">
        <f>+EXP(D10*W12+W10)</f>
        <v>59.966657402259798</v>
      </c>
      <c r="Z18" s="199">
        <f>+EXP(D10*Z12+Z10)</f>
        <v>5.4772255750516612</v>
      </c>
      <c r="AA18" s="199"/>
      <c r="AC18" s="463" t="s">
        <v>312</v>
      </c>
      <c r="AD18" s="199">
        <f>+EXP(F10*AD12+AD10)</f>
        <v>48.989794855663568</v>
      </c>
      <c r="AE18" s="199"/>
      <c r="AG18" s="463" t="s">
        <v>2</v>
      </c>
      <c r="AH18" s="199">
        <f>+EXP(G10*AH12+AH10)</f>
        <v>48.989794855663568</v>
      </c>
    </row>
    <row r="19" spans="1:39" ht="17.399999999999999">
      <c r="E19" s="19"/>
      <c r="I19" s="13" t="s">
        <v>23</v>
      </c>
      <c r="J19" s="13"/>
      <c r="K19" s="56"/>
      <c r="L19" s="56"/>
      <c r="M19" s="56"/>
      <c r="N19" s="13"/>
      <c r="O19" s="13"/>
      <c r="V19" s="186"/>
      <c r="W19" s="201" t="str">
        <f>+CONCATENATE("Pmean: ",W21," %")</f>
        <v>Pmean: 59.97 %</v>
      </c>
      <c r="Z19" s="201" t="str">
        <f>+CONCATENATE("Pmean: ",Z21," %")</f>
        <v>Pmean: 5.48 %</v>
      </c>
      <c r="AA19" s="201"/>
      <c r="AC19" s="464">
        <f>1-L36</f>
        <v>0.29200000000000004</v>
      </c>
      <c r="AD19" s="201" t="str">
        <f t="shared" ref="AD19:AH19" si="7">+CONCATENATE("Pmean: ",AD21," %")</f>
        <v>Pmean: 48.99 %</v>
      </c>
      <c r="AE19" s="201"/>
      <c r="AG19" s="464">
        <f>+L34*100</f>
        <v>33.900000000000006</v>
      </c>
      <c r="AH19" s="201" t="str">
        <f t="shared" si="7"/>
        <v>Pmean: 48.99 %</v>
      </c>
      <c r="AJ19" s="201"/>
      <c r="AK19" s="201" t="str">
        <f>+CONCATENATE("Likeliest: ",AK21)</f>
        <v>Likeliest: 3852</v>
      </c>
    </row>
    <row r="20" spans="1:39">
      <c r="E20" s="19"/>
      <c r="I20" s="14" t="s">
        <v>7</v>
      </c>
      <c r="J20" s="14" t="s">
        <v>1</v>
      </c>
      <c r="K20" s="57" t="s">
        <v>2</v>
      </c>
      <c r="L20" s="57" t="s">
        <v>3</v>
      </c>
      <c r="M20" s="57" t="s">
        <v>4</v>
      </c>
      <c r="N20" s="14" t="s">
        <v>5</v>
      </c>
      <c r="O20" s="14" t="s">
        <v>6</v>
      </c>
      <c r="V20" s="200"/>
      <c r="W20" s="202" t="s">
        <v>41</v>
      </c>
      <c r="Z20" s="202" t="s">
        <v>160</v>
      </c>
      <c r="AA20" s="202"/>
      <c r="AC20" s="465"/>
      <c r="AD20" s="202" t="s">
        <v>161</v>
      </c>
      <c r="AE20" s="202"/>
      <c r="AG20" s="202"/>
      <c r="AH20" s="202" t="s">
        <v>162</v>
      </c>
    </row>
    <row r="21" spans="1:39">
      <c r="E21" s="19"/>
      <c r="I21" s="6" t="s">
        <v>24</v>
      </c>
      <c r="J21" s="6"/>
      <c r="K21" s="55">
        <f>+Input_Data!D30</f>
        <v>0.55000000000000004</v>
      </c>
      <c r="L21" s="55">
        <f>+Input_Data!E30</f>
        <v>0</v>
      </c>
      <c r="M21" s="55">
        <f>+Input_Data!F30</f>
        <v>0.45</v>
      </c>
      <c r="N21" s="6"/>
      <c r="O21" s="6"/>
      <c r="V21" s="18" t="s">
        <v>283</v>
      </c>
      <c r="W21" s="204">
        <f>+ROUND(W18,2)</f>
        <v>59.97</v>
      </c>
      <c r="Z21" s="204">
        <f>+ROUND(Z18,2)</f>
        <v>5.48</v>
      </c>
      <c r="AA21" s="204"/>
      <c r="AC21" s="466"/>
      <c r="AD21" s="204">
        <f>+ROUND(AD18,2)</f>
        <v>48.99</v>
      </c>
      <c r="AE21" s="204"/>
      <c r="AG21" s="223"/>
      <c r="AH21" s="204">
        <f>+ROUND(AH18,2)</f>
        <v>48.99</v>
      </c>
      <c r="AJ21" s="246">
        <f>+AL23</f>
        <v>10723</v>
      </c>
      <c r="AK21" s="235">
        <f>+AL22</f>
        <v>3852</v>
      </c>
      <c r="AL21" s="235">
        <f>+M5</f>
        <v>500</v>
      </c>
    </row>
    <row r="22" spans="1:39">
      <c r="E22" s="19"/>
      <c r="I22" s="6" t="s">
        <v>25</v>
      </c>
      <c r="J22" s="6"/>
      <c r="K22" s="55">
        <f>+Input_Data!D31</f>
        <v>0.98</v>
      </c>
      <c r="L22" s="55">
        <f>+Input_Data!E31</f>
        <v>0</v>
      </c>
      <c r="M22" s="55">
        <f>+Input_Data!F31</f>
        <v>0.97</v>
      </c>
      <c r="N22" s="6"/>
      <c r="O22" s="6"/>
      <c r="W22" s="205">
        <f>+W21</f>
        <v>59.97</v>
      </c>
      <c r="Z22" s="205">
        <f>+Z21</f>
        <v>5.48</v>
      </c>
      <c r="AA22" s="205"/>
      <c r="AC22" s="381"/>
      <c r="AD22" s="205">
        <f t="shared" ref="AD22:AH22" si="8">+AD21</f>
        <v>48.99</v>
      </c>
      <c r="AE22" s="205"/>
      <c r="AG22" s="224"/>
      <c r="AH22" s="205">
        <f t="shared" si="8"/>
        <v>48.99</v>
      </c>
      <c r="AJ22" s="247">
        <f>+AL21</f>
        <v>500</v>
      </c>
      <c r="AK22" s="235">
        <f>+AK21</f>
        <v>3852</v>
      </c>
      <c r="AL22" s="235">
        <f>+L5</f>
        <v>3852</v>
      </c>
    </row>
    <row r="23" spans="1:39">
      <c r="E23" s="19"/>
      <c r="V23" s="18">
        <f>+M34*100+V29</f>
        <v>68.7</v>
      </c>
      <c r="W23" s="202" t="s">
        <v>160</v>
      </c>
      <c r="Y23" s="18">
        <f>+K34*100+Y29</f>
        <v>7.5</v>
      </c>
      <c r="Z23" s="202" t="s">
        <v>161</v>
      </c>
      <c r="AA23" s="202"/>
      <c r="AC23" s="18"/>
      <c r="AD23" s="202" t="s">
        <v>162</v>
      </c>
      <c r="AE23" s="202"/>
      <c r="AG23" s="18"/>
      <c r="AH23" s="202" t="s">
        <v>163</v>
      </c>
      <c r="AJ23" s="248">
        <f>+AL23</f>
        <v>10723</v>
      </c>
      <c r="AL23" s="235">
        <f>+K5</f>
        <v>10723</v>
      </c>
    </row>
    <row r="24" spans="1:39">
      <c r="A24" s="33" t="s">
        <v>45</v>
      </c>
      <c r="D24" s="34" t="s">
        <v>46</v>
      </c>
      <c r="E24" s="27" t="s">
        <v>47</v>
      </c>
      <c r="F24" s="27" t="s">
        <v>48</v>
      </c>
      <c r="J24" s="19"/>
      <c r="K24" s="19"/>
      <c r="V24" s="196">
        <f>+V32</f>
        <v>51.399999999999991</v>
      </c>
      <c r="W24" s="201">
        <v>0</v>
      </c>
      <c r="Y24" s="196">
        <f>+Y32</f>
        <v>3.5999999999999996</v>
      </c>
      <c r="Z24" s="201">
        <v>0</v>
      </c>
      <c r="AA24" s="201"/>
      <c r="AC24" s="196"/>
      <c r="AD24" s="201">
        <v>0</v>
      </c>
      <c r="AE24" s="201"/>
      <c r="AG24" s="196"/>
      <c r="AH24" s="201">
        <v>0</v>
      </c>
      <c r="AJ24" s="196">
        <f>+AJ32</f>
        <v>500</v>
      </c>
    </row>
    <row r="25" spans="1:39">
      <c r="A25" s="35" t="s">
        <v>49</v>
      </c>
      <c r="B25" s="36">
        <v>0.99</v>
      </c>
      <c r="C25" s="19">
        <v>0</v>
      </c>
      <c r="D25" s="19">
        <f>+D5</f>
        <v>2.3263478740408408</v>
      </c>
      <c r="E25" s="37">
        <f>+Forecast_Variables_CB!I7</f>
        <v>208.10161281687897</v>
      </c>
      <c r="F25" s="37">
        <f>+Forecast_Variables_CB!K7</f>
        <v>100.83558145279493</v>
      </c>
      <c r="J25" s="21"/>
      <c r="K25" s="21"/>
      <c r="L25" s="21"/>
      <c r="M25" s="21" t="s">
        <v>29</v>
      </c>
      <c r="N25" s="21" t="s">
        <v>68</v>
      </c>
      <c r="O25" s="21"/>
      <c r="P25" s="225" t="s">
        <v>165</v>
      </c>
      <c r="Q25" s="225" t="s">
        <v>146</v>
      </c>
      <c r="V25" s="198">
        <f>+V23-V24</f>
        <v>17.300000000000011</v>
      </c>
      <c r="W25" s="203">
        <f>+MAX(W32:W76)+0.01</f>
        <v>0.26552100765355102</v>
      </c>
      <c r="Y25" s="198">
        <f>+Y23-Y24</f>
        <v>3.9000000000000004</v>
      </c>
      <c r="Z25" s="203">
        <f>+MAX(Z32:Z76)+0.01</f>
        <v>1.033540083713538</v>
      </c>
      <c r="AA25" s="203"/>
      <c r="AC25" s="198"/>
      <c r="AD25" s="203">
        <f>+MAX(AD32:AD76)+0.01</f>
        <v>6.2105437757792453E-2</v>
      </c>
      <c r="AE25" s="203"/>
      <c r="AG25" s="18"/>
      <c r="AH25" s="203">
        <f>+MAX(AH32:AH76)+0.01</f>
        <v>6.2119008976249841E-2</v>
      </c>
      <c r="AJ25" s="198">
        <f>+AJ23-AJ24</f>
        <v>10223</v>
      </c>
      <c r="AL25" s="18">
        <f>+(AL23-AL21)*(AL22-AL21)</f>
        <v>34267496</v>
      </c>
    </row>
    <row r="26" spans="1:39" ht="15" thickBot="1">
      <c r="A26" s="38" t="s">
        <v>4</v>
      </c>
      <c r="B26" s="36">
        <v>0.9</v>
      </c>
      <c r="C26" s="19">
        <v>0</v>
      </c>
      <c r="D26" s="19">
        <f t="shared" ref="D26:D34" si="9">+D6</f>
        <v>1.2815515655446006</v>
      </c>
      <c r="E26" s="37">
        <f>+Forecast_Variables_CB!I8</f>
        <v>456.90327695749721</v>
      </c>
      <c r="F26" s="37">
        <f>+Forecast_Variables_CB!K8</f>
        <v>221.43609104814865</v>
      </c>
      <c r="J26" s="25" t="s">
        <v>34</v>
      </c>
      <c r="K26" s="25" t="s">
        <v>12</v>
      </c>
      <c r="L26" s="25" t="s">
        <v>35</v>
      </c>
      <c r="M26" s="25" t="s">
        <v>36</v>
      </c>
      <c r="N26" s="25" t="s">
        <v>37</v>
      </c>
      <c r="O26" s="25" t="s">
        <v>69</v>
      </c>
      <c r="P26" s="25" t="s">
        <v>166</v>
      </c>
      <c r="Q26" s="25" t="s">
        <v>167</v>
      </c>
      <c r="V26" s="18">
        <f>+V25/45</f>
        <v>0.3844444444444447</v>
      </c>
      <c r="W26" s="201">
        <v>0</v>
      </c>
      <c r="Y26" s="18">
        <f>+Y25/45</f>
        <v>8.666666666666667E-2</v>
      </c>
      <c r="Z26" s="201">
        <v>0</v>
      </c>
      <c r="AA26" s="201"/>
      <c r="AC26" s="18"/>
      <c r="AD26" s="201">
        <v>0</v>
      </c>
      <c r="AE26" s="201"/>
      <c r="AG26" s="18"/>
      <c r="AH26" s="201">
        <v>0</v>
      </c>
      <c r="AK26" s="201">
        <v>0</v>
      </c>
      <c r="AL26" s="18">
        <f>+(AL23-AL21)*(AL23-AL22)</f>
        <v>70242233</v>
      </c>
    </row>
    <row r="27" spans="1:39">
      <c r="A27" s="39" t="s">
        <v>50</v>
      </c>
      <c r="B27" s="36">
        <v>0.8</v>
      </c>
      <c r="C27" s="19">
        <v>0</v>
      </c>
      <c r="D27" s="19">
        <f t="shared" si="9"/>
        <v>0.84162123357291474</v>
      </c>
      <c r="E27" s="37">
        <f>+Forecast_Variables_CB!I9</f>
        <v>610.89272620305883</v>
      </c>
      <c r="F27" s="37">
        <f>+Forecast_Variables_CB!K9</f>
        <v>296.34697767107394</v>
      </c>
      <c r="H27" s="27" t="s">
        <v>4</v>
      </c>
      <c r="I27" s="19">
        <f>NORMSINV(B6)</f>
        <v>1.2815515655446006</v>
      </c>
      <c r="J27" s="180">
        <f>+ROUND(M5,1)</f>
        <v>500</v>
      </c>
      <c r="K27" s="206">
        <f>+ROUND(M10,3)</f>
        <v>0.05</v>
      </c>
      <c r="L27" s="176">
        <f>+ROUND(M12,3)</f>
        <v>0.6</v>
      </c>
      <c r="M27" s="206">
        <f>+ROUND(M9,3)</f>
        <v>0.57999999999999996</v>
      </c>
      <c r="N27" s="59">
        <f>+ROUND(M21,3)</f>
        <v>0.45</v>
      </c>
      <c r="O27" s="172">
        <f>+ROUND(M16,6)</f>
        <v>2.7980000000000001E-3</v>
      </c>
      <c r="P27" s="28">
        <f>ROUND(1/O27,2)</f>
        <v>357.4</v>
      </c>
      <c r="Q27" s="28">
        <f>+M11*100</f>
        <v>40</v>
      </c>
      <c r="V27" s="18">
        <f>+(V23-V24)/45</f>
        <v>0.3844444444444447</v>
      </c>
      <c r="W27" s="203">
        <f>+MAX(X32:X76)</f>
        <v>0.99999999843241771</v>
      </c>
      <c r="Y27" s="18">
        <f>+(Y23-Y24)/45</f>
        <v>8.666666666666667E-2</v>
      </c>
      <c r="Z27" s="203">
        <f>+MAX(AA32:AA76)</f>
        <v>0.99999999817929286</v>
      </c>
      <c r="AA27" s="203"/>
      <c r="AC27" s="18"/>
      <c r="AD27" s="203">
        <f>+MAX(AE32:AE76)</f>
        <v>0.99850743348119286</v>
      </c>
      <c r="AE27" s="203"/>
      <c r="AG27" s="18"/>
      <c r="AH27" s="203">
        <f>+MAX(AI32:AI76)</f>
        <v>0.99931990732116627</v>
      </c>
      <c r="AJ27" s="18">
        <f>+(AJ23-AJ24)/44</f>
        <v>232.34090909090909</v>
      </c>
      <c r="AK27" s="203">
        <f>+MAX(AL32:AL76)</f>
        <v>1</v>
      </c>
    </row>
    <row r="28" spans="1:39">
      <c r="A28" s="38" t="s">
        <v>51</v>
      </c>
      <c r="B28" s="36">
        <v>0.7</v>
      </c>
      <c r="C28" s="19">
        <v>0</v>
      </c>
      <c r="D28" s="19">
        <f t="shared" si="9"/>
        <v>0.52440051270804078</v>
      </c>
      <c r="E28" s="37">
        <f>+Forecast_Variables_CB!I10</f>
        <v>736.15556535041458</v>
      </c>
      <c r="F28" s="37">
        <f>+Forecast_Variables_CB!K10</f>
        <v>356.97149357575012</v>
      </c>
      <c r="H28" s="27" t="s">
        <v>2</v>
      </c>
      <c r="I28" s="19">
        <f>NORMSINV(B14)</f>
        <v>-1.2815515655446006</v>
      </c>
      <c r="J28" s="177">
        <f>+ROUND(K5,1)</f>
        <v>10723</v>
      </c>
      <c r="K28" s="242">
        <f>ROUND(K10,3)</f>
        <v>0.06</v>
      </c>
      <c r="L28" s="178">
        <f>+ROUND(K12,3)</f>
        <v>0.4</v>
      </c>
      <c r="M28" s="29">
        <f>+ROUND(K9,3)</f>
        <v>0.62</v>
      </c>
      <c r="N28" s="58">
        <f>+ROUND(K21,3)</f>
        <v>0.55000000000000004</v>
      </c>
      <c r="O28" s="173">
        <f>ROUND(K16,6)</f>
        <v>2.689E-3</v>
      </c>
      <c r="P28" s="30">
        <f>ROUND(1/O28,2)</f>
        <v>371.89</v>
      </c>
      <c r="Q28" s="30">
        <f>+K11*100</f>
        <v>60</v>
      </c>
      <c r="U28" s="18" t="s">
        <v>61</v>
      </c>
      <c r="W28" s="192">
        <f>+W10</f>
        <v>4.0937886977957554</v>
      </c>
      <c r="Z28" s="192">
        <f>+Z10</f>
        <v>1.7005986908310777</v>
      </c>
      <c r="AA28" s="192"/>
      <c r="AB28" s="467" t="s">
        <v>271</v>
      </c>
      <c r="AC28" s="468">
        <v>30.627397667737249</v>
      </c>
      <c r="AD28" s="469">
        <f>+_xlfn.LOGNORM.DIST(AC28,$AD$11,$AD$12,FALSE)</f>
        <v>1.0025977806289693E-3</v>
      </c>
      <c r="AE28" s="192">
        <f>+AD28*100</f>
        <v>0.10025977806289693</v>
      </c>
      <c r="AG28" s="467" t="s">
        <v>271</v>
      </c>
      <c r="AH28" s="468">
        <v>29.51576526198722</v>
      </c>
      <c r="AI28" s="469">
        <f>+_xlfn.LOGNORM.DIST(AH28,$AH$11,$AH$12,FALSE)</f>
        <v>5.0576940196752783E-4</v>
      </c>
    </row>
    <row r="29" spans="1:39">
      <c r="A29" s="39" t="s">
        <v>52</v>
      </c>
      <c r="B29" s="36">
        <v>0.6</v>
      </c>
      <c r="C29" s="19">
        <v>0</v>
      </c>
      <c r="D29" s="19">
        <f t="shared" si="9"/>
        <v>0.25334710313579978</v>
      </c>
      <c r="E29" s="37">
        <f>+Forecast_Variables_CB!I11</f>
        <v>853.53184341562167</v>
      </c>
      <c r="F29" s="37">
        <f>+Forecast_Variables_CB!K11</f>
        <v>414.52933968568658</v>
      </c>
      <c r="J29" s="19"/>
      <c r="K29" s="19"/>
      <c r="U29" s="18" t="s">
        <v>158</v>
      </c>
      <c r="V29" s="18">
        <v>5</v>
      </c>
      <c r="W29" s="197">
        <f>+W12</f>
        <v>2.6019778014289969E-2</v>
      </c>
      <c r="Y29" s="19">
        <v>1</v>
      </c>
      <c r="Z29" s="197">
        <f>+Z12</f>
        <v>7.1133133342346694E-2</v>
      </c>
      <c r="AA29" s="197"/>
      <c r="AB29" s="467" t="s">
        <v>272</v>
      </c>
      <c r="AC29" s="468">
        <v>74.544065286922901</v>
      </c>
      <c r="AD29" s="469">
        <f>+_xlfn.LOGNORM.DIST(AC29,$AD$11,$AD$12,FALSE)</f>
        <v>1.000613805869059E-3</v>
      </c>
      <c r="AE29" s="197">
        <f>+AD29*100</f>
        <v>0.1000613805869059</v>
      </c>
      <c r="AG29" s="467" t="s">
        <v>272</v>
      </c>
      <c r="AH29" s="468">
        <v>75.792005565336893</v>
      </c>
      <c r="AI29" s="469">
        <f>+_xlfn.LOGNORM.DIST(AH29,$AH$11,$AH$12,FALSE)</f>
        <v>7.4082558248178586E-4</v>
      </c>
    </row>
    <row r="30" spans="1:39">
      <c r="A30" s="38" t="s">
        <v>3</v>
      </c>
      <c r="B30" s="36">
        <v>0.5</v>
      </c>
      <c r="C30" s="19">
        <v>0</v>
      </c>
      <c r="D30" s="19">
        <f t="shared" si="9"/>
        <v>0</v>
      </c>
      <c r="E30" s="37">
        <f>+Forecast_Variables_CB!I12</f>
        <v>975.1325595477141</v>
      </c>
      <c r="F30" s="37">
        <f>+Forecast_Variables_CB!K12</f>
        <v>474.63636146386949</v>
      </c>
      <c r="V30" s="189" t="s">
        <v>156</v>
      </c>
      <c r="W30" s="189"/>
      <c r="X30" s="188"/>
      <c r="Y30" s="188">
        <v>0.5</v>
      </c>
      <c r="Z30" s="188"/>
      <c r="AA30" s="188"/>
      <c r="AC30" s="188">
        <f>+(AC28-AC29)/43</f>
        <v>-1.0213178516089687</v>
      </c>
      <c r="AD30" s="188"/>
      <c r="AE30" s="188"/>
      <c r="AG30" s="188"/>
      <c r="AJ30" s="18" t="s">
        <v>10</v>
      </c>
    </row>
    <row r="31" spans="1:39">
      <c r="A31" s="39" t="s">
        <v>53</v>
      </c>
      <c r="B31" s="36">
        <v>0.4</v>
      </c>
      <c r="C31" s="19">
        <v>0</v>
      </c>
      <c r="D31" s="19">
        <f t="shared" si="9"/>
        <v>-0.25334710313579978</v>
      </c>
      <c r="E31" s="37">
        <f>+Forecast_Variables_CB!I13</f>
        <v>1112.9130339563135</v>
      </c>
      <c r="F31" s="37">
        <f>+Forecast_Variables_CB!K13</f>
        <v>541.21924113997591</v>
      </c>
      <c r="I31" s="27" t="s">
        <v>39</v>
      </c>
      <c r="J31" s="19">
        <f t="shared" ref="J31:O31" si="10">INDEX(LINEST($I$27:$I$28,J27:J28),1)</f>
        <v>-2.5071927331401752E-4</v>
      </c>
      <c r="K31" s="19">
        <f t="shared" si="10"/>
        <v>-256.31031310892024</v>
      </c>
      <c r="L31" s="19">
        <f t="shared" si="10"/>
        <v>12.815515655446005</v>
      </c>
      <c r="M31" s="19">
        <f t="shared" si="10"/>
        <v>-64.077578277229946</v>
      </c>
      <c r="N31" s="19">
        <f t="shared" si="10"/>
        <v>-25.631031310892006</v>
      </c>
      <c r="O31" s="19">
        <f t="shared" si="10"/>
        <v>23514.707624671537</v>
      </c>
      <c r="V31" s="209" t="s">
        <v>148</v>
      </c>
      <c r="W31" s="210" t="s">
        <v>157</v>
      </c>
      <c r="X31" s="211" t="s">
        <v>164</v>
      </c>
      <c r="Y31" s="214" t="s">
        <v>148</v>
      </c>
      <c r="Z31" s="215" t="s">
        <v>157</v>
      </c>
      <c r="AA31" s="216" t="s">
        <v>164</v>
      </c>
      <c r="AC31" s="190" t="s">
        <v>148</v>
      </c>
      <c r="AD31" s="191" t="s">
        <v>157</v>
      </c>
      <c r="AE31" s="208" t="s">
        <v>164</v>
      </c>
      <c r="AG31" s="218"/>
      <c r="AH31" s="219" t="s">
        <v>157</v>
      </c>
      <c r="AI31" s="220" t="s">
        <v>164</v>
      </c>
      <c r="AJ31" s="209" t="s">
        <v>148</v>
      </c>
      <c r="AK31" s="210" t="s">
        <v>157</v>
      </c>
      <c r="AL31" s="211" t="s">
        <v>164</v>
      </c>
    </row>
    <row r="32" spans="1:39">
      <c r="A32" s="38" t="s">
        <v>54</v>
      </c>
      <c r="B32" s="36">
        <v>0.3</v>
      </c>
      <c r="C32" s="19">
        <v>0</v>
      </c>
      <c r="D32" s="19">
        <f t="shared" si="9"/>
        <v>-0.52440051270804089</v>
      </c>
      <c r="E32" s="37">
        <f>+Forecast_Variables_CB!I14</f>
        <v>1271.1669883266209</v>
      </c>
      <c r="F32" s="37">
        <f>+Forecast_Variables_CB!K14</f>
        <v>619.46851058165589</v>
      </c>
      <c r="I32" s="27" t="s">
        <v>40</v>
      </c>
      <c r="J32" s="19">
        <f t="shared" ref="J32:O32" si="11">INDEX(LINEST($I$27:$I$28,J27:J28),2)</f>
        <v>1.4069112022016093</v>
      </c>
      <c r="K32" s="19">
        <f t="shared" si="11"/>
        <v>14.097067220990613</v>
      </c>
      <c r="L32" s="19">
        <f t="shared" si="11"/>
        <v>-6.4077578277230023</v>
      </c>
      <c r="M32" s="19">
        <f t="shared" si="11"/>
        <v>38.446546966337969</v>
      </c>
      <c r="N32" s="19">
        <f t="shared" si="11"/>
        <v>12.815515655446003</v>
      </c>
      <c r="O32" s="19">
        <f t="shared" si="11"/>
        <v>-64.512600368286371</v>
      </c>
      <c r="V32" s="212">
        <f>+IF(M36*100&lt;10,0.1,(M36*100)-V29)</f>
        <v>51.399999999999991</v>
      </c>
      <c r="W32" s="213">
        <f>+_xlfn.LOGNORM.DIST(V32,$W$28,$W$29,FALSE)</f>
        <v>7.1318331049580614E-9</v>
      </c>
      <c r="X32" s="213">
        <f>1-_xlfn.LOGNORM.DIST(V32,$W$28,$W$29,TRUE)</f>
        <v>0.99999999843241771</v>
      </c>
      <c r="Y32" s="222">
        <f>+IF(K36*100&lt;3,0.1,(K36*100)-$Y$29)</f>
        <v>3.5999999999999996</v>
      </c>
      <c r="Z32" s="217">
        <f>+_xlfn.LOGNORM.DIST(Y32,$Z$28,$Z$29,FALSE)</f>
        <v>4.3090713649785645E-8</v>
      </c>
      <c r="AA32" s="217">
        <f>1-_xlfn.LOGNORM.DIST(Y32,$Z$28,$Z$29,TRUE)</f>
        <v>0.99999999817929286</v>
      </c>
      <c r="AC32" s="188">
        <f>+AC28</f>
        <v>30.627397667737249</v>
      </c>
      <c r="AD32" s="195">
        <f>+_xlfn.LOGNORM.DIST(AC32,$AD$11,$AD$12,FALSE)</f>
        <v>1.0025977806289693E-3</v>
      </c>
      <c r="AE32" s="195">
        <f>1-_xlfn.LOGNORM.DIST(AC32,$AD$11,$AD$12,TRUE)</f>
        <v>0.99850743348119286</v>
      </c>
      <c r="AG32" s="390">
        <f>+AH28</f>
        <v>29.51576526198722</v>
      </c>
      <c r="AH32" s="221">
        <f>+_xlfn.LOGNORM.DIST(AG32,$AH$10,$AH$12,FALSE)</f>
        <v>5.0576940196752783E-4</v>
      </c>
      <c r="AI32" s="221">
        <f>1-_xlfn.LOGNORM.DIST(AG32,$AH$10,$AH$12,TRUE)</f>
        <v>0.99931990732116627</v>
      </c>
      <c r="AJ32" s="250">
        <f>+AL21</f>
        <v>500</v>
      </c>
      <c r="AK32" s="249"/>
      <c r="AL32" s="249">
        <f>IF(AJ32&lt;$AL$22,((AJ32-$AL$21)^2)/$AL$25,1-(($AL$23-AJ32)^2)/$AL$26)</f>
        <v>0</v>
      </c>
      <c r="AM32" s="18">
        <f>1-AL32</f>
        <v>1</v>
      </c>
    </row>
    <row r="33" spans="1:39">
      <c r="A33" s="39" t="s">
        <v>55</v>
      </c>
      <c r="B33" s="36">
        <v>0.2</v>
      </c>
      <c r="C33" s="19">
        <v>0</v>
      </c>
      <c r="D33" s="19">
        <f t="shared" si="9"/>
        <v>-0.84162123357291452</v>
      </c>
      <c r="E33" s="37">
        <f>+Forecast_Variables_CB!I15</f>
        <v>1466.6802151003769</v>
      </c>
      <c r="F33" s="37">
        <f>+Forecast_Variables_CB!K15</f>
        <v>715.86079711387151</v>
      </c>
      <c r="J33" s="19"/>
      <c r="K33" s="19"/>
      <c r="V33" s="212">
        <f>+IF((V32+$V$27)&gt;($M$34*100+10),,V32+$V$27)</f>
        <v>51.784444444444439</v>
      </c>
      <c r="W33" s="213">
        <f t="shared" ref="W33:W53" si="12">+_xlfn.LOGNORM.DIST(V33,$W$28,$W$29,FALSE)</f>
        <v>3.7067737820228547E-8</v>
      </c>
      <c r="X33" s="213">
        <f t="shared" ref="X33:X76" si="13">1-_xlfn.LOGNORM.DIST(V33,$W$28,$W$29,TRUE)</f>
        <v>0.99999999139699502</v>
      </c>
      <c r="Y33" s="222">
        <f>+Y32+$Y$27</f>
        <v>3.6866666666666665</v>
      </c>
      <c r="Z33" s="217">
        <f t="shared" ref="Z33:Z76" si="14">+_xlfn.LOGNORM.DIST(Y33,$Z$28,$Z$29,FALSE)</f>
        <v>2.8618025851658376E-7</v>
      </c>
      <c r="AA33" s="217">
        <f t="shared" ref="AA33:AA76" si="15">1-_xlfn.LOGNORM.DIST(Y33,$Z$28,$Z$29,TRUE)</f>
        <v>0.99999998691359882</v>
      </c>
      <c r="AC33" s="188">
        <f>+AC32-$AC$30</f>
        <v>31.648715519346219</v>
      </c>
      <c r="AD33" s="195">
        <f>+_xlfn.LOGNORM.DIST(AC33,$AD$11,$AD$12,FALSE)</f>
        <v>1.7576789121129162E-3</v>
      </c>
      <c r="AE33" s="195">
        <f t="shared" ref="AE33:AE76" si="16">1-_xlfn.LOGNORM.DIST(AC33,$AD$11,$AD$12,TRUE)</f>
        <v>0.99712675474233181</v>
      </c>
      <c r="AG33" s="390">
        <f>+AG32-$AC$30</f>
        <v>30.537083113596189</v>
      </c>
      <c r="AH33" s="221">
        <f t="shared" ref="AH33:AH76" si="17">+_xlfn.LOGNORM.DIST(AG33,$AH$10,$AH$12,FALSE)</f>
        <v>9.51174869076341E-4</v>
      </c>
      <c r="AI33" s="221">
        <f t="shared" ref="AI33:AI76" si="18">1-_xlfn.LOGNORM.DIST(AG33,$AH$10,$AH$12,TRUE)</f>
        <v>0.99859564386223532</v>
      </c>
      <c r="AJ33" s="250">
        <f>+AJ32+$AJ$27</f>
        <v>732.34090909090912</v>
      </c>
      <c r="AK33" s="249"/>
      <c r="AL33" s="249">
        <f t="shared" ref="AL33:AL76" si="19">IF(AJ33&lt;$AL$22,((AJ33-$AL$21)^2)/$AL$25,1-(($AL$23-AJ33)^2)/$AL$26)</f>
        <v>1.5753207656955762E-3</v>
      </c>
      <c r="AM33" s="18">
        <f t="shared" ref="AM33:AM76" si="20">1-AL33</f>
        <v>0.99842467923430445</v>
      </c>
    </row>
    <row r="34" spans="1:39">
      <c r="A34" s="38" t="s">
        <v>2</v>
      </c>
      <c r="B34" s="36">
        <v>0.1</v>
      </c>
      <c r="C34" s="19">
        <v>0</v>
      </c>
      <c r="D34" s="19">
        <f t="shared" si="9"/>
        <v>-1.2815515655446006</v>
      </c>
      <c r="E34" s="37">
        <f>+Forecast_Variables_CB!I16</f>
        <v>1755.7480901170663</v>
      </c>
      <c r="F34" s="37">
        <f>+Forecast_Variables_CB!K16</f>
        <v>857.38513984826875</v>
      </c>
      <c r="H34" s="21" t="s">
        <v>41</v>
      </c>
      <c r="I34" s="19">
        <f>+D16</f>
        <v>-2.3263478740408408</v>
      </c>
      <c r="J34" s="182">
        <f>+ROUND(EXP(($I$34-J39)/J38),1)</f>
        <v>37412.1</v>
      </c>
      <c r="K34" s="31">
        <f>+ROUND(EXP(($I$34-K39)/K38),3)</f>
        <v>6.5000000000000002E-2</v>
      </c>
      <c r="L34" s="31">
        <f>+ROUND(EXP(($I$34-L39)/L38),3)</f>
        <v>0.33900000000000002</v>
      </c>
      <c r="M34" s="31">
        <f>+ROUND(EXP(($I$34-M39)/M38),3)</f>
        <v>0.63700000000000001</v>
      </c>
      <c r="N34" s="31">
        <f>+ROUND(EXP(($I$34-N39)/N38),3)</f>
        <v>0.59699999999999998</v>
      </c>
      <c r="O34" s="31">
        <f>+ROUND(EXP(($I$34-O39)/O38),6)</f>
        <v>2.6459999999999999E-3</v>
      </c>
      <c r="P34" s="31">
        <f>+ROUND(EXP(($I$34-P39)/P38),7)</f>
        <v>377.96376400000003</v>
      </c>
      <c r="Q34" s="31">
        <f>+ROUND(EXP(($I$34-Q39)/Q38),1)</f>
        <v>70.8</v>
      </c>
      <c r="V34" s="212">
        <f t="shared" ref="V34:V76" si="21">+IF((V33+$V$27)&gt;($M$34*100+10),,V33+$V$27)</f>
        <v>52.168888888888887</v>
      </c>
      <c r="W34" s="213">
        <f t="shared" si="12"/>
        <v>1.7549790817205781E-7</v>
      </c>
      <c r="X34" s="213">
        <f t="shared" si="13"/>
        <v>0.99999995691584143</v>
      </c>
      <c r="Y34" s="222">
        <f t="shared" ref="Y34:Y76" si="22">+Y33+$Y$27</f>
        <v>3.7733333333333334</v>
      </c>
      <c r="Z34" s="217">
        <f t="shared" si="14"/>
        <v>1.632662733172964E-6</v>
      </c>
      <c r="AA34" s="217">
        <f t="shared" si="15"/>
        <v>0.99999991911189967</v>
      </c>
      <c r="AC34" s="188">
        <f t="shared" ref="AC34:AC76" si="23">+AC33-$AC$30</f>
        <v>32.670033370955188</v>
      </c>
      <c r="AD34" s="195">
        <f t="shared" ref="AD34:AD76" si="24">+_xlfn.LOGNORM.DIST(AC34,$AD$11,$AD$12,FALSE)</f>
        <v>2.9054591510592909E-3</v>
      </c>
      <c r="AE34" s="195">
        <f t="shared" si="16"/>
        <v>0.99478345946667024</v>
      </c>
      <c r="AG34" s="390">
        <f t="shared" ref="AG34:AG76" si="25">+AG33-$AC$30</f>
        <v>31.558400965205159</v>
      </c>
      <c r="AH34" s="221">
        <f t="shared" si="17"/>
        <v>1.6766457867260728E-3</v>
      </c>
      <c r="AI34" s="221">
        <f t="shared" si="18"/>
        <v>0.99728181666953564</v>
      </c>
      <c r="AJ34" s="250">
        <f t="shared" ref="AJ34:AJ76" si="26">+AJ33+$AJ$27</f>
        <v>964.68181818181824</v>
      </c>
      <c r="AK34" s="249"/>
      <c r="AL34" s="249">
        <f t="shared" si="19"/>
        <v>6.3012830627823049E-3</v>
      </c>
      <c r="AM34" s="18">
        <f t="shared" si="20"/>
        <v>0.99369871693721767</v>
      </c>
    </row>
    <row r="35" spans="1:39">
      <c r="A35" s="40" t="s">
        <v>56</v>
      </c>
      <c r="B35" s="36">
        <v>0.01</v>
      </c>
      <c r="C35" s="19">
        <v>0</v>
      </c>
      <c r="D35" s="19">
        <f>+D16</f>
        <v>-2.3263478740408408</v>
      </c>
      <c r="E35" s="37">
        <f>+Forecast_Variables_CB!I17</f>
        <v>2520.4362508798654</v>
      </c>
      <c r="F35" s="37">
        <f>+Forecast_Variables_CB!K17</f>
        <v>1239.447873293444</v>
      </c>
      <c r="H35" s="21" t="s">
        <v>3</v>
      </c>
      <c r="I35" s="19">
        <f>+D10</f>
        <v>0</v>
      </c>
      <c r="J35" s="181">
        <f>+ROUND(EXP(($I$35-J39)/J38),1)</f>
        <v>2315.5</v>
      </c>
      <c r="K35" s="54">
        <f>+ROUND(EXP(($I$35-K39)/K38),3)</f>
        <v>5.5E-2</v>
      </c>
      <c r="L35" s="54">
        <f>+ROUND(EXP(($I$35-L39)/L38),3)</f>
        <v>0.49</v>
      </c>
      <c r="M35" s="54">
        <f>+ROUND(EXP(($I$35-M39)/M38),3)</f>
        <v>0.6</v>
      </c>
      <c r="N35" s="54">
        <f>+ROUND(EXP(($I$35-N39)/N38),3)</f>
        <v>0.497</v>
      </c>
      <c r="O35" s="54">
        <f>+ROUND(EXP(($I$35-O39)/O38),6)</f>
        <v>2.7430000000000002E-3</v>
      </c>
      <c r="P35" s="54">
        <f>+ROUND(EXP(($I$35-P39)/P38),1)</f>
        <v>364.6</v>
      </c>
      <c r="Q35" s="54">
        <f>+ROUND(EXP(($I$35-Q39)/Q38),1)</f>
        <v>49</v>
      </c>
      <c r="V35" s="212">
        <f t="shared" si="21"/>
        <v>52.553333333333335</v>
      </c>
      <c r="W35" s="213">
        <f t="shared" si="12"/>
        <v>7.583705160267655E-7</v>
      </c>
      <c r="X35" s="213">
        <f t="shared" si="13"/>
        <v>0.9999998026884096</v>
      </c>
      <c r="Y35" s="222">
        <f t="shared" si="22"/>
        <v>3.8600000000000003</v>
      </c>
      <c r="Z35" s="217">
        <f t="shared" si="14"/>
        <v>8.0761560265458875E-6</v>
      </c>
      <c r="AA35" s="217">
        <f t="shared" si="15"/>
        <v>0.99999956592463846</v>
      </c>
      <c r="AC35" s="188">
        <f t="shared" si="23"/>
        <v>33.691351222564158</v>
      </c>
      <c r="AD35" s="195">
        <f t="shared" si="24"/>
        <v>4.5505545220768419E-3</v>
      </c>
      <c r="AE35" s="195">
        <f t="shared" si="16"/>
        <v>0.9910224838791255</v>
      </c>
      <c r="AG35" s="390">
        <f t="shared" si="25"/>
        <v>32.579718816814129</v>
      </c>
      <c r="AH35" s="221">
        <f t="shared" si="17"/>
        <v>2.7853914353291281E-3</v>
      </c>
      <c r="AI35" s="221">
        <f t="shared" si="18"/>
        <v>0.99504041370592422</v>
      </c>
      <c r="AJ35" s="250">
        <f t="shared" si="26"/>
        <v>1197.0227272727273</v>
      </c>
      <c r="AK35" s="249"/>
      <c r="AL35" s="249">
        <f t="shared" si="19"/>
        <v>1.4177886891260183E-2</v>
      </c>
      <c r="AM35" s="18">
        <f t="shared" si="20"/>
        <v>0.98582211310873979</v>
      </c>
    </row>
    <row r="36" spans="1:39">
      <c r="E36" s="37"/>
      <c r="F36" s="37"/>
      <c r="H36" s="21" t="s">
        <v>42</v>
      </c>
      <c r="I36" s="19">
        <f>+D5</f>
        <v>2.3263478740408408</v>
      </c>
      <c r="J36" s="183">
        <f>+ROUND(EXP(($I$36-J39)/J38),1)</f>
        <v>143.30000000000001</v>
      </c>
      <c r="K36" s="32">
        <f>+ROUND(EXP(($I$36-K39)/K38),3)</f>
        <v>4.5999999999999999E-2</v>
      </c>
      <c r="L36" s="32">
        <f>+ROUND(EXP(($I$36-L39)/L38),3)</f>
        <v>0.70799999999999996</v>
      </c>
      <c r="M36" s="32">
        <f>+ROUND(EXP(($I$36-M39)/M38),3)</f>
        <v>0.56399999999999995</v>
      </c>
      <c r="N36" s="32">
        <f>+ROUND(EXP(($I$36-N39)/N38),3)</f>
        <v>0.41499999999999998</v>
      </c>
      <c r="O36" s="32">
        <f>+ROUND(EXP(($I$36-O39)/O38),6)</f>
        <v>2.8440000000000002E-3</v>
      </c>
      <c r="P36" s="32">
        <f>+ROUND(EXP(($I$36-P39)/P38),7)</f>
        <v>351.65668950000003</v>
      </c>
      <c r="Q36" s="32">
        <f>+ROUND(EXP(($I$36-Q39)/Q38),1)</f>
        <v>33.9</v>
      </c>
      <c r="V36" s="212">
        <f t="shared" si="21"/>
        <v>52.937777777777782</v>
      </c>
      <c r="W36" s="213">
        <f t="shared" si="12"/>
        <v>2.9967800287417991E-6</v>
      </c>
      <c r="X36" s="213">
        <f t="shared" si="13"/>
        <v>0.99999917194196086</v>
      </c>
      <c r="Y36" s="222">
        <f t="shared" si="22"/>
        <v>3.9466666666666672</v>
      </c>
      <c r="Z36" s="217">
        <f t="shared" si="14"/>
        <v>3.4938063131479804E-5</v>
      </c>
      <c r="AA36" s="217">
        <f t="shared" si="15"/>
        <v>0.99999795974604655</v>
      </c>
      <c r="AC36" s="188">
        <f t="shared" si="23"/>
        <v>34.712669074173128</v>
      </c>
      <c r="AD36" s="195">
        <f t="shared" si="24"/>
        <v>6.7823325496668991E-3</v>
      </c>
      <c r="AE36" s="195">
        <f t="shared" si="16"/>
        <v>0.98528822966072438</v>
      </c>
      <c r="AG36" s="390">
        <f t="shared" si="25"/>
        <v>33.601036668423099</v>
      </c>
      <c r="AH36" s="221">
        <f t="shared" si="17"/>
        <v>4.3825620351989909E-3</v>
      </c>
      <c r="AI36" s="221">
        <f t="shared" si="18"/>
        <v>0.99142584461184058</v>
      </c>
      <c r="AJ36" s="250">
        <f t="shared" si="26"/>
        <v>1429.3636363636363</v>
      </c>
      <c r="AK36" s="249"/>
      <c r="AL36" s="249">
        <f t="shared" si="19"/>
        <v>2.5205132251129209E-2</v>
      </c>
      <c r="AM36" s="18">
        <f t="shared" si="20"/>
        <v>0.97479486774887081</v>
      </c>
    </row>
    <row r="37" spans="1:39">
      <c r="A37" s="34"/>
      <c r="B37" s="41" t="s">
        <v>57</v>
      </c>
      <c r="C37" s="41" t="s">
        <v>30</v>
      </c>
      <c r="V37" s="212">
        <f t="shared" si="21"/>
        <v>53.32222222222223</v>
      </c>
      <c r="W37" s="213">
        <f t="shared" si="12"/>
        <v>1.0849278514427791E-5</v>
      </c>
      <c r="X37" s="213">
        <f t="shared" si="13"/>
        <v>0.99999680893547893</v>
      </c>
      <c r="Y37" s="222">
        <f t="shared" si="22"/>
        <v>4.0333333333333341</v>
      </c>
      <c r="Z37" s="217">
        <f t="shared" si="14"/>
        <v>1.3323787470086157E-4</v>
      </c>
      <c r="AA37" s="217">
        <f t="shared" si="15"/>
        <v>0.99999153188493461</v>
      </c>
      <c r="AC37" s="188">
        <f t="shared" si="23"/>
        <v>35.733986925782098</v>
      </c>
      <c r="AD37" s="195">
        <f t="shared" si="24"/>
        <v>9.6573352804007941E-3</v>
      </c>
      <c r="AE37" s="195">
        <f t="shared" si="16"/>
        <v>0.97694911096220227</v>
      </c>
      <c r="AG37" s="390">
        <f t="shared" si="25"/>
        <v>34.622354520032069</v>
      </c>
      <c r="AH37" s="221">
        <f t="shared" si="17"/>
        <v>6.5595803164388332E-3</v>
      </c>
      <c r="AI37" s="221">
        <f t="shared" si="18"/>
        <v>0.9858906761150551</v>
      </c>
      <c r="AJ37" s="250">
        <f t="shared" si="26"/>
        <v>1661.7045454545453</v>
      </c>
      <c r="AK37" s="249"/>
      <c r="AL37" s="249">
        <f t="shared" si="19"/>
        <v>3.9383019142389383E-2</v>
      </c>
      <c r="AM37" s="18">
        <f t="shared" si="20"/>
        <v>0.9606169808576106</v>
      </c>
    </row>
    <row r="38" spans="1:39">
      <c r="A38" s="34"/>
      <c r="B38" s="15" t="s">
        <v>58</v>
      </c>
      <c r="C38" s="15" t="s">
        <v>59</v>
      </c>
      <c r="I38" s="27" t="s">
        <v>43</v>
      </c>
      <c r="J38" s="19">
        <f t="shared" ref="J38:P38" si="27">INDEX(LINEST($I$27:$I$28,LN(J27:J28)),1)</f>
        <v>-0.83610218092713584</v>
      </c>
      <c r="K38" s="19">
        <f t="shared" si="27"/>
        <v>-14.058146366015395</v>
      </c>
      <c r="L38" s="19">
        <f t="shared" si="27"/>
        <v>6.3213901266331707</v>
      </c>
      <c r="M38" s="19">
        <f>INDEX(LINEST($I$27:$I$28,LN(M27:M28)),1)</f>
        <v>-38.432303282941412</v>
      </c>
      <c r="N38" s="19">
        <f t="shared" si="27"/>
        <v>-12.772682753634209</v>
      </c>
      <c r="O38" s="19">
        <f t="shared" si="27"/>
        <v>64.504113409803907</v>
      </c>
      <c r="P38" s="19">
        <f t="shared" si="27"/>
        <v>-64.492735922286442</v>
      </c>
      <c r="Q38" s="19">
        <f>INDEX(LINEST($I$27:$I$28,LN(Q27:Q28)),1)</f>
        <v>-6.3213901266331733</v>
      </c>
      <c r="V38" s="212">
        <f t="shared" si="21"/>
        <v>53.706666666666678</v>
      </c>
      <c r="W38" s="213">
        <f t="shared" si="12"/>
        <v>3.6050151646879796E-5</v>
      </c>
      <c r="X38" s="213">
        <f t="shared" si="13"/>
        <v>0.99998868484676995</v>
      </c>
      <c r="Y38" s="222">
        <f t="shared" si="22"/>
        <v>4.120000000000001</v>
      </c>
      <c r="Z38" s="217">
        <f t="shared" si="14"/>
        <v>4.5121286372689626E-4</v>
      </c>
      <c r="AA38" s="217">
        <f t="shared" si="15"/>
        <v>0.99996872709546769</v>
      </c>
      <c r="AC38" s="188">
        <f t="shared" si="23"/>
        <v>36.755304777391068</v>
      </c>
      <c r="AD38" s="195">
        <f t="shared" si="24"/>
        <v>1.3183438658091417E-2</v>
      </c>
      <c r="AE38" s="195">
        <f t="shared" si="16"/>
        <v>0.96533946686614225</v>
      </c>
      <c r="AG38" s="390">
        <f t="shared" si="25"/>
        <v>35.643672371641038</v>
      </c>
      <c r="AH38" s="221">
        <f t="shared" si="17"/>
        <v>9.3765797092863652E-3</v>
      </c>
      <c r="AI38" s="221">
        <f t="shared" si="18"/>
        <v>0.97780859207146376</v>
      </c>
      <c r="AJ38" s="250">
        <f t="shared" si="26"/>
        <v>1894.0454545454543</v>
      </c>
      <c r="AK38" s="249"/>
      <c r="AL38" s="249">
        <f t="shared" si="19"/>
        <v>5.671154756504071E-2</v>
      </c>
      <c r="AM38" s="18">
        <f t="shared" si="20"/>
        <v>0.94328845243495929</v>
      </c>
    </row>
    <row r="39" spans="1:39">
      <c r="B39" s="16" t="s">
        <v>60</v>
      </c>
      <c r="C39" s="16" t="s">
        <v>60</v>
      </c>
      <c r="I39" s="27" t="s">
        <v>44</v>
      </c>
      <c r="J39" s="19">
        <f t="shared" ref="J39:P39" si="28">INDEX(LINEST($I$27:$I$28,LN(J27:J28)),1,2)</f>
        <v>6.4775989502428351</v>
      </c>
      <c r="K39" s="19">
        <f t="shared" si="28"/>
        <v>-40.832891209473473</v>
      </c>
      <c r="L39" s="19">
        <f t="shared" si="28"/>
        <v>4.5106796200501647</v>
      </c>
      <c r="M39" s="19">
        <f>INDEX(LINEST($I$27:$I$28,LN(M27:M28)),1,2)</f>
        <v>-19.653568447489778</v>
      </c>
      <c r="N39" s="19">
        <f t="shared" si="28"/>
        <v>-8.9175339145803143</v>
      </c>
      <c r="O39" s="19">
        <f t="shared" si="28"/>
        <v>380.49158466308262</v>
      </c>
      <c r="P39" s="19">
        <f t="shared" si="28"/>
        <v>380.42503347736329</v>
      </c>
      <c r="Q39" s="19">
        <f>INDEX(LINEST($I$27:$I$28,LN(Q27:Q28)),1,2)</f>
        <v>24.600397725120409</v>
      </c>
      <c r="V39" s="212">
        <f t="shared" si="21"/>
        <v>54.091111111111125</v>
      </c>
      <c r="W39" s="213">
        <f t="shared" si="12"/>
        <v>1.101389602817865E-4</v>
      </c>
      <c r="X39" s="213">
        <f t="shared" si="13"/>
        <v>0.99996300770757818</v>
      </c>
      <c r="Y39" s="222">
        <f t="shared" si="22"/>
        <v>4.2066666666666679</v>
      </c>
      <c r="Z39" s="217">
        <f t="shared" si="14"/>
        <v>1.366204028423293E-3</v>
      </c>
      <c r="AA39" s="217">
        <f t="shared" si="15"/>
        <v>0.99989650953221643</v>
      </c>
      <c r="AC39" s="188">
        <f t="shared" si="23"/>
        <v>37.776622629000038</v>
      </c>
      <c r="AD39" s="195">
        <f t="shared" si="24"/>
        <v>1.7309116295070173E-2</v>
      </c>
      <c r="AE39" s="195">
        <f t="shared" si="16"/>
        <v>0.94981530833408478</v>
      </c>
      <c r="AG39" s="390">
        <f t="shared" si="25"/>
        <v>36.664990223250008</v>
      </c>
      <c r="AH39" s="221">
        <f t="shared" si="17"/>
        <v>1.2846268212637223E-2</v>
      </c>
      <c r="AI39" s="221">
        <f t="shared" si="18"/>
        <v>0.9665148617402779</v>
      </c>
      <c r="AJ39" s="250">
        <f t="shared" si="26"/>
        <v>2126.3863636363635</v>
      </c>
      <c r="AK39" s="249"/>
      <c r="AL39" s="249">
        <f t="shared" si="19"/>
        <v>7.7190717519083213E-2</v>
      </c>
      <c r="AM39" s="18">
        <f t="shared" si="20"/>
        <v>0.92280928248091676</v>
      </c>
    </row>
    <row r="40" spans="1:39">
      <c r="A40" s="42" t="s">
        <v>61</v>
      </c>
      <c r="B40" s="43">
        <f>+Forecast_Variables_CB!$I$24</f>
        <v>1054.900253998657</v>
      </c>
      <c r="C40" s="43">
        <f>+Forecast_Variables_CB!$K$24</f>
        <v>514.28332683522501</v>
      </c>
      <c r="V40" s="212">
        <f t="shared" si="21"/>
        <v>54.475555555555573</v>
      </c>
      <c r="W40" s="213">
        <f t="shared" si="12"/>
        <v>3.0992045658530102E-4</v>
      </c>
      <c r="X40" s="213">
        <f t="shared" si="13"/>
        <v>0.99988827272262204</v>
      </c>
      <c r="Y40" s="222">
        <f t="shared" si="22"/>
        <v>4.2933333333333348</v>
      </c>
      <c r="Z40" s="217">
        <f t="shared" si="14"/>
        <v>3.7219619076284626E-3</v>
      </c>
      <c r="AA40" s="217">
        <f t="shared" si="15"/>
        <v>0.99969107419288528</v>
      </c>
      <c r="AC40" s="188">
        <f t="shared" si="23"/>
        <v>38.797940480609007</v>
      </c>
      <c r="AD40" s="195">
        <f t="shared" si="24"/>
        <v>2.1920326930879596E-2</v>
      </c>
      <c r="AE40" s="195">
        <f t="shared" si="16"/>
        <v>0.92981729595142637</v>
      </c>
      <c r="AG40" s="390">
        <f t="shared" si="25"/>
        <v>37.686308074858978</v>
      </c>
      <c r="AH40" s="221">
        <f t="shared" si="17"/>
        <v>1.6922621504090584E-2</v>
      </c>
      <c r="AI40" s="221">
        <f t="shared" si="18"/>
        <v>0.9513610911693029</v>
      </c>
      <c r="AJ40" s="250">
        <f t="shared" si="26"/>
        <v>2358.7272727272725</v>
      </c>
      <c r="AK40" s="249"/>
      <c r="AL40" s="249">
        <f t="shared" si="19"/>
        <v>0.10082052900451684</v>
      </c>
      <c r="AM40" s="18">
        <f t="shared" si="20"/>
        <v>0.89917947099548312</v>
      </c>
    </row>
    <row r="41" spans="1:39">
      <c r="A41" s="42" t="s">
        <v>62</v>
      </c>
      <c r="B41" s="18">
        <f>+(B45*LN(B40))+B46</f>
        <v>-0.28364010852684629</v>
      </c>
      <c r="C41" s="18">
        <f>+(C45*LN(C40))+C46</f>
        <v>-0.28539618830240165</v>
      </c>
      <c r="V41" s="212">
        <f t="shared" si="21"/>
        <v>54.860000000000021</v>
      </c>
      <c r="W41" s="213">
        <f t="shared" si="12"/>
        <v>8.0456965464197224E-4</v>
      </c>
      <c r="X41" s="213">
        <f t="shared" si="13"/>
        <v>0.99968762656201149</v>
      </c>
      <c r="Y41" s="222">
        <f t="shared" si="22"/>
        <v>4.3800000000000017</v>
      </c>
      <c r="Z41" s="217">
        <f t="shared" si="14"/>
        <v>9.1769438548315405E-3</v>
      </c>
      <c r="AA41" s="217">
        <f t="shared" si="15"/>
        <v>0.99916300815587245</v>
      </c>
      <c r="AC41" s="188">
        <f t="shared" si="23"/>
        <v>39.819258332217977</v>
      </c>
      <c r="AD41" s="195">
        <f t="shared" si="24"/>
        <v>2.6846077323625078E-2</v>
      </c>
      <c r="AE41" s="195">
        <f t="shared" si="16"/>
        <v>0.90493248411838978</v>
      </c>
      <c r="AG41" s="390">
        <f t="shared" si="25"/>
        <v>38.707625926467948</v>
      </c>
      <c r="AH41" s="221">
        <f t="shared" si="17"/>
        <v>2.1497029575760444E-2</v>
      </c>
      <c r="AI41" s="221">
        <f t="shared" si="18"/>
        <v>0.93177788631115865</v>
      </c>
      <c r="AJ41" s="250">
        <f t="shared" si="26"/>
        <v>2591.0681818181815</v>
      </c>
      <c r="AK41" s="249"/>
      <c r="AL41" s="249">
        <f t="shared" si="19"/>
        <v>0.12760098202134162</v>
      </c>
      <c r="AM41" s="18">
        <f t="shared" si="20"/>
        <v>0.87239901797865838</v>
      </c>
    </row>
    <row r="42" spans="1:39">
      <c r="A42" s="34" t="s">
        <v>63</v>
      </c>
      <c r="B42" s="44">
        <f>+ROUND(NORMSDIST(B41),2)</f>
        <v>0.39</v>
      </c>
      <c r="C42" s="45">
        <f>+NORMSDIST(C41)</f>
        <v>0.38767031372935579</v>
      </c>
      <c r="V42" s="212">
        <f t="shared" si="21"/>
        <v>55.244444444444468</v>
      </c>
      <c r="W42" s="213">
        <f t="shared" si="12"/>
        <v>1.9301520049548363E-3</v>
      </c>
      <c r="X42" s="213">
        <f t="shared" si="13"/>
        <v>0.99918992002681462</v>
      </c>
      <c r="Y42" s="222">
        <f t="shared" si="22"/>
        <v>4.4666666666666686</v>
      </c>
      <c r="Z42" s="217">
        <f t="shared" si="14"/>
        <v>2.0590366293268245E-2</v>
      </c>
      <c r="AA42" s="217">
        <f t="shared" si="15"/>
        <v>0.99792970227895439</v>
      </c>
      <c r="AC42" s="188">
        <f t="shared" si="23"/>
        <v>40.840576183826947</v>
      </c>
      <c r="AD42" s="195">
        <f t="shared" si="24"/>
        <v>3.1872028020016763E-2</v>
      </c>
      <c r="AE42" s="195">
        <f t="shared" si="16"/>
        <v>0.87494615371022466</v>
      </c>
      <c r="AG42" s="390">
        <f t="shared" si="25"/>
        <v>39.728943778076918</v>
      </c>
      <c r="AH42" s="221">
        <f t="shared" si="17"/>
        <v>2.6403093627026419E-2</v>
      </c>
      <c r="AI42" s="221">
        <f t="shared" si="18"/>
        <v>0.90733706506783784</v>
      </c>
      <c r="AJ42" s="250">
        <f t="shared" si="26"/>
        <v>2823.4090909090905</v>
      </c>
      <c r="AK42" s="249"/>
      <c r="AL42" s="249">
        <f t="shared" si="19"/>
        <v>0.15753207656955753</v>
      </c>
      <c r="AM42" s="18">
        <f t="shared" si="20"/>
        <v>0.84246792343044241</v>
      </c>
    </row>
    <row r="43" spans="1:39">
      <c r="V43" s="212">
        <f t="shared" si="21"/>
        <v>55.628888888888916</v>
      </c>
      <c r="W43" s="213">
        <f t="shared" si="12"/>
        <v>4.2857449061772315E-3</v>
      </c>
      <c r="X43" s="213">
        <f t="shared" si="13"/>
        <v>0.99804746331066141</v>
      </c>
      <c r="Y43" s="222">
        <f t="shared" si="22"/>
        <v>4.5533333333333355</v>
      </c>
      <c r="Z43" s="217">
        <f t="shared" si="14"/>
        <v>4.2254964915696684E-2</v>
      </c>
      <c r="AA43" s="217">
        <f t="shared" si="15"/>
        <v>0.99529913108419577</v>
      </c>
      <c r="AC43" s="188">
        <f t="shared" si="23"/>
        <v>41.861894035435917</v>
      </c>
      <c r="AD43" s="195">
        <f t="shared" si="24"/>
        <v>3.6760034667207543E-2</v>
      </c>
      <c r="AE43" s="195">
        <f t="shared" si="16"/>
        <v>0.83987648835215822</v>
      </c>
      <c r="AG43" s="390">
        <f t="shared" si="25"/>
        <v>40.750261629685887</v>
      </c>
      <c r="AH43" s="221">
        <f t="shared" si="17"/>
        <v>3.1429586980665593E-2</v>
      </c>
      <c r="AI43" s="221">
        <f t="shared" si="18"/>
        <v>0.87780468975352655</v>
      </c>
      <c r="AJ43" s="250">
        <f t="shared" si="26"/>
        <v>3055.7499999999995</v>
      </c>
      <c r="AK43" s="249"/>
      <c r="AL43" s="249">
        <f t="shared" si="19"/>
        <v>0.19061381264916463</v>
      </c>
      <c r="AM43" s="18">
        <f t="shared" si="20"/>
        <v>0.80938618735083534</v>
      </c>
    </row>
    <row r="44" spans="1:39">
      <c r="V44" s="212">
        <f t="shared" si="21"/>
        <v>56.013333333333364</v>
      </c>
      <c r="W44" s="213">
        <f t="shared" si="12"/>
        <v>8.8215167308352514E-3</v>
      </c>
      <c r="X44" s="213">
        <f t="shared" si="13"/>
        <v>0.99561693144886776</v>
      </c>
      <c r="Y44" s="222">
        <f t="shared" si="22"/>
        <v>4.6400000000000023</v>
      </c>
      <c r="Z44" s="217">
        <f t="shared" si="14"/>
        <v>7.9688996868218842E-2</v>
      </c>
      <c r="AA44" s="217">
        <f t="shared" si="15"/>
        <v>0.99015034131603785</v>
      </c>
      <c r="AC44" s="188">
        <f t="shared" si="23"/>
        <v>42.883211887044887</v>
      </c>
      <c r="AD44" s="195">
        <f t="shared" si="24"/>
        <v>4.1270575200053533E-2</v>
      </c>
      <c r="AE44" s="195">
        <f t="shared" si="16"/>
        <v>0.79998753748787288</v>
      </c>
      <c r="AG44" s="390">
        <f t="shared" si="25"/>
        <v>41.771579481294857</v>
      </c>
      <c r="AH44" s="221">
        <f t="shared" si="17"/>
        <v>3.6339585246439765E-2</v>
      </c>
      <c r="AI44" s="221">
        <f t="shared" si="18"/>
        <v>0.84317748984937779</v>
      </c>
      <c r="AJ44" s="250">
        <f t="shared" si="26"/>
        <v>3288.0909090909086</v>
      </c>
      <c r="AK44" s="249"/>
      <c r="AL44" s="249">
        <f t="shared" si="19"/>
        <v>0.22684619026016284</v>
      </c>
      <c r="AM44" s="18">
        <f t="shared" si="20"/>
        <v>0.77315380973983716</v>
      </c>
    </row>
    <row r="45" spans="1:39">
      <c r="A45" s="27" t="s">
        <v>43</v>
      </c>
      <c r="B45" s="19">
        <f>INDEX(LINEST($D$25:$D$35,LN(E25:E35)),1)</f>
        <v>-1.8284584839118501</v>
      </c>
      <c r="C45" s="19">
        <f>INDEX(LINEST($D$25:$D$35,LN(F25:F35)),1)</f>
        <v>-1.8193564495416612</v>
      </c>
      <c r="V45" s="212">
        <f t="shared" si="21"/>
        <v>56.397777777777812</v>
      </c>
      <c r="W45" s="213">
        <f t="shared" si="12"/>
        <v>1.6857795894482892E-2</v>
      </c>
      <c r="X45" s="213">
        <f t="shared" si="13"/>
        <v>0.99081724689728912</v>
      </c>
      <c r="Y45" s="222">
        <f t="shared" si="22"/>
        <v>4.7266666666666692</v>
      </c>
      <c r="Z45" s="217">
        <f t="shared" si="14"/>
        <v>0.13872314365342059</v>
      </c>
      <c r="AA45" s="217">
        <f t="shared" si="15"/>
        <v>0.98086112068939868</v>
      </c>
      <c r="AC45" s="188">
        <f t="shared" si="23"/>
        <v>43.904529738653856</v>
      </c>
      <c r="AD45" s="195">
        <f t="shared" si="24"/>
        <v>4.5184749766500935E-2</v>
      </c>
      <c r="AE45" s="195">
        <f t="shared" si="16"/>
        <v>0.75577921747526822</v>
      </c>
      <c r="AG45" s="390">
        <f t="shared" si="25"/>
        <v>42.792897332903827</v>
      </c>
      <c r="AH45" s="221">
        <f t="shared" si="17"/>
        <v>4.0892772823164156E-2</v>
      </c>
      <c r="AI45" s="221">
        <f t="shared" si="18"/>
        <v>0.80369784532199962</v>
      </c>
      <c r="AJ45" s="250">
        <f t="shared" si="26"/>
        <v>3520.4318181818176</v>
      </c>
      <c r="AK45" s="249"/>
      <c r="AL45" s="249">
        <f t="shared" si="19"/>
        <v>0.26622920940255218</v>
      </c>
      <c r="AM45" s="18">
        <f t="shared" si="20"/>
        <v>0.73377079059744776</v>
      </c>
    </row>
    <row r="46" spans="1:39">
      <c r="A46" s="27" t="s">
        <v>44</v>
      </c>
      <c r="B46" s="19">
        <f>INDEX(LINEST($D$25:$D$35,LN(E25:E35)),1,2)</f>
        <v>12.444627824080705</v>
      </c>
      <c r="C46" s="19">
        <f>INDEX(LINEST($D$25:$D$35,LN(F25:F35)),1,2)</f>
        <v>11.072435557680373</v>
      </c>
      <c r="V46" s="212">
        <f t="shared" si="21"/>
        <v>56.782222222222259</v>
      </c>
      <c r="W46" s="213">
        <f t="shared" si="12"/>
        <v>2.995305422812344E-2</v>
      </c>
      <c r="X46" s="213">
        <f t="shared" si="13"/>
        <v>0.98200650467198813</v>
      </c>
      <c r="Y46" s="222">
        <f t="shared" si="22"/>
        <v>4.8133333333333361</v>
      </c>
      <c r="Z46" s="217">
        <f t="shared" si="14"/>
        <v>0.22383462347286365</v>
      </c>
      <c r="AA46" s="217">
        <f t="shared" si="15"/>
        <v>0.9653483080892924</v>
      </c>
      <c r="AC46" s="188">
        <f t="shared" si="23"/>
        <v>44.925847590262826</v>
      </c>
      <c r="AD46" s="195">
        <f t="shared" si="24"/>
        <v>4.8322918298441486E-2</v>
      </c>
      <c r="AE46" s="195">
        <f t="shared" si="16"/>
        <v>0.70795634141903185</v>
      </c>
      <c r="AG46" s="390">
        <f t="shared" si="25"/>
        <v>43.814215184512797</v>
      </c>
      <c r="AH46" s="221">
        <f t="shared" si="17"/>
        <v>4.4867608343812711E-2</v>
      </c>
      <c r="AI46" s="221">
        <f t="shared" si="18"/>
        <v>0.7598457822838649</v>
      </c>
      <c r="AJ46" s="250">
        <f t="shared" si="26"/>
        <v>3752.7727272727266</v>
      </c>
      <c r="AK46" s="249"/>
      <c r="AL46" s="249">
        <f t="shared" si="19"/>
        <v>0.30876287007633274</v>
      </c>
      <c r="AM46" s="18">
        <f t="shared" si="20"/>
        <v>0.69123712992366726</v>
      </c>
    </row>
    <row r="47" spans="1:39">
      <c r="V47" s="212">
        <f t="shared" si="21"/>
        <v>57.166666666666707</v>
      </c>
      <c r="W47" s="213">
        <f t="shared" si="12"/>
        <v>4.9555366368986081E-2</v>
      </c>
      <c r="X47" s="213">
        <f t="shared" si="13"/>
        <v>0.96695001347690701</v>
      </c>
      <c r="Y47" s="222">
        <f t="shared" si="22"/>
        <v>4.900000000000003</v>
      </c>
      <c r="Z47" s="217">
        <f t="shared" si="14"/>
        <v>0.33605941576197212</v>
      </c>
      <c r="AA47" s="217">
        <f t="shared" si="15"/>
        <v>0.94127465959950618</v>
      </c>
      <c r="AC47" s="188">
        <f t="shared" si="23"/>
        <v>45.947165441871796</v>
      </c>
      <c r="AD47" s="195">
        <f t="shared" si="24"/>
        <v>5.0557884556664066E-2</v>
      </c>
      <c r="AE47" s="195">
        <f t="shared" si="16"/>
        <v>0.65738126494265758</v>
      </c>
      <c r="AG47" s="390">
        <f t="shared" si="25"/>
        <v>44.835533036121767</v>
      </c>
      <c r="AH47" s="221">
        <f t="shared" si="17"/>
        <v>4.8080358506292241E-2</v>
      </c>
      <c r="AI47" s="221">
        <f t="shared" si="18"/>
        <v>0.71230970409060024</v>
      </c>
      <c r="AJ47" s="250">
        <f t="shared" si="26"/>
        <v>3985.1136363636356</v>
      </c>
      <c r="AK47" s="249"/>
      <c r="AL47" s="249">
        <f t="shared" si="19"/>
        <v>0.35367782727982366</v>
      </c>
      <c r="AM47" s="18">
        <f t="shared" si="20"/>
        <v>0.64632217272017634</v>
      </c>
    </row>
    <row r="48" spans="1:39">
      <c r="B48" s="18" t="str">
        <f>CONCATENATE("Pmean: ",ROUND(B40,1))</f>
        <v>Pmean: 1054.9</v>
      </c>
      <c r="C48" s="18" t="str">
        <f>CONCATENATE("Pmean: ",ROUND(C40,1))</f>
        <v>Pmean: 514.3</v>
      </c>
      <c r="E48" s="18" t="s">
        <v>172</v>
      </c>
      <c r="V48" s="212">
        <f t="shared" si="21"/>
        <v>57.551111111111155</v>
      </c>
      <c r="W48" s="213">
        <f t="shared" si="12"/>
        <v>7.6447049076390258E-2</v>
      </c>
      <c r="X48" s="213">
        <f t="shared" si="13"/>
        <v>0.9429641966973602</v>
      </c>
      <c r="Y48" s="222">
        <f t="shared" si="22"/>
        <v>4.9866666666666699</v>
      </c>
      <c r="Z48" s="217">
        <f t="shared" si="14"/>
        <v>0.47118549527061099</v>
      </c>
      <c r="AA48" s="217">
        <f t="shared" si="15"/>
        <v>0.90643049196037451</v>
      </c>
      <c r="AC48" s="188">
        <f t="shared" si="23"/>
        <v>46.968483293480766</v>
      </c>
      <c r="AD48" s="195">
        <f t="shared" si="24"/>
        <v>5.1821602984653242E-2</v>
      </c>
      <c r="AE48" s="195">
        <f t="shared" si="16"/>
        <v>0.6050163340707384</v>
      </c>
      <c r="AG48" s="390">
        <f t="shared" si="25"/>
        <v>45.856850887730737</v>
      </c>
      <c r="AH48" s="221">
        <f t="shared" si="17"/>
        <v>5.0398821778457538E-2</v>
      </c>
      <c r="AI48" s="221">
        <f t="shared" si="18"/>
        <v>0.66194025225676745</v>
      </c>
      <c r="AJ48" s="250">
        <f t="shared" si="26"/>
        <v>4217.454545454545</v>
      </c>
      <c r="AK48" s="249"/>
      <c r="AL48" s="249">
        <f t="shared" si="19"/>
        <v>0.39748325396834938</v>
      </c>
      <c r="AM48" s="18">
        <f t="shared" si="20"/>
        <v>0.60251674603165062</v>
      </c>
    </row>
    <row r="49" spans="1:39">
      <c r="B49" s="18" t="str">
        <f>CONCATENATE("P50: ",ROUND(E30,1))</f>
        <v>P50: 975.1</v>
      </c>
      <c r="C49" s="18" t="str">
        <f>CONCATENATE("P50: ",ROUND(F30,1))</f>
        <v>P50: 474.6</v>
      </c>
      <c r="E49" s="235">
        <v>1</v>
      </c>
      <c r="F49" s="19">
        <f>+D30</f>
        <v>0</v>
      </c>
      <c r="V49" s="212">
        <f t="shared" si="21"/>
        <v>57.935555555555602</v>
      </c>
      <c r="W49" s="213">
        <f t="shared" si="12"/>
        <v>0.11011528563589744</v>
      </c>
      <c r="X49" s="213">
        <f t="shared" si="13"/>
        <v>0.90729461063829819</v>
      </c>
      <c r="Y49" s="222">
        <f t="shared" si="22"/>
        <v>5.0733333333333368</v>
      </c>
      <c r="Z49" s="217">
        <f t="shared" si="14"/>
        <v>0.61906108314980224</v>
      </c>
      <c r="AA49" s="217">
        <f t="shared" si="15"/>
        <v>0.85922922386701628</v>
      </c>
      <c r="AC49" s="188">
        <f t="shared" si="23"/>
        <v>47.989801145089736</v>
      </c>
      <c r="AD49" s="195">
        <f t="shared" si="24"/>
        <v>5.2105437757792451E-2</v>
      </c>
      <c r="AE49" s="195">
        <f t="shared" si="16"/>
        <v>0.55186281899068668</v>
      </c>
      <c r="AG49" s="390">
        <f t="shared" si="25"/>
        <v>46.878168739339706</v>
      </c>
      <c r="AH49" s="221">
        <f t="shared" si="17"/>
        <v>5.1749621290865459E-2</v>
      </c>
      <c r="AI49" s="221">
        <f t="shared" si="18"/>
        <v>0.60969338652842686</v>
      </c>
      <c r="AJ49" s="250">
        <f t="shared" si="26"/>
        <v>4449.795454545454</v>
      </c>
      <c r="AK49" s="249"/>
      <c r="AL49" s="249">
        <f t="shared" si="19"/>
        <v>0.43975164814148815</v>
      </c>
      <c r="AM49" s="18">
        <f t="shared" si="20"/>
        <v>0.56024835185851185</v>
      </c>
    </row>
    <row r="50" spans="1:39">
      <c r="B50" s="18" t="str">
        <f>CONCATENATE("P90: ",ROUND(E26,1))</f>
        <v>P90: 456.9</v>
      </c>
      <c r="C50" s="18" t="str">
        <f>CONCATENATE("P90: ",ROUND(F26,1))</f>
        <v>P90: 221.4</v>
      </c>
      <c r="E50" s="235">
        <f>+F30</f>
        <v>474.63636146386949</v>
      </c>
      <c r="F50" s="19">
        <f>+F49</f>
        <v>0</v>
      </c>
      <c r="V50" s="212">
        <f t="shared" si="21"/>
        <v>58.32000000000005</v>
      </c>
      <c r="W50" s="213">
        <f t="shared" si="12"/>
        <v>0.1482973438786096</v>
      </c>
      <c r="X50" s="213">
        <f t="shared" si="13"/>
        <v>0.85771151544380797</v>
      </c>
      <c r="Y50" s="222">
        <f t="shared" si="22"/>
        <v>5.1600000000000037</v>
      </c>
      <c r="Z50" s="217">
        <f t="shared" si="14"/>
        <v>0.76459089149437653</v>
      </c>
      <c r="AA50" s="217">
        <f t="shared" si="15"/>
        <v>0.79919202003069223</v>
      </c>
      <c r="AC50" s="188">
        <f t="shared" si="23"/>
        <v>49.011118996698706</v>
      </c>
      <c r="AD50" s="195">
        <f t="shared" si="24"/>
        <v>5.145485966452587E-2</v>
      </c>
      <c r="AE50" s="195">
        <f t="shared" si="16"/>
        <v>0.4989025277819874</v>
      </c>
      <c r="AG50" s="390">
        <f t="shared" si="25"/>
        <v>47.899486590948676</v>
      </c>
      <c r="AH50" s="221">
        <f t="shared" si="17"/>
        <v>5.2119008976249839E-2</v>
      </c>
      <c r="AI50" s="221">
        <f t="shared" si="18"/>
        <v>0.55656936660383038</v>
      </c>
      <c r="AJ50" s="250">
        <f t="shared" si="26"/>
        <v>4682.1363636363631</v>
      </c>
      <c r="AK50" s="249"/>
      <c r="AL50" s="249">
        <f t="shared" si="19"/>
        <v>0.48048300979923997</v>
      </c>
      <c r="AM50" s="18">
        <f t="shared" si="20"/>
        <v>0.51951699020076003</v>
      </c>
    </row>
    <row r="51" spans="1:39">
      <c r="B51" s="18" t="str">
        <f>CONCATENATE("P99: ",ROUND(E25,1))</f>
        <v>P99: 208.1</v>
      </c>
      <c r="C51" s="18" t="str">
        <f>CONCATENATE("P99: ",ROUND(F25,1))</f>
        <v>P99: 100.8</v>
      </c>
      <c r="E51" s="235">
        <f>+E50</f>
        <v>474.63636146386949</v>
      </c>
      <c r="F51" s="19">
        <f>+D25</f>
        <v>2.3263478740408408</v>
      </c>
      <c r="V51" s="212">
        <f t="shared" si="21"/>
        <v>58.704444444444498</v>
      </c>
      <c r="W51" s="213">
        <f t="shared" si="12"/>
        <v>0.18697610509069335</v>
      </c>
      <c r="X51" s="213">
        <f t="shared" si="13"/>
        <v>0.79320157481491405</v>
      </c>
      <c r="Y51" s="222">
        <f t="shared" si="22"/>
        <v>5.2466666666666706</v>
      </c>
      <c r="Z51" s="217">
        <f t="shared" si="14"/>
        <v>0.8903964172306329</v>
      </c>
      <c r="AA51" s="217">
        <f t="shared" si="15"/>
        <v>0.72727126241839413</v>
      </c>
      <c r="AC51" s="188">
        <f t="shared" si="23"/>
        <v>50.032436848307675</v>
      </c>
      <c r="AD51" s="195">
        <f t="shared" si="24"/>
        <v>4.9960023695216613E-2</v>
      </c>
      <c r="AE51" s="195">
        <f t="shared" si="16"/>
        <v>0.44704707757205286</v>
      </c>
      <c r="AG51" s="390">
        <f t="shared" si="25"/>
        <v>48.920804442557646</v>
      </c>
      <c r="AH51" s="221">
        <f t="shared" si="17"/>
        <v>5.1548002019855946E-2</v>
      </c>
      <c r="AI51" s="221">
        <f t="shared" si="18"/>
        <v>0.50355390667810451</v>
      </c>
      <c r="AJ51" s="250">
        <f t="shared" si="26"/>
        <v>4914.4772727272721</v>
      </c>
      <c r="AK51" s="249"/>
      <c r="AL51" s="249">
        <f t="shared" si="19"/>
        <v>0.51967733894160495</v>
      </c>
      <c r="AM51" s="18">
        <f t="shared" si="20"/>
        <v>0.48032266105839505</v>
      </c>
    </row>
    <row r="52" spans="1:39">
      <c r="B52" s="18" t="str">
        <f>CONCATENATE("P10: ",ROUND(E34,1))</f>
        <v>P10: 1755.7</v>
      </c>
      <c r="C52" s="18" t="str">
        <f>CONCATENATE("P10: ",ROUND(F34,1))</f>
        <v>P10: 857.4</v>
      </c>
      <c r="V52" s="212">
        <f t="shared" si="21"/>
        <v>59.088888888888945</v>
      </c>
      <c r="W52" s="213">
        <f t="shared" si="12"/>
        <v>0.22098377517670786</v>
      </c>
      <c r="X52" s="213">
        <f t="shared" si="13"/>
        <v>0.71454605757190792</v>
      </c>
      <c r="Y52" s="222">
        <f t="shared" si="22"/>
        <v>5.3333333333333375</v>
      </c>
      <c r="Z52" s="217">
        <f t="shared" si="14"/>
        <v>0.98044566887898532</v>
      </c>
      <c r="AA52" s="217">
        <f t="shared" si="15"/>
        <v>0.64589440292426437</v>
      </c>
      <c r="AC52" s="188">
        <f t="shared" si="23"/>
        <v>51.053754699916645</v>
      </c>
      <c r="AD52" s="195">
        <f t="shared" si="24"/>
        <v>4.7743905932715658E-2</v>
      </c>
      <c r="AE52" s="195">
        <f t="shared" si="16"/>
        <v>0.39709818011144682</v>
      </c>
      <c r="AG52" s="390">
        <f t="shared" si="25"/>
        <v>49.942122294166616</v>
      </c>
      <c r="AH52" s="221">
        <f t="shared" si="17"/>
        <v>5.0123258352041455E-2</v>
      </c>
      <c r="AI52" s="221">
        <f t="shared" si="18"/>
        <v>0.45156660897080614</v>
      </c>
      <c r="AJ52" s="250">
        <f t="shared" si="26"/>
        <v>5146.8181818181811</v>
      </c>
      <c r="AK52" s="249"/>
      <c r="AL52" s="249">
        <f t="shared" si="19"/>
        <v>0.55733463556858309</v>
      </c>
      <c r="AM52" s="18">
        <f t="shared" si="20"/>
        <v>0.44266536443141691</v>
      </c>
    </row>
    <row r="53" spans="1:39">
      <c r="B53" s="18" t="str">
        <f>CONCATENATE("P1: ",ROUND(E35,1))</f>
        <v>P1: 2520.4</v>
      </c>
      <c r="C53" s="18" t="str">
        <f>CONCATENATE("P1: ",ROUND(F35,1))</f>
        <v>P1: 1239.4</v>
      </c>
      <c r="E53" s="18" t="s">
        <v>173</v>
      </c>
      <c r="V53" s="212">
        <f t="shared" si="21"/>
        <v>59.473333333333393</v>
      </c>
      <c r="W53" s="213">
        <f t="shared" si="12"/>
        <v>0.24513067207148531</v>
      </c>
      <c r="X53" s="213">
        <f t="shared" si="13"/>
        <v>0.6245589210607041</v>
      </c>
      <c r="Y53" s="222">
        <f t="shared" si="22"/>
        <v>5.4200000000000044</v>
      </c>
      <c r="Z53" s="217">
        <f t="shared" si="14"/>
        <v>1.023540083713538</v>
      </c>
      <c r="AA53" s="217">
        <f t="shared" si="15"/>
        <v>0.55869088196431504</v>
      </c>
      <c r="AC53" s="188">
        <f t="shared" si="23"/>
        <v>52.075072551525615</v>
      </c>
      <c r="AD53" s="195">
        <f t="shared" si="24"/>
        <v>4.4949632226766484E-2</v>
      </c>
      <c r="AE53" s="195">
        <f t="shared" si="16"/>
        <v>0.34972058683706542</v>
      </c>
      <c r="AG53" s="390">
        <f t="shared" si="25"/>
        <v>50.963440145775586</v>
      </c>
      <c r="AH53" s="221">
        <f t="shared" si="17"/>
        <v>4.796536120833747E-2</v>
      </c>
      <c r="AI53" s="221">
        <f t="shared" si="18"/>
        <v>0.40142018446053129</v>
      </c>
      <c r="AJ53" s="250">
        <f t="shared" si="26"/>
        <v>5379.1590909090901</v>
      </c>
      <c r="AK53" s="249"/>
      <c r="AL53" s="249">
        <f t="shared" si="19"/>
        <v>0.59345489968017451</v>
      </c>
      <c r="AM53" s="18">
        <f t="shared" si="20"/>
        <v>0.40654510031982549</v>
      </c>
    </row>
    <row r="54" spans="1:39">
      <c r="E54" s="235">
        <v>1</v>
      </c>
      <c r="F54" s="19">
        <f>+D35</f>
        <v>-2.3263478740408408</v>
      </c>
      <c r="V54" s="212">
        <f t="shared" si="21"/>
        <v>59.857777777777841</v>
      </c>
      <c r="W54" s="213">
        <f t="shared" ref="W54:W76" si="29">+_xlfn.LOGNORM.DIST(V54,$W$28,$W$29,FALSE)</f>
        <v>0.25552100765355101</v>
      </c>
      <c r="X54" s="213">
        <f t="shared" si="13"/>
        <v>0.52784100062066575</v>
      </c>
      <c r="Y54" s="222">
        <f t="shared" si="22"/>
        <v>5.5066666666666713</v>
      </c>
      <c r="Z54" s="217">
        <f t="shared" si="14"/>
        <v>1.0155844459084375</v>
      </c>
      <c r="AA54" s="217">
        <f t="shared" si="15"/>
        <v>0.4699630477707113</v>
      </c>
      <c r="AC54" s="188">
        <f t="shared" si="23"/>
        <v>53.096390403134585</v>
      </c>
      <c r="AD54" s="195">
        <f t="shared" si="24"/>
        <v>4.1728379952973536E-2</v>
      </c>
      <c r="AE54" s="195">
        <f t="shared" si="16"/>
        <v>0.30542778579512309</v>
      </c>
      <c r="AG54" s="390">
        <f t="shared" si="25"/>
        <v>51.984757997384555</v>
      </c>
      <c r="AH54" s="221">
        <f t="shared" si="17"/>
        <v>4.5216158857254232E-2</v>
      </c>
      <c r="AI54" s="221">
        <f t="shared" si="18"/>
        <v>0.35379225395940628</v>
      </c>
      <c r="AJ54" s="250">
        <f t="shared" si="26"/>
        <v>5611.4999999999991</v>
      </c>
      <c r="AK54" s="249"/>
      <c r="AL54" s="249">
        <f t="shared" si="19"/>
        <v>0.62803813127637886</v>
      </c>
      <c r="AM54" s="18">
        <f t="shared" si="20"/>
        <v>0.37196186872362114</v>
      </c>
    </row>
    <row r="55" spans="1:39">
      <c r="E55" s="235">
        <f>+F35</f>
        <v>1239.447873293444</v>
      </c>
      <c r="F55" s="19">
        <f>+F54</f>
        <v>-2.3263478740408408</v>
      </c>
      <c r="V55" s="212">
        <f t="shared" si="21"/>
        <v>60.242222222222289</v>
      </c>
      <c r="W55" s="213">
        <f t="shared" si="29"/>
        <v>0.25058991142159942</v>
      </c>
      <c r="X55" s="213">
        <f t="shared" si="13"/>
        <v>0.43006705765507636</v>
      </c>
      <c r="Y55" s="222">
        <f t="shared" si="22"/>
        <v>5.5933333333333382</v>
      </c>
      <c r="Z55" s="217">
        <f t="shared" si="14"/>
        <v>0.96002775034476728</v>
      </c>
      <c r="AA55" s="217">
        <f t="shared" si="15"/>
        <v>0.38403749588488456</v>
      </c>
      <c r="AC55" s="188">
        <f t="shared" si="23"/>
        <v>54.117708254743555</v>
      </c>
      <c r="AD55" s="195">
        <f t="shared" si="24"/>
        <v>3.8228866979250119E-2</v>
      </c>
      <c r="AE55" s="195">
        <f t="shared" si="16"/>
        <v>0.26457931339840934</v>
      </c>
      <c r="AG55" s="390">
        <f t="shared" si="25"/>
        <v>53.006075848993525</v>
      </c>
      <c r="AH55" s="221">
        <f t="shared" si="17"/>
        <v>4.2026568983473019E-2</v>
      </c>
      <c r="AI55" s="221">
        <f t="shared" si="18"/>
        <v>0.30920994793072187</v>
      </c>
      <c r="AJ55" s="250">
        <f t="shared" si="26"/>
        <v>5843.8409090909081</v>
      </c>
      <c r="AK55" s="249"/>
      <c r="AL55" s="249">
        <f t="shared" si="19"/>
        <v>0.66108433035719638</v>
      </c>
      <c r="AM55" s="18">
        <f t="shared" si="20"/>
        <v>0.33891566964280362</v>
      </c>
    </row>
    <row r="56" spans="1:39">
      <c r="E56" s="235"/>
      <c r="V56" s="212">
        <f t="shared" si="21"/>
        <v>60.626666666666736</v>
      </c>
      <c r="W56" s="213">
        <f t="shared" si="29"/>
        <v>0.23147968392473561</v>
      </c>
      <c r="X56" s="213">
        <f t="shared" si="13"/>
        <v>0.33699238700735767</v>
      </c>
      <c r="Y56" s="222">
        <f t="shared" si="22"/>
        <v>5.680000000000005</v>
      </c>
      <c r="Z56" s="217">
        <f t="shared" si="14"/>
        <v>0.86651708982865283</v>
      </c>
      <c r="AA56" s="217">
        <f t="shared" si="15"/>
        <v>0.30465824883022241</v>
      </c>
      <c r="AC56" s="188">
        <f t="shared" si="23"/>
        <v>55.139026106352524</v>
      </c>
      <c r="AD56" s="195">
        <f t="shared" si="24"/>
        <v>3.4589040900110071E-2</v>
      </c>
      <c r="AE56" s="195">
        <f t="shared" si="16"/>
        <v>0.22738771321953455</v>
      </c>
      <c r="AG56" s="390">
        <f t="shared" si="25"/>
        <v>54.027393700602495</v>
      </c>
      <c r="AH56" s="221">
        <f t="shared" si="17"/>
        <v>3.8545896777722174E-2</v>
      </c>
      <c r="AI56" s="221">
        <f t="shared" si="18"/>
        <v>0.26804626119359853</v>
      </c>
      <c r="AJ56" s="250">
        <f t="shared" si="26"/>
        <v>6076.1818181818171</v>
      </c>
      <c r="AK56" s="249"/>
      <c r="AL56" s="249">
        <f t="shared" si="19"/>
        <v>0.69259349692262706</v>
      </c>
      <c r="AM56" s="18">
        <f t="shared" si="20"/>
        <v>0.30740650307737294</v>
      </c>
    </row>
    <row r="57" spans="1:39">
      <c r="A57" s="17" t="s">
        <v>64</v>
      </c>
      <c r="E57" s="18" t="s">
        <v>174</v>
      </c>
      <c r="V57" s="212">
        <f t="shared" si="21"/>
        <v>61.011111111111184</v>
      </c>
      <c r="W57" s="213">
        <f t="shared" si="29"/>
        <v>0.20163556916024647</v>
      </c>
      <c r="X57" s="213">
        <f t="shared" si="13"/>
        <v>0.25346611155635312</v>
      </c>
      <c r="Y57" s="222">
        <f t="shared" si="22"/>
        <v>5.7666666666666719</v>
      </c>
      <c r="Z57" s="217">
        <f t="shared" si="14"/>
        <v>0.74836146479544852</v>
      </c>
      <c r="AA57" s="217">
        <f t="shared" si="15"/>
        <v>0.23455386879801365</v>
      </c>
      <c r="AC57" s="188">
        <f t="shared" si="23"/>
        <v>56.160343957961494</v>
      </c>
      <c r="AD57" s="195">
        <f t="shared" si="24"/>
        <v>3.0930210076155904E-2</v>
      </c>
      <c r="AE57" s="195">
        <f t="shared" si="16"/>
        <v>0.19393274220869383</v>
      </c>
      <c r="AG57" s="390">
        <f t="shared" si="25"/>
        <v>55.048711552211465</v>
      </c>
      <c r="AH57" s="221">
        <f t="shared" si="17"/>
        <v>3.4913314838288148E-2</v>
      </c>
      <c r="AI57" s="221">
        <f t="shared" si="18"/>
        <v>0.23052625166547724</v>
      </c>
      <c r="AJ57" s="250">
        <f t="shared" si="26"/>
        <v>6308.5227272727261</v>
      </c>
      <c r="AK57" s="249"/>
      <c r="AL57" s="249">
        <f t="shared" si="19"/>
        <v>0.7225656309726709</v>
      </c>
      <c r="AM57" s="18">
        <f t="shared" si="20"/>
        <v>0.2774343690273291</v>
      </c>
    </row>
    <row r="58" spans="1:39">
      <c r="A58" s="17" t="s">
        <v>65</v>
      </c>
      <c r="E58" s="235">
        <v>1</v>
      </c>
      <c r="F58" s="19">
        <f>+D25</f>
        <v>2.3263478740408408</v>
      </c>
      <c r="V58" s="212">
        <f t="shared" si="21"/>
        <v>61.395555555555632</v>
      </c>
      <c r="W58" s="213">
        <f t="shared" si="29"/>
        <v>0.16580883892544948</v>
      </c>
      <c r="X58" s="213">
        <f t="shared" si="13"/>
        <v>0.18272403497462064</v>
      </c>
      <c r="Y58" s="222">
        <f t="shared" si="22"/>
        <v>5.8533333333333388</v>
      </c>
      <c r="Z58" s="217">
        <f t="shared" si="14"/>
        <v>0.61965778548966055</v>
      </c>
      <c r="AA58" s="217">
        <f t="shared" si="15"/>
        <v>0.1752452834889352</v>
      </c>
      <c r="AC58" s="188">
        <f t="shared" si="23"/>
        <v>57.181661809570464</v>
      </c>
      <c r="AD58" s="195">
        <f t="shared" si="24"/>
        <v>2.7353556284758163E-2</v>
      </c>
      <c r="AE58" s="195">
        <f t="shared" si="16"/>
        <v>0.16418033914959729</v>
      </c>
      <c r="AG58" s="390">
        <f t="shared" si="25"/>
        <v>56.070029403820435</v>
      </c>
      <c r="AH58" s="221">
        <f t="shared" si="17"/>
        <v>3.125177688697648E-2</v>
      </c>
      <c r="AI58" s="221">
        <f t="shared" si="18"/>
        <v>0.19674070671689547</v>
      </c>
      <c r="AJ58" s="250">
        <f t="shared" si="26"/>
        <v>6540.8636363636351</v>
      </c>
      <c r="AK58" s="249"/>
      <c r="AL58" s="249">
        <f t="shared" si="19"/>
        <v>0.75100073250732791</v>
      </c>
      <c r="AM58" s="18">
        <f t="shared" si="20"/>
        <v>0.24899926749267209</v>
      </c>
    </row>
    <row r="59" spans="1:39">
      <c r="A59" s="17" t="s">
        <v>66</v>
      </c>
      <c r="E59" s="235">
        <f>+F25</f>
        <v>100.83558145279493</v>
      </c>
      <c r="F59" s="19">
        <f>+F58</f>
        <v>2.3263478740408408</v>
      </c>
      <c r="V59" s="212">
        <f t="shared" si="21"/>
        <v>61.780000000000079</v>
      </c>
      <c r="W59" s="213">
        <f t="shared" si="29"/>
        <v>0.12885603476664872</v>
      </c>
      <c r="X59" s="213">
        <f t="shared" si="13"/>
        <v>0.12611776221774118</v>
      </c>
      <c r="Y59" s="222">
        <f t="shared" si="22"/>
        <v>5.9400000000000057</v>
      </c>
      <c r="Z59" s="217">
        <f t="shared" si="14"/>
        <v>0.49285272586514639</v>
      </c>
      <c r="AA59" s="217">
        <f t="shared" si="15"/>
        <v>0.12708848355353863</v>
      </c>
      <c r="AC59" s="188">
        <f t="shared" si="23"/>
        <v>58.202979661179434</v>
      </c>
      <c r="AD59" s="195">
        <f t="shared" si="24"/>
        <v>2.3938754986936515E-2</v>
      </c>
      <c r="AE59" s="195">
        <f t="shared" si="16"/>
        <v>0.13800404855908488</v>
      </c>
      <c r="AG59" s="390">
        <f t="shared" si="25"/>
        <v>57.091347255429405</v>
      </c>
      <c r="AH59" s="221">
        <f t="shared" si="17"/>
        <v>2.7664328369096575E-2</v>
      </c>
      <c r="AI59" s="221">
        <f t="shared" si="18"/>
        <v>0.16666478756108005</v>
      </c>
      <c r="AJ59" s="250">
        <f t="shared" si="26"/>
        <v>6773.2045454545441</v>
      </c>
      <c r="AK59" s="249"/>
      <c r="AL59" s="249">
        <f t="shared" si="19"/>
        <v>0.77789880152659807</v>
      </c>
      <c r="AM59" s="18">
        <f t="shared" si="20"/>
        <v>0.22210119847340193</v>
      </c>
    </row>
    <row r="60" spans="1:39">
      <c r="V60" s="212">
        <f t="shared" si="21"/>
        <v>62.164444444444527</v>
      </c>
      <c r="W60" s="213">
        <f t="shared" si="29"/>
        <v>9.4736639860519126E-2</v>
      </c>
      <c r="X60" s="213">
        <f t="shared" si="13"/>
        <v>8.3278516783752088E-2</v>
      </c>
      <c r="Y60" s="222">
        <f t="shared" si="22"/>
        <v>6.0266666666666726</v>
      </c>
      <c r="Z60" s="217">
        <f t="shared" si="14"/>
        <v>0.3772090237785532</v>
      </c>
      <c r="AA60" s="217">
        <f t="shared" si="15"/>
        <v>8.9491368804377913E-2</v>
      </c>
      <c r="AC60" s="188">
        <f t="shared" si="23"/>
        <v>59.224297512788404</v>
      </c>
      <c r="AD60" s="195">
        <f t="shared" si="24"/>
        <v>2.0744303794480674E-2</v>
      </c>
      <c r="AE60" s="195">
        <f t="shared" si="16"/>
        <v>0.115206944293202</v>
      </c>
      <c r="AG60" s="390">
        <f t="shared" si="25"/>
        <v>58.112665107038374</v>
      </c>
      <c r="AH60" s="221">
        <f t="shared" si="17"/>
        <v>2.4232555192570102E-2</v>
      </c>
      <c r="AI60" s="221">
        <f t="shared" si="18"/>
        <v>0.1401793208215294</v>
      </c>
      <c r="AJ60" s="250">
        <f t="shared" si="26"/>
        <v>7005.5454545454531</v>
      </c>
      <c r="AK60" s="249"/>
      <c r="AL60" s="249">
        <f t="shared" si="19"/>
        <v>0.80325983803048129</v>
      </c>
      <c r="AM60" s="18">
        <f t="shared" si="20"/>
        <v>0.19674016196951871</v>
      </c>
    </row>
    <row r="61" spans="1:39">
      <c r="A61" s="20" t="s">
        <v>67</v>
      </c>
      <c r="V61" s="212">
        <f t="shared" si="21"/>
        <v>62.548888888888975</v>
      </c>
      <c r="W61" s="213">
        <f t="shared" si="29"/>
        <v>6.5962406512210955E-2</v>
      </c>
      <c r="X61" s="213">
        <f t="shared" si="13"/>
        <v>5.2584217084118534E-2</v>
      </c>
      <c r="Y61" s="222">
        <f t="shared" si="22"/>
        <v>6.1133333333333395</v>
      </c>
      <c r="Z61" s="217">
        <f t="shared" si="14"/>
        <v>0.2782791911222966</v>
      </c>
      <c r="AA61" s="217">
        <f t="shared" si="15"/>
        <v>6.1219397290802613E-2</v>
      </c>
      <c r="AC61" s="188">
        <f t="shared" si="23"/>
        <v>60.245615364397374</v>
      </c>
      <c r="AD61" s="195">
        <f t="shared" si="24"/>
        <v>1.7809111220481153E-2</v>
      </c>
      <c r="AE61" s="195">
        <f t="shared" si="16"/>
        <v>9.5542535670250617E-2</v>
      </c>
      <c r="AG61" s="390">
        <f t="shared" si="25"/>
        <v>59.133982958647344</v>
      </c>
      <c r="AH61" s="221">
        <f t="shared" si="17"/>
        <v>2.1016778954074285E-2</v>
      </c>
      <c r="AI61" s="221">
        <f t="shared" si="18"/>
        <v>0.11709274581324802</v>
      </c>
      <c r="AJ61" s="250">
        <f t="shared" si="26"/>
        <v>7237.8863636363621</v>
      </c>
      <c r="AK61" s="249"/>
      <c r="AL61" s="249">
        <f t="shared" si="19"/>
        <v>0.82708384201897767</v>
      </c>
      <c r="AM61" s="18">
        <f t="shared" si="20"/>
        <v>0.17291615798102233</v>
      </c>
    </row>
    <row r="62" spans="1:39">
      <c r="V62" s="212">
        <f t="shared" si="21"/>
        <v>62.933333333333422</v>
      </c>
      <c r="W62" s="213">
        <f t="shared" si="29"/>
        <v>4.3539091362910155E-2</v>
      </c>
      <c r="X62" s="213">
        <f t="shared" si="13"/>
        <v>3.1741684109974466E-2</v>
      </c>
      <c r="Y62" s="222">
        <f t="shared" si="22"/>
        <v>6.2000000000000064</v>
      </c>
      <c r="Z62" s="217">
        <f t="shared" si="14"/>
        <v>0.19820245769702</v>
      </c>
      <c r="AA62" s="217">
        <f t="shared" si="15"/>
        <v>4.0709123852816775E-2</v>
      </c>
      <c r="AC62" s="188">
        <f t="shared" si="23"/>
        <v>61.266933216006343</v>
      </c>
      <c r="AD62" s="195">
        <f t="shared" si="24"/>
        <v>1.5154908482807431E-2</v>
      </c>
      <c r="AE62" s="195">
        <f t="shared" si="16"/>
        <v>7.8733595137787882E-2</v>
      </c>
      <c r="AG62" s="390">
        <f t="shared" si="25"/>
        <v>60.155300810256314</v>
      </c>
      <c r="AH62" s="221">
        <f t="shared" si="17"/>
        <v>1.8057552356233519E-2</v>
      </c>
      <c r="AI62" s="221">
        <f t="shared" si="18"/>
        <v>9.7162159964444217E-2</v>
      </c>
      <c r="AJ62" s="250">
        <f t="shared" si="26"/>
        <v>7470.2272727272712</v>
      </c>
      <c r="AK62" s="249"/>
      <c r="AL62" s="249">
        <f t="shared" si="19"/>
        <v>0.84937081349208721</v>
      </c>
      <c r="AM62" s="18">
        <f t="shared" si="20"/>
        <v>0.15062918650791279</v>
      </c>
    </row>
    <row r="63" spans="1:39">
      <c r="V63" s="212">
        <f t="shared" si="21"/>
        <v>63.31777777777787</v>
      </c>
      <c r="W63" s="213">
        <f t="shared" si="29"/>
        <v>2.7270669763992589E-2</v>
      </c>
      <c r="X63" s="213">
        <f t="shared" si="13"/>
        <v>1.8315623601421915E-2</v>
      </c>
      <c r="Y63" s="222">
        <f t="shared" si="22"/>
        <v>6.2866666666666733</v>
      </c>
      <c r="Z63" s="217">
        <f t="shared" si="14"/>
        <v>0.13649825652763781</v>
      </c>
      <c r="AA63" s="217">
        <f t="shared" si="15"/>
        <v>2.6331954744589381E-2</v>
      </c>
      <c r="AC63" s="188">
        <f t="shared" si="23"/>
        <v>62.288251067615313</v>
      </c>
      <c r="AD63" s="195">
        <f t="shared" si="24"/>
        <v>1.2789097596532403E-2</v>
      </c>
      <c r="AE63" s="195">
        <f t="shared" si="16"/>
        <v>6.4488269873194448E-2</v>
      </c>
      <c r="AG63" s="390">
        <f t="shared" si="25"/>
        <v>61.176618661865284</v>
      </c>
      <c r="AH63" s="221">
        <f t="shared" si="17"/>
        <v>1.5378014756655345E-2</v>
      </c>
      <c r="AI63" s="221">
        <f t="shared" si="18"/>
        <v>8.0112361787215924E-2</v>
      </c>
      <c r="AJ63" s="250">
        <f t="shared" si="26"/>
        <v>7702.5681818181802</v>
      </c>
      <c r="AK63" s="249"/>
      <c r="AL63" s="249">
        <f t="shared" si="19"/>
        <v>0.87012075244980991</v>
      </c>
      <c r="AM63" s="18">
        <f t="shared" si="20"/>
        <v>0.12987924755019009</v>
      </c>
    </row>
    <row r="64" spans="1:39">
      <c r="V64" s="212">
        <f t="shared" si="21"/>
        <v>63.702222222222318</v>
      </c>
      <c r="W64" s="213">
        <f t="shared" si="29"/>
        <v>1.6224281530218602E-2</v>
      </c>
      <c r="X64" s="213">
        <f t="shared" si="13"/>
        <v>1.0103204909170049E-2</v>
      </c>
      <c r="Y64" s="222">
        <f t="shared" si="22"/>
        <v>6.3733333333333402</v>
      </c>
      <c r="Z64" s="217">
        <f t="shared" si="14"/>
        <v>9.1025174828872096E-2</v>
      </c>
      <c r="AA64" s="217">
        <f t="shared" si="15"/>
        <v>1.657979898628581E-2</v>
      </c>
      <c r="AC64" s="188">
        <f t="shared" si="23"/>
        <v>63.309568919224283</v>
      </c>
      <c r="AD64" s="195">
        <f t="shared" si="24"/>
        <v>1.0707721355192656E-2</v>
      </c>
      <c r="AE64" s="195">
        <f t="shared" si="16"/>
        <v>5.2513198947441553E-2</v>
      </c>
      <c r="AG64" s="390">
        <f t="shared" si="25"/>
        <v>62.197936513474254</v>
      </c>
      <c r="AH64" s="221">
        <f t="shared" si="17"/>
        <v>1.2986715497882368E-2</v>
      </c>
      <c r="AI64" s="221">
        <f t="shared" si="18"/>
        <v>6.5652218602852086E-2</v>
      </c>
      <c r="AJ64" s="250">
        <f t="shared" si="26"/>
        <v>7934.9090909090892</v>
      </c>
      <c r="AK64" s="249"/>
      <c r="AL64" s="249">
        <f t="shared" si="19"/>
        <v>0.88933365889214566</v>
      </c>
      <c r="AM64" s="18">
        <f t="shared" si="20"/>
        <v>0.11066634110785434</v>
      </c>
    </row>
    <row r="65" spans="1:39">
      <c r="B65" s="19"/>
      <c r="V65" s="212">
        <f t="shared" si="21"/>
        <v>64.086666666666758</v>
      </c>
      <c r="W65" s="213">
        <f t="shared" si="29"/>
        <v>9.1769574880719469E-3</v>
      </c>
      <c r="X65" s="213">
        <f t="shared" si="13"/>
        <v>5.3287058940748588E-3</v>
      </c>
      <c r="Y65" s="222">
        <f t="shared" si="22"/>
        <v>6.4600000000000071</v>
      </c>
      <c r="Z65" s="217">
        <f t="shared" si="14"/>
        <v>5.8858257823132532E-2</v>
      </c>
      <c r="AA65" s="217">
        <f t="shared" si="15"/>
        <v>1.0169770363760877E-2</v>
      </c>
      <c r="AC65" s="188">
        <f t="shared" si="23"/>
        <v>64.330886770833246</v>
      </c>
      <c r="AD65" s="195">
        <f t="shared" si="24"/>
        <v>8.8983205234822761E-3</v>
      </c>
      <c r="AE65" s="195">
        <f t="shared" si="16"/>
        <v>4.2523638188163404E-2</v>
      </c>
      <c r="AG65" s="390">
        <f t="shared" si="25"/>
        <v>63.219254365083223</v>
      </c>
      <c r="AH65" s="221">
        <f t="shared" si="17"/>
        <v>1.0880583737365779E-2</v>
      </c>
      <c r="AI65" s="221">
        <f t="shared" si="18"/>
        <v>5.3488051945308812E-2</v>
      </c>
      <c r="AJ65" s="250">
        <f t="shared" si="26"/>
        <v>8167.2499999999982</v>
      </c>
      <c r="AK65" s="249"/>
      <c r="AL65" s="249">
        <f t="shared" si="19"/>
        <v>0.90700953281909458</v>
      </c>
      <c r="AM65" s="18">
        <f t="shared" si="20"/>
        <v>9.2990467180905423E-2</v>
      </c>
    </row>
    <row r="66" spans="1:39">
      <c r="V66" s="212">
        <f t="shared" si="21"/>
        <v>64.471111111111199</v>
      </c>
      <c r="W66" s="213">
        <f t="shared" si="29"/>
        <v>4.9396575642952174E-3</v>
      </c>
      <c r="X66" s="213">
        <f t="shared" si="13"/>
        <v>2.6880020083213108E-3</v>
      </c>
      <c r="Y66" s="222">
        <f t="shared" si="22"/>
        <v>6.546666666666674</v>
      </c>
      <c r="Z66" s="217">
        <f t="shared" si="14"/>
        <v>3.695135038929806E-2</v>
      </c>
      <c r="AA66" s="217">
        <f t="shared" si="15"/>
        <v>6.0816079456545991E-3</v>
      </c>
      <c r="AC66" s="188">
        <f t="shared" si="23"/>
        <v>65.352204622442216</v>
      </c>
      <c r="AD66" s="195">
        <f t="shared" si="24"/>
        <v>7.3425201352566409E-3</v>
      </c>
      <c r="AE66" s="195">
        <f t="shared" si="16"/>
        <v>3.4250794849977617E-2</v>
      </c>
      <c r="AG66" s="390">
        <f t="shared" si="25"/>
        <v>64.240572216692186</v>
      </c>
      <c r="AH66" s="221">
        <f t="shared" si="17"/>
        <v>9.0478030520845121E-3</v>
      </c>
      <c r="AI66" s="221">
        <f t="shared" si="18"/>
        <v>4.3334021266084544E-2</v>
      </c>
      <c r="AJ66" s="250">
        <f t="shared" si="26"/>
        <v>8399.5909090909081</v>
      </c>
      <c r="AK66" s="249"/>
      <c r="AL66" s="249">
        <f t="shared" si="19"/>
        <v>0.92314837423065677</v>
      </c>
      <c r="AM66" s="18">
        <f t="shared" si="20"/>
        <v>7.6851625769343235E-2</v>
      </c>
    </row>
    <row r="67" spans="1:39">
      <c r="V67" s="212">
        <f t="shared" si="21"/>
        <v>64.85555555555564</v>
      </c>
      <c r="W67" s="213">
        <f t="shared" si="29"/>
        <v>2.5325168255354441E-3</v>
      </c>
      <c r="X67" s="213">
        <f t="shared" si="13"/>
        <v>1.2972842311583799E-3</v>
      </c>
      <c r="Y67" s="222">
        <f t="shared" si="22"/>
        <v>6.6333333333333409</v>
      </c>
      <c r="Z67" s="217">
        <f t="shared" si="14"/>
        <v>2.2551116734174471E-2</v>
      </c>
      <c r="AA67" s="217">
        <f t="shared" si="15"/>
        <v>3.5485002626348683E-3</v>
      </c>
      <c r="AC67" s="188">
        <f t="shared" si="23"/>
        <v>66.373522474051185</v>
      </c>
      <c r="AD67" s="195">
        <f t="shared" si="24"/>
        <v>6.0182536099827972E-3</v>
      </c>
      <c r="AE67" s="195">
        <f t="shared" si="16"/>
        <v>2.7446700539188962E-2</v>
      </c>
      <c r="AG67" s="390">
        <f t="shared" si="25"/>
        <v>65.261890068301156</v>
      </c>
      <c r="AH67" s="221">
        <f t="shared" si="17"/>
        <v>7.4704262624022758E-3</v>
      </c>
      <c r="AI67" s="221">
        <f t="shared" si="18"/>
        <v>3.4919693478503655E-2</v>
      </c>
      <c r="AJ67" s="250">
        <f t="shared" si="26"/>
        <v>8631.931818181818</v>
      </c>
      <c r="AK67" s="249"/>
      <c r="AL67" s="249">
        <f t="shared" si="19"/>
        <v>0.937750183126832</v>
      </c>
      <c r="AM67" s="18">
        <f t="shared" si="20"/>
        <v>6.2249816873167996E-2</v>
      </c>
    </row>
    <row r="68" spans="1:39">
      <c r="V68" s="212">
        <f t="shared" si="21"/>
        <v>65.24000000000008</v>
      </c>
      <c r="W68" s="213">
        <f t="shared" si="29"/>
        <v>1.23779617962612E-3</v>
      </c>
      <c r="X68" s="213">
        <f t="shared" si="13"/>
        <v>5.9926163045842529E-4</v>
      </c>
      <c r="Y68" s="222">
        <f t="shared" si="22"/>
        <v>6.7200000000000077</v>
      </c>
      <c r="Z68" s="217">
        <f t="shared" si="14"/>
        <v>1.3394678706836837E-2</v>
      </c>
      <c r="AA68" s="217">
        <f t="shared" si="15"/>
        <v>2.021783624233553E-3</v>
      </c>
      <c r="AC68" s="188">
        <f t="shared" si="23"/>
        <v>67.394840325660155</v>
      </c>
      <c r="AD68" s="195">
        <f t="shared" si="24"/>
        <v>4.9015871816650387E-3</v>
      </c>
      <c r="AE68" s="195">
        <f t="shared" si="16"/>
        <v>2.1887015433934787E-2</v>
      </c>
      <c r="AG68" s="390">
        <f t="shared" si="25"/>
        <v>66.283207919910126</v>
      </c>
      <c r="AH68" s="221">
        <f t="shared" si="17"/>
        <v>6.1266337769782294E-3</v>
      </c>
      <c r="AI68" s="221">
        <f t="shared" si="18"/>
        <v>2.7995118300437993E-2</v>
      </c>
      <c r="AJ68" s="250">
        <f t="shared" si="26"/>
        <v>8864.2727272727279</v>
      </c>
      <c r="AK68" s="249"/>
      <c r="AL68" s="249">
        <f t="shared" si="19"/>
        <v>0.95081495950762041</v>
      </c>
      <c r="AM68" s="18">
        <f t="shared" si="20"/>
        <v>4.9185040492379595E-2</v>
      </c>
    </row>
    <row r="69" spans="1:39">
      <c r="V69" s="212">
        <f t="shared" si="21"/>
        <v>65.624444444444521</v>
      </c>
      <c r="W69" s="213">
        <f t="shared" si="29"/>
        <v>5.7724852259446807E-4</v>
      </c>
      <c r="X69" s="213">
        <f t="shared" si="13"/>
        <v>2.6507684577292689E-4</v>
      </c>
      <c r="Y69" s="222">
        <f t="shared" si="22"/>
        <v>6.8066666666666746</v>
      </c>
      <c r="Z69" s="217">
        <f t="shared" si="14"/>
        <v>7.7519356622849367E-3</v>
      </c>
      <c r="AA69" s="217">
        <f t="shared" si="15"/>
        <v>1.1257188084928815E-3</v>
      </c>
      <c r="AC69" s="188">
        <f t="shared" si="23"/>
        <v>68.416158177269125</v>
      </c>
      <c r="AD69" s="195">
        <f t="shared" si="24"/>
        <v>3.9681471020378339E-3</v>
      </c>
      <c r="AE69" s="195">
        <f t="shared" si="16"/>
        <v>1.7372173579524364E-2</v>
      </c>
      <c r="AG69" s="390">
        <f t="shared" si="25"/>
        <v>67.304525771519096</v>
      </c>
      <c r="AH69" s="221">
        <f t="shared" si="17"/>
        <v>4.9925937564784017E-3</v>
      </c>
      <c r="AI69" s="221">
        <f t="shared" si="18"/>
        <v>2.2333798860495468E-2</v>
      </c>
      <c r="AJ69" s="250">
        <f t="shared" si="26"/>
        <v>9096.6136363636379</v>
      </c>
      <c r="AK69" s="249"/>
      <c r="AL69" s="249">
        <f t="shared" si="19"/>
        <v>0.96234270337302186</v>
      </c>
      <c r="AM69" s="18">
        <f t="shared" si="20"/>
        <v>3.7657296626978143E-2</v>
      </c>
    </row>
    <row r="70" spans="1:39">
      <c r="V70" s="212">
        <f t="shared" si="21"/>
        <v>66.008888888888961</v>
      </c>
      <c r="W70" s="213">
        <f t="shared" si="29"/>
        <v>2.5707562001997005E-4</v>
      </c>
      <c r="X70" s="213">
        <f t="shared" si="13"/>
        <v>1.1233498302409828E-4</v>
      </c>
      <c r="Y70" s="222">
        <f t="shared" si="22"/>
        <v>6.8933333333333415</v>
      </c>
      <c r="Z70" s="217">
        <f t="shared" si="14"/>
        <v>4.3758817858964762E-3</v>
      </c>
      <c r="AA70" s="217">
        <f t="shared" si="15"/>
        <v>6.1301095837806852E-4</v>
      </c>
      <c r="AC70" s="188">
        <f t="shared" si="23"/>
        <v>69.437476028878095</v>
      </c>
      <c r="AD70" s="195">
        <f t="shared" si="24"/>
        <v>3.1941791527972815E-3</v>
      </c>
      <c r="AE70" s="195">
        <f t="shared" si="16"/>
        <v>1.3727261672224378E-2</v>
      </c>
      <c r="AG70" s="390">
        <f t="shared" si="25"/>
        <v>68.325843623128065</v>
      </c>
      <c r="AH70" s="221">
        <f t="shared" si="17"/>
        <v>4.0439235654173619E-3</v>
      </c>
      <c r="AI70" s="221">
        <f t="shared" si="18"/>
        <v>1.7733967435421327E-2</v>
      </c>
      <c r="AJ70" s="250">
        <f t="shared" si="26"/>
        <v>9328.9545454545478</v>
      </c>
      <c r="AK70" s="249"/>
      <c r="AL70" s="249">
        <f t="shared" si="19"/>
        <v>0.97233341472303658</v>
      </c>
      <c r="AM70" s="18">
        <f t="shared" si="20"/>
        <v>2.7666585276963418E-2</v>
      </c>
    </row>
    <row r="71" spans="1:39">
      <c r="V71" s="212">
        <f t="shared" si="21"/>
        <v>66.393333333333402</v>
      </c>
      <c r="W71" s="213">
        <f t="shared" si="29"/>
        <v>1.0942155934118644E-4</v>
      </c>
      <c r="X71" s="213">
        <f t="shared" si="13"/>
        <v>4.5632282809182634E-5</v>
      </c>
      <c r="Y71" s="222">
        <f t="shared" si="22"/>
        <v>6.9800000000000084</v>
      </c>
      <c r="Z71" s="217">
        <f t="shared" si="14"/>
        <v>2.4117967024130057E-3</v>
      </c>
      <c r="AA71" s="217">
        <f t="shared" si="15"/>
        <v>3.2672424040736114E-4</v>
      </c>
      <c r="AC71" s="188">
        <f t="shared" si="23"/>
        <v>70.458793880487065</v>
      </c>
      <c r="AD71" s="195">
        <f t="shared" si="24"/>
        <v>2.5572860734488509E-3</v>
      </c>
      <c r="AE71" s="195">
        <f t="shared" si="16"/>
        <v>1.0800984532157387E-2</v>
      </c>
      <c r="AG71" s="390">
        <f t="shared" si="25"/>
        <v>69.347161474737035</v>
      </c>
      <c r="AH71" s="221">
        <f t="shared" si="17"/>
        <v>3.2567801282284126E-3</v>
      </c>
      <c r="AI71" s="221">
        <f t="shared" si="18"/>
        <v>1.4018561313383637E-2</v>
      </c>
      <c r="AJ71" s="250">
        <f t="shared" si="26"/>
        <v>9561.2954545454577</v>
      </c>
      <c r="AK71" s="249"/>
      <c r="AL71" s="249">
        <f t="shared" si="19"/>
        <v>0.98078709355766436</v>
      </c>
      <c r="AM71" s="18">
        <f t="shared" si="20"/>
        <v>1.9212906442335642E-2</v>
      </c>
    </row>
    <row r="72" spans="1:39">
      <c r="V72" s="212">
        <f t="shared" si="21"/>
        <v>66.777777777777843</v>
      </c>
      <c r="W72" s="213">
        <f t="shared" si="29"/>
        <v>4.4549284886073929E-5</v>
      </c>
      <c r="X72" s="213">
        <f t="shared" si="13"/>
        <v>1.7777821564979313E-5</v>
      </c>
      <c r="Y72" s="222">
        <f t="shared" si="22"/>
        <v>7.0666666666666753</v>
      </c>
      <c r="Z72" s="217">
        <f t="shared" si="14"/>
        <v>1.2991433052949503E-3</v>
      </c>
      <c r="AA72" s="217">
        <f t="shared" si="15"/>
        <v>1.7056658005321079E-4</v>
      </c>
      <c r="AC72" s="188">
        <f t="shared" si="23"/>
        <v>71.480111732096034</v>
      </c>
      <c r="AD72" s="195">
        <f t="shared" si="24"/>
        <v>2.0368958883118845E-3</v>
      </c>
      <c r="AE72" s="195">
        <f t="shared" si="16"/>
        <v>8.464019480983076E-3</v>
      </c>
      <c r="AG72" s="390">
        <f t="shared" si="25"/>
        <v>70.368479326346005</v>
      </c>
      <c r="AH72" s="221">
        <f t="shared" si="17"/>
        <v>2.6086237601336444E-3</v>
      </c>
      <c r="AI72" s="221">
        <f t="shared" si="18"/>
        <v>1.1034256056489E-2</v>
      </c>
      <c r="AJ72" s="250">
        <f t="shared" si="26"/>
        <v>9793.6363636363676</v>
      </c>
      <c r="AK72" s="249"/>
      <c r="AL72" s="249">
        <f t="shared" si="19"/>
        <v>0.98770373987690518</v>
      </c>
      <c r="AM72" s="18">
        <f t="shared" si="20"/>
        <v>1.2296260123094815E-2</v>
      </c>
    </row>
    <row r="73" spans="1:39">
      <c r="A73" s="18" t="s">
        <v>44</v>
      </c>
      <c r="B73" s="18">
        <f>+B81-(B74*B80)</f>
        <v>3.0531489510021698E-4</v>
      </c>
      <c r="D73" s="18">
        <f>+D81-(D74*D80)</f>
        <v>-2.9182173100713281E-5</v>
      </c>
      <c r="V73" s="212">
        <f t="shared" si="21"/>
        <v>67.162222222222283</v>
      </c>
      <c r="W73" s="213">
        <f t="shared" si="29"/>
        <v>1.7362761458631386E-5</v>
      </c>
      <c r="X73" s="213">
        <f t="shared" si="13"/>
        <v>6.6462416636881017E-6</v>
      </c>
      <c r="Y73" s="222">
        <f t="shared" si="22"/>
        <v>7.1533333333333422</v>
      </c>
      <c r="Z73" s="217">
        <f t="shared" si="14"/>
        <v>6.8456832111871071E-4</v>
      </c>
      <c r="AA73" s="217">
        <f t="shared" si="15"/>
        <v>8.7281611443779106E-5</v>
      </c>
      <c r="AC73" s="188">
        <f t="shared" si="23"/>
        <v>72.501429583705004</v>
      </c>
      <c r="AD73" s="195">
        <f t="shared" si="24"/>
        <v>1.6145151208676065E-3</v>
      </c>
      <c r="AE73" s="195">
        <f t="shared" si="16"/>
        <v>6.6070067655626952E-3</v>
      </c>
      <c r="AG73" s="390">
        <f t="shared" si="25"/>
        <v>71.389797177954975</v>
      </c>
      <c r="AH73" s="221">
        <f t="shared" si="17"/>
        <v>2.0787080937277932E-3</v>
      </c>
      <c r="AI73" s="221">
        <f t="shared" si="18"/>
        <v>8.6498631473839183E-3</v>
      </c>
      <c r="AJ73" s="250">
        <f t="shared" si="26"/>
        <v>10025.977272727278</v>
      </c>
      <c r="AK73" s="249"/>
      <c r="AL73" s="249">
        <f t="shared" si="19"/>
        <v>0.99308335368075917</v>
      </c>
      <c r="AM73" s="18">
        <f t="shared" si="20"/>
        <v>6.9166463192408267E-3</v>
      </c>
    </row>
    <row r="74" spans="1:39">
      <c r="A74" s="18" t="s">
        <v>147</v>
      </c>
      <c r="B74" s="18">
        <f>+B76/B75</f>
        <v>-2.8472898918233422E-8</v>
      </c>
      <c r="D74" s="18">
        <f>+D76/D75</f>
        <v>5.8364346201426563E-8</v>
      </c>
      <c r="V74" s="212">
        <f t="shared" si="21"/>
        <v>67.546666666666724</v>
      </c>
      <c r="W74" s="213">
        <f t="shared" si="29"/>
        <v>6.4829725666665542E-6</v>
      </c>
      <c r="X74" s="213">
        <f t="shared" si="13"/>
        <v>2.3856784575615464E-6</v>
      </c>
      <c r="Y74" s="222">
        <f t="shared" si="22"/>
        <v>7.2400000000000091</v>
      </c>
      <c r="Z74" s="217">
        <f t="shared" si="14"/>
        <v>3.5318617665721058E-4</v>
      </c>
      <c r="AA74" s="217">
        <f t="shared" si="15"/>
        <v>4.3810286263767928E-5</v>
      </c>
      <c r="AC74" s="188">
        <f t="shared" si="23"/>
        <v>73.522747435313974</v>
      </c>
      <c r="AD74" s="195">
        <f t="shared" si="24"/>
        <v>1.2738176079891547E-3</v>
      </c>
      <c r="AE74" s="195">
        <f t="shared" si="16"/>
        <v>5.1383694180970885E-3</v>
      </c>
      <c r="AG74" s="390">
        <f t="shared" si="25"/>
        <v>72.411115029563945</v>
      </c>
      <c r="AH74" s="221">
        <f t="shared" si="17"/>
        <v>1.6483502014627248E-3</v>
      </c>
      <c r="AI74" s="221">
        <f t="shared" si="18"/>
        <v>6.7543440423766254E-3</v>
      </c>
      <c r="AJ74" s="250">
        <f t="shared" si="26"/>
        <v>10258.318181818187</v>
      </c>
      <c r="AK74" s="249"/>
      <c r="AL74" s="249">
        <f t="shared" si="19"/>
        <v>0.99692593496922632</v>
      </c>
      <c r="AM74" s="18">
        <f t="shared" si="20"/>
        <v>3.0740650307736761E-3</v>
      </c>
    </row>
    <row r="75" spans="1:39">
      <c r="A75" s="18" t="s">
        <v>334</v>
      </c>
      <c r="B75" s="18">
        <f>+B80-C80</f>
        <v>6871</v>
      </c>
      <c r="D75" s="18">
        <f>+D80-C80</f>
        <v>-3352</v>
      </c>
      <c r="V75" s="212">
        <f t="shared" si="21"/>
        <v>67.931111111111164</v>
      </c>
      <c r="W75" s="213">
        <f t="shared" si="29"/>
        <v>2.3207955701407173E-6</v>
      </c>
      <c r="X75" s="213">
        <f t="shared" si="13"/>
        <v>8.2268988343958682E-7</v>
      </c>
      <c r="Y75" s="222">
        <f t="shared" si="22"/>
        <v>7.326666666666676</v>
      </c>
      <c r="Z75" s="217">
        <f t="shared" si="14"/>
        <v>1.7856001277053143E-4</v>
      </c>
      <c r="AA75" s="217">
        <f t="shared" si="15"/>
        <v>2.1585066691698351E-5</v>
      </c>
      <c r="AC75" s="188">
        <f t="shared" si="23"/>
        <v>74.544065286922944</v>
      </c>
      <c r="AD75" s="195">
        <f t="shared" si="24"/>
        <v>1.0006138058690421E-3</v>
      </c>
      <c r="AE75" s="195">
        <f t="shared" si="16"/>
        <v>3.9821069685740396E-3</v>
      </c>
      <c r="AG75" s="390">
        <f t="shared" si="25"/>
        <v>73.432432881172915</v>
      </c>
      <c r="AH75" s="221">
        <f t="shared" si="17"/>
        <v>1.3010320414367667E-3</v>
      </c>
      <c r="AI75" s="221">
        <f t="shared" si="18"/>
        <v>5.2546386205338802E-3</v>
      </c>
      <c r="AJ75" s="250">
        <f t="shared" si="26"/>
        <v>10490.659090909097</v>
      </c>
      <c r="AK75" s="249"/>
      <c r="AL75" s="249">
        <f t="shared" si="19"/>
        <v>0.99923148374230664</v>
      </c>
      <c r="AM75" s="18">
        <f t="shared" si="20"/>
        <v>7.6851625769336351E-4</v>
      </c>
    </row>
    <row r="76" spans="1:39">
      <c r="A76" s="18" t="s">
        <v>333</v>
      </c>
      <c r="B76" s="18">
        <f>+B81-C81</f>
        <v>-1.9563728846718183E-4</v>
      </c>
      <c r="D76" s="18">
        <f>+D81-C81</f>
        <v>-1.9563728846718183E-4</v>
      </c>
      <c r="V76" s="212">
        <f t="shared" si="21"/>
        <v>68.315555555555605</v>
      </c>
      <c r="W76" s="213">
        <f t="shared" si="29"/>
        <v>7.9713151578643328E-7</v>
      </c>
      <c r="X76" s="213">
        <f t="shared" si="13"/>
        <v>2.7271006819429289E-7</v>
      </c>
      <c r="Y76" s="222">
        <f t="shared" si="22"/>
        <v>7.4133333333333429</v>
      </c>
      <c r="Z76" s="217">
        <f t="shared" si="14"/>
        <v>8.8533654005981913E-5</v>
      </c>
      <c r="AA76" s="217">
        <f t="shared" si="15"/>
        <v>1.044588057030893E-5</v>
      </c>
      <c r="AC76" s="188">
        <f t="shared" si="23"/>
        <v>75.565383138531914</v>
      </c>
      <c r="AD76" s="195">
        <f t="shared" si="24"/>
        <v>7.8273845328408697E-4</v>
      </c>
      <c r="AE76" s="195">
        <f t="shared" si="16"/>
        <v>3.0756651084472564E-3</v>
      </c>
      <c r="AG76" s="390">
        <f t="shared" si="25"/>
        <v>74.453750732781884</v>
      </c>
      <c r="AH76" s="221">
        <f t="shared" si="17"/>
        <v>1.0223786984541231E-3</v>
      </c>
      <c r="AI76" s="221">
        <f t="shared" si="18"/>
        <v>4.073456525244934E-3</v>
      </c>
      <c r="AJ76" s="250">
        <f t="shared" si="26"/>
        <v>10723.000000000007</v>
      </c>
      <c r="AK76" s="249"/>
      <c r="AL76" s="249">
        <f t="shared" si="19"/>
        <v>1</v>
      </c>
      <c r="AM76" s="18">
        <f t="shared" si="20"/>
        <v>0</v>
      </c>
    </row>
    <row r="77" spans="1:39">
      <c r="B77" s="522"/>
      <c r="C77" s="192"/>
      <c r="D77" s="192"/>
    </row>
    <row r="78" spans="1:39">
      <c r="B78" s="192"/>
      <c r="C78" s="192"/>
      <c r="D78" s="192"/>
    </row>
    <row r="79" spans="1:39">
      <c r="B79" s="46" t="s">
        <v>106</v>
      </c>
      <c r="C79" s="46" t="s">
        <v>108</v>
      </c>
      <c r="D79" s="46" t="s">
        <v>107</v>
      </c>
    </row>
    <row r="80" spans="1:39">
      <c r="A80" s="18" t="s">
        <v>32</v>
      </c>
      <c r="B80" s="18">
        <f>+ROUND(Input_Data!$D$10,2)</f>
        <v>10723</v>
      </c>
      <c r="C80" s="18">
        <f>+ROUND(Input_Data!$E$10,2)</f>
        <v>3852</v>
      </c>
      <c r="D80" s="18">
        <f>+ROUND(Input_Data!$F$10,2)</f>
        <v>500</v>
      </c>
    </row>
    <row r="81" spans="1:5">
      <c r="A81" s="18" t="s">
        <v>33</v>
      </c>
      <c r="B81" s="18">
        <v>0</v>
      </c>
      <c r="C81" s="18">
        <f>2/(B80-D80)</f>
        <v>1.9563728846718183E-4</v>
      </c>
      <c r="D81" s="18">
        <v>0</v>
      </c>
    </row>
    <row r="83" spans="1:5">
      <c r="A83" s="523">
        <f>+B80-D80</f>
        <v>10223</v>
      </c>
      <c r="B83" s="18">
        <f>+A83/A84</f>
        <v>511.15</v>
      </c>
      <c r="C83" s="18">
        <v>0</v>
      </c>
      <c r="D83" s="192"/>
    </row>
    <row r="84" spans="1:5">
      <c r="A84" s="18">
        <v>20</v>
      </c>
      <c r="D84" s="192"/>
    </row>
    <row r="85" spans="1:5">
      <c r="A85" s="18">
        <v>1</v>
      </c>
      <c r="B85" s="192">
        <f>+D80</f>
        <v>500</v>
      </c>
      <c r="C85" s="524">
        <f>+($D$74*B85)+$D$73</f>
        <v>0</v>
      </c>
      <c r="D85" s="524">
        <f>+($B$74*B85)+$B$73</f>
        <v>2.9107844564110026E-4</v>
      </c>
      <c r="E85" s="18">
        <f>+IF(B85&lt;$C$80,C85,D85)</f>
        <v>0</v>
      </c>
    </row>
    <row r="86" spans="1:5">
      <c r="A86" s="18">
        <v>2</v>
      </c>
      <c r="B86" s="192">
        <f t="shared" ref="B86:B95" si="30">+B85+$B$83</f>
        <v>1011.15</v>
      </c>
      <c r="C86" s="524">
        <f t="shared" ref="C86:C105" si="31">+($D$74*B86)+$D$73</f>
        <v>2.9832935560859186E-5</v>
      </c>
      <c r="D86" s="524">
        <f t="shared" ref="D86:D105" si="32">+($B$74*B86)+$B$73</f>
        <v>2.7652452335904528E-4</v>
      </c>
      <c r="E86" s="18">
        <f t="shared" ref="E86:E105" si="33">+IF(B86&lt;$C$80,C86,D86)</f>
        <v>2.9832935560859186E-5</v>
      </c>
    </row>
    <row r="87" spans="1:5">
      <c r="A87" s="18">
        <v>3</v>
      </c>
      <c r="B87" s="192">
        <f t="shared" si="30"/>
        <v>1522.3</v>
      </c>
      <c r="C87" s="524">
        <f t="shared" si="31"/>
        <v>5.9665871121718372E-5</v>
      </c>
      <c r="D87" s="524">
        <f t="shared" si="32"/>
        <v>2.6197060107699025E-4</v>
      </c>
      <c r="E87" s="18">
        <f t="shared" si="33"/>
        <v>5.9665871121718372E-5</v>
      </c>
    </row>
    <row r="88" spans="1:5">
      <c r="A88" s="18">
        <v>4</v>
      </c>
      <c r="B88" s="192">
        <f t="shared" si="30"/>
        <v>2033.4499999999998</v>
      </c>
      <c r="C88" s="524">
        <f t="shared" si="31"/>
        <v>8.9498806682577551E-5</v>
      </c>
      <c r="D88" s="524">
        <f t="shared" si="32"/>
        <v>2.4741667879493522E-4</v>
      </c>
      <c r="E88" s="18">
        <f t="shared" si="33"/>
        <v>8.9498806682577551E-5</v>
      </c>
    </row>
    <row r="89" spans="1:5">
      <c r="A89" s="18">
        <v>5</v>
      </c>
      <c r="B89" s="192">
        <f t="shared" si="30"/>
        <v>2544.6</v>
      </c>
      <c r="C89" s="524">
        <f t="shared" si="31"/>
        <v>1.1933174224343674E-4</v>
      </c>
      <c r="D89" s="524">
        <f t="shared" si="32"/>
        <v>2.3286275651288022E-4</v>
      </c>
      <c r="E89" s="18">
        <f t="shared" si="33"/>
        <v>1.1933174224343674E-4</v>
      </c>
    </row>
    <row r="90" spans="1:5">
      <c r="A90" s="18">
        <v>6</v>
      </c>
      <c r="B90" s="192">
        <f t="shared" si="30"/>
        <v>3055.75</v>
      </c>
      <c r="C90" s="524">
        <f t="shared" si="31"/>
        <v>1.4916467780429595E-4</v>
      </c>
      <c r="D90" s="524">
        <f t="shared" si="32"/>
        <v>2.1830883423082522E-4</v>
      </c>
      <c r="E90" s="18">
        <f t="shared" si="33"/>
        <v>1.4916467780429595E-4</v>
      </c>
    </row>
    <row r="91" spans="1:5">
      <c r="A91" s="18">
        <v>7</v>
      </c>
      <c r="B91" s="192">
        <f t="shared" si="30"/>
        <v>3566.9</v>
      </c>
      <c r="C91" s="524">
        <f t="shared" si="31"/>
        <v>1.7899761336515513E-4</v>
      </c>
      <c r="D91" s="524">
        <f t="shared" si="32"/>
        <v>2.0375491194877019E-4</v>
      </c>
      <c r="E91" s="18">
        <f t="shared" si="33"/>
        <v>1.7899761336515513E-4</v>
      </c>
    </row>
    <row r="92" spans="1:5">
      <c r="A92" s="18">
        <v>8</v>
      </c>
      <c r="B92" s="192">
        <f t="shared" si="30"/>
        <v>4078.05</v>
      </c>
      <c r="C92" s="524">
        <f t="shared" si="31"/>
        <v>2.0883054892601433E-4</v>
      </c>
      <c r="D92" s="524">
        <f t="shared" si="32"/>
        <v>1.8920098966671516E-4</v>
      </c>
      <c r="E92" s="18">
        <f t="shared" si="33"/>
        <v>1.8920098966671516E-4</v>
      </c>
    </row>
    <row r="93" spans="1:5">
      <c r="A93" s="18">
        <v>9</v>
      </c>
      <c r="B93" s="192">
        <f t="shared" si="30"/>
        <v>4589.2</v>
      </c>
      <c r="C93" s="524">
        <f t="shared" si="31"/>
        <v>2.3866348448687349E-4</v>
      </c>
      <c r="D93" s="524">
        <f t="shared" si="32"/>
        <v>1.7464706738466016E-4</v>
      </c>
      <c r="E93" s="18">
        <f t="shared" si="33"/>
        <v>1.7464706738466016E-4</v>
      </c>
    </row>
    <row r="94" spans="1:5">
      <c r="A94" s="18">
        <v>10</v>
      </c>
      <c r="B94" s="192">
        <f t="shared" si="30"/>
        <v>5100.3499999999995</v>
      </c>
      <c r="C94" s="524">
        <f t="shared" si="31"/>
        <v>2.6849642004773267E-4</v>
      </c>
      <c r="D94" s="524">
        <f t="shared" si="32"/>
        <v>1.6009314510260516E-4</v>
      </c>
      <c r="E94" s="18">
        <f t="shared" si="33"/>
        <v>1.6009314510260516E-4</v>
      </c>
    </row>
    <row r="95" spans="1:5">
      <c r="A95" s="18">
        <v>11</v>
      </c>
      <c r="B95" s="192">
        <f t="shared" si="30"/>
        <v>5611.4999999999991</v>
      </c>
      <c r="C95" s="524">
        <f t="shared" si="31"/>
        <v>2.9832935560859184E-4</v>
      </c>
      <c r="D95" s="524">
        <f t="shared" si="32"/>
        <v>1.4553922282055015E-4</v>
      </c>
      <c r="E95" s="18">
        <f t="shared" si="33"/>
        <v>1.4553922282055015E-4</v>
      </c>
    </row>
    <row r="96" spans="1:5">
      <c r="A96" s="18">
        <v>12</v>
      </c>
      <c r="B96" s="192">
        <f t="shared" ref="B96:B105" si="34">+B95+$B$83</f>
        <v>6122.6499999999987</v>
      </c>
      <c r="C96" s="524">
        <f t="shared" si="31"/>
        <v>3.2816229116945097E-4</v>
      </c>
      <c r="D96" s="524">
        <f t="shared" si="32"/>
        <v>1.3098530053849515E-4</v>
      </c>
      <c r="E96" s="18">
        <f t="shared" si="33"/>
        <v>1.3098530053849515E-4</v>
      </c>
    </row>
    <row r="97" spans="1:5">
      <c r="A97" s="18">
        <v>13</v>
      </c>
      <c r="B97" s="192">
        <f t="shared" si="34"/>
        <v>6633.7999999999984</v>
      </c>
      <c r="C97" s="524">
        <f t="shared" si="31"/>
        <v>3.5799522673031015E-4</v>
      </c>
      <c r="D97" s="524">
        <f t="shared" si="32"/>
        <v>1.1643137825644015E-4</v>
      </c>
      <c r="E97" s="18">
        <f t="shared" si="33"/>
        <v>1.1643137825644015E-4</v>
      </c>
    </row>
    <row r="98" spans="1:5">
      <c r="A98" s="18">
        <v>14</v>
      </c>
      <c r="B98" s="192">
        <f t="shared" si="34"/>
        <v>7144.949999999998</v>
      </c>
      <c r="C98" s="524">
        <f t="shared" si="31"/>
        <v>3.8782816229116933E-4</v>
      </c>
      <c r="D98" s="524">
        <f t="shared" si="32"/>
        <v>1.0187745597438515E-4</v>
      </c>
      <c r="E98" s="18">
        <f t="shared" si="33"/>
        <v>1.0187745597438515E-4</v>
      </c>
    </row>
    <row r="99" spans="1:5">
      <c r="A99" s="18">
        <v>15</v>
      </c>
      <c r="B99" s="192">
        <f t="shared" si="34"/>
        <v>7656.0999999999976</v>
      </c>
      <c r="C99" s="524">
        <f t="shared" si="31"/>
        <v>4.1766109785202851E-4</v>
      </c>
      <c r="D99" s="524">
        <f t="shared" si="32"/>
        <v>8.7323533692330147E-5</v>
      </c>
      <c r="E99" s="18">
        <f t="shared" si="33"/>
        <v>8.7323533692330147E-5</v>
      </c>
    </row>
    <row r="100" spans="1:5">
      <c r="A100" s="18">
        <v>16</v>
      </c>
      <c r="B100" s="192">
        <f t="shared" si="34"/>
        <v>8167.2499999999973</v>
      </c>
      <c r="C100" s="524">
        <f t="shared" si="31"/>
        <v>4.4749403341288763E-4</v>
      </c>
      <c r="D100" s="524">
        <f t="shared" si="32"/>
        <v>7.2769611410275145E-5</v>
      </c>
      <c r="E100" s="18">
        <f t="shared" si="33"/>
        <v>7.2769611410275145E-5</v>
      </c>
    </row>
    <row r="101" spans="1:5">
      <c r="A101" s="18">
        <v>17</v>
      </c>
      <c r="B101" s="192">
        <f t="shared" si="34"/>
        <v>8678.3999999999978</v>
      </c>
      <c r="C101" s="524">
        <f t="shared" si="31"/>
        <v>4.7732696897374692E-4</v>
      </c>
      <c r="D101" s="524">
        <f t="shared" si="32"/>
        <v>5.8215689128220116E-5</v>
      </c>
      <c r="E101" s="18">
        <f t="shared" si="33"/>
        <v>5.8215689128220116E-5</v>
      </c>
    </row>
    <row r="102" spans="1:5">
      <c r="A102" s="18">
        <v>18</v>
      </c>
      <c r="B102" s="192">
        <f t="shared" si="34"/>
        <v>9189.5499999999975</v>
      </c>
      <c r="C102" s="524">
        <f t="shared" si="31"/>
        <v>5.0715990453460594E-4</v>
      </c>
      <c r="D102" s="524">
        <f t="shared" si="32"/>
        <v>4.3661766846165087E-5</v>
      </c>
      <c r="E102" s="18">
        <f t="shared" si="33"/>
        <v>4.3661766846165087E-5</v>
      </c>
    </row>
    <row r="103" spans="1:5">
      <c r="A103" s="18">
        <v>19</v>
      </c>
      <c r="B103" s="192">
        <f t="shared" si="34"/>
        <v>9700.6999999999971</v>
      </c>
      <c r="C103" s="524">
        <f t="shared" si="31"/>
        <v>5.3699284009546522E-4</v>
      </c>
      <c r="D103" s="524">
        <f t="shared" si="32"/>
        <v>2.9107844564110112E-5</v>
      </c>
      <c r="E103" s="18">
        <f t="shared" si="33"/>
        <v>2.9107844564110112E-5</v>
      </c>
    </row>
    <row r="104" spans="1:5">
      <c r="A104" s="18">
        <v>20</v>
      </c>
      <c r="B104" s="192">
        <f t="shared" si="34"/>
        <v>10211.849999999997</v>
      </c>
      <c r="C104" s="524">
        <f t="shared" si="31"/>
        <v>5.6682577565632429E-4</v>
      </c>
      <c r="D104" s="524">
        <f t="shared" si="32"/>
        <v>1.4553922282055083E-5</v>
      </c>
      <c r="E104" s="18">
        <f t="shared" si="33"/>
        <v>1.4553922282055083E-5</v>
      </c>
    </row>
    <row r="105" spans="1:5">
      <c r="A105" s="18">
        <v>21</v>
      </c>
      <c r="B105" s="192">
        <f t="shared" si="34"/>
        <v>10722.999999999996</v>
      </c>
      <c r="C105" s="524">
        <f t="shared" si="31"/>
        <v>5.9665871121718358E-4</v>
      </c>
      <c r="D105" s="524">
        <f t="shared" si="32"/>
        <v>0</v>
      </c>
      <c r="E105" s="18">
        <f t="shared" si="33"/>
        <v>0</v>
      </c>
    </row>
    <row r="107" spans="1:5">
      <c r="B107" s="192">
        <f>+B85</f>
        <v>500</v>
      </c>
      <c r="C107" s="552">
        <v>-2.5000000000000001E-5</v>
      </c>
    </row>
    <row r="108" spans="1:5">
      <c r="B108" s="192">
        <f>+B105</f>
        <v>10722.999999999996</v>
      </c>
      <c r="C108" s="18">
        <f>+C107</f>
        <v>-2.5000000000000001E-5</v>
      </c>
    </row>
  </sheetData>
  <pageMargins left="0.7" right="0.7" top="0.75" bottom="0.75" header="0.3" footer="0.3"/>
  <pageSetup orientation="portrait" horizontalDpi="300" verticalDpi="0" copies="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4"/>
  <sheetViews>
    <sheetView workbookViewId="0"/>
  </sheetViews>
  <sheetFormatPr defaultRowHeight="14.4"/>
  <cols>
    <col min="1" max="4" width="36.6640625" customWidth="1"/>
  </cols>
  <sheetData>
    <row r="1" spans="1:4">
      <c r="A1" s="84" t="s">
        <v>87</v>
      </c>
    </row>
    <row r="3" spans="1:4">
      <c r="A3" t="s">
        <v>88</v>
      </c>
      <c r="B3" t="s">
        <v>89</v>
      </c>
      <c r="C3">
        <v>0</v>
      </c>
    </row>
    <row r="4" spans="1:4">
      <c r="A4" t="s">
        <v>90</v>
      </c>
    </row>
    <row r="5" spans="1:4">
      <c r="A5" t="s">
        <v>91</v>
      </c>
    </row>
    <row r="7" spans="1:4">
      <c r="A7" s="84" t="s">
        <v>92</v>
      </c>
      <c r="B7" t="s">
        <v>93</v>
      </c>
    </row>
    <row r="8" spans="1:4">
      <c r="B8">
        <v>4</v>
      </c>
    </row>
    <row r="10" spans="1:4">
      <c r="A10" t="s">
        <v>94</v>
      </c>
    </row>
    <row r="11" spans="1:4">
      <c r="A11" t="e">
        <f>CB_DATA_!#REF!</f>
        <v>#REF!</v>
      </c>
      <c r="B11" t="e">
        <f>Forecast_Variables_CB!#REF!</f>
        <v>#REF!</v>
      </c>
      <c r="C11" t="e">
        <f>Input_Data!#REF!</f>
        <v>#REF!</v>
      </c>
      <c r="D11" t="e">
        <f>'Poro vs Sw Corr'!#REF!</f>
        <v>#REF!</v>
      </c>
    </row>
    <row r="13" spans="1:4">
      <c r="A13" t="s">
        <v>95</v>
      </c>
    </row>
    <row r="14" spans="1:4">
      <c r="A14" t="s">
        <v>103</v>
      </c>
      <c r="B14" s="85" t="s">
        <v>99</v>
      </c>
      <c r="C14" t="s">
        <v>105</v>
      </c>
      <c r="D14" t="s">
        <v>336</v>
      </c>
    </row>
    <row r="16" spans="1:4">
      <c r="A16" t="s">
        <v>96</v>
      </c>
    </row>
    <row r="19" spans="1:4">
      <c r="A19" t="s">
        <v>97</v>
      </c>
    </row>
    <row r="20" spans="1:4">
      <c r="A20">
        <v>34</v>
      </c>
      <c r="B20">
        <v>31</v>
      </c>
      <c r="C20">
        <v>31</v>
      </c>
      <c r="D20">
        <v>26</v>
      </c>
    </row>
    <row r="25" spans="1:4">
      <c r="A25" s="84" t="s">
        <v>98</v>
      </c>
    </row>
    <row r="26" spans="1:4">
      <c r="A26" s="85" t="s">
        <v>102</v>
      </c>
      <c r="B26" s="85" t="s">
        <v>100</v>
      </c>
      <c r="C26" s="85" t="s">
        <v>100</v>
      </c>
    </row>
    <row r="27" spans="1:4">
      <c r="A27" t="s">
        <v>346</v>
      </c>
      <c r="B27" t="s">
        <v>354</v>
      </c>
      <c r="C27" t="s">
        <v>356</v>
      </c>
    </row>
    <row r="28" spans="1:4">
      <c r="A28" s="85" t="s">
        <v>101</v>
      </c>
      <c r="B28" s="85" t="s">
        <v>101</v>
      </c>
      <c r="C28" s="85" t="s">
        <v>101</v>
      </c>
    </row>
    <row r="29" spans="1:4">
      <c r="A29" s="85" t="s">
        <v>329</v>
      </c>
      <c r="B29" s="85" t="s">
        <v>102</v>
      </c>
      <c r="C29" s="85" t="s">
        <v>102</v>
      </c>
    </row>
    <row r="30" spans="1:4">
      <c r="A30" t="s">
        <v>355</v>
      </c>
      <c r="B30" t="s">
        <v>348</v>
      </c>
      <c r="C30" t="s">
        <v>349</v>
      </c>
    </row>
    <row r="31" spans="1:4">
      <c r="A31" s="85" t="s">
        <v>101</v>
      </c>
      <c r="B31" s="85" t="s">
        <v>101</v>
      </c>
      <c r="C31" s="85" t="s">
        <v>101</v>
      </c>
    </row>
    <row r="32" spans="1:4">
      <c r="A32" s="85" t="s">
        <v>330</v>
      </c>
    </row>
    <row r="33" spans="1:1">
      <c r="A33" t="s">
        <v>347</v>
      </c>
    </row>
    <row r="34" spans="1:1">
      <c r="A34" s="85" t="s">
        <v>322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39997558519241921"/>
  </sheetPr>
  <dimension ref="B4:S210"/>
  <sheetViews>
    <sheetView showGridLines="0" workbookViewId="0">
      <selection activeCell="D6" sqref="D6"/>
    </sheetView>
  </sheetViews>
  <sheetFormatPr defaultRowHeight="14.4"/>
  <cols>
    <col min="2" max="2" width="8.6640625" style="527" customWidth="1"/>
    <col min="3" max="3" width="13.44140625" style="527" customWidth="1"/>
    <col min="4" max="4" width="13.44140625" customWidth="1"/>
    <col min="5" max="5" width="3.33203125" customWidth="1"/>
    <col min="6" max="8" width="19.33203125" customWidth="1"/>
    <col min="9" max="12" width="15.6640625" customWidth="1"/>
    <col min="13" max="13" width="4.109375" customWidth="1"/>
    <col min="14" max="15" width="9.109375" style="530"/>
  </cols>
  <sheetData>
    <row r="4" spans="2:19">
      <c r="O4" s="531"/>
    </row>
    <row r="5" spans="2:19">
      <c r="B5" s="534" t="s">
        <v>337</v>
      </c>
      <c r="C5" s="535"/>
      <c r="D5" s="541">
        <v>0.8</v>
      </c>
      <c r="O5" s="531"/>
      <c r="S5" s="529"/>
    </row>
    <row r="6" spans="2:19">
      <c r="B6" s="525"/>
      <c r="C6" s="525"/>
      <c r="O6" s="533">
        <v>1.5999999999999996</v>
      </c>
      <c r="S6" s="529"/>
    </row>
    <row r="7" spans="2:19">
      <c r="B7" s="526"/>
      <c r="C7" s="526" t="s">
        <v>130</v>
      </c>
      <c r="D7" s="526" t="s">
        <v>30</v>
      </c>
      <c r="N7" s="526"/>
      <c r="O7" s="526" t="s">
        <v>30</v>
      </c>
      <c r="P7" s="526" t="s">
        <v>130</v>
      </c>
      <c r="S7" s="529"/>
    </row>
    <row r="8" spans="2:19">
      <c r="B8" s="526" t="s">
        <v>12</v>
      </c>
      <c r="C8" s="526" t="s">
        <v>131</v>
      </c>
      <c r="D8" s="526" t="s">
        <v>131</v>
      </c>
      <c r="N8" s="526" t="s">
        <v>12</v>
      </c>
      <c r="O8" s="526" t="s">
        <v>131</v>
      </c>
      <c r="P8" s="526" t="s">
        <v>131</v>
      </c>
      <c r="S8" s="529"/>
    </row>
    <row r="9" spans="2:19">
      <c r="B9" s="377" t="s">
        <v>182</v>
      </c>
      <c r="C9" s="377" t="s">
        <v>182</v>
      </c>
      <c r="D9" s="377" t="s">
        <v>182</v>
      </c>
      <c r="N9" s="377" t="s">
        <v>182</v>
      </c>
      <c r="O9" s="377" t="s">
        <v>182</v>
      </c>
      <c r="P9" s="377" t="s">
        <v>182</v>
      </c>
      <c r="S9" s="529"/>
    </row>
    <row r="10" spans="2:19">
      <c r="B10" s="532">
        <v>0</v>
      </c>
      <c r="C10" s="532">
        <v>100</v>
      </c>
      <c r="D10" s="531">
        <f>100-C10</f>
        <v>0</v>
      </c>
      <c r="N10" s="531">
        <v>0</v>
      </c>
      <c r="O10" s="531"/>
      <c r="P10" s="528"/>
      <c r="S10" s="529"/>
    </row>
    <row r="11" spans="2:19">
      <c r="B11" s="532">
        <v>0.5</v>
      </c>
      <c r="C11" s="532">
        <v>99.5</v>
      </c>
      <c r="D11" s="531">
        <f t="shared" ref="D11:D40" si="0">100-C11</f>
        <v>0.5</v>
      </c>
      <c r="N11" s="531">
        <v>0.25</v>
      </c>
      <c r="O11" s="531">
        <v>0.5</v>
      </c>
      <c r="P11" s="528">
        <v>99.5</v>
      </c>
      <c r="S11" s="529"/>
    </row>
    <row r="12" spans="2:19">
      <c r="B12" s="532">
        <v>1</v>
      </c>
      <c r="C12" s="532">
        <v>99</v>
      </c>
      <c r="D12" s="531">
        <f t="shared" si="0"/>
        <v>1</v>
      </c>
      <c r="N12" s="531">
        <v>0.5</v>
      </c>
      <c r="O12" s="531">
        <v>1</v>
      </c>
      <c r="P12" s="528">
        <v>99</v>
      </c>
      <c r="S12" s="529"/>
    </row>
    <row r="13" spans="2:19">
      <c r="B13" s="532">
        <v>1.5</v>
      </c>
      <c r="C13" s="532">
        <v>94.5</v>
      </c>
      <c r="D13" s="531">
        <f t="shared" si="0"/>
        <v>5.5</v>
      </c>
      <c r="N13" s="531">
        <v>0.75</v>
      </c>
      <c r="O13" s="531">
        <v>1.5</v>
      </c>
      <c r="P13" s="528">
        <v>98.5</v>
      </c>
      <c r="S13" s="529"/>
    </row>
    <row r="14" spans="2:19">
      <c r="B14" s="532">
        <v>2</v>
      </c>
      <c r="C14" s="532">
        <v>90</v>
      </c>
      <c r="D14" s="531">
        <f t="shared" si="0"/>
        <v>10</v>
      </c>
      <c r="N14" s="531">
        <v>1</v>
      </c>
      <c r="O14" s="531">
        <v>3.5999999999999996</v>
      </c>
      <c r="P14" s="528">
        <v>96.4</v>
      </c>
      <c r="S14" s="529"/>
    </row>
    <row r="15" spans="2:19">
      <c r="B15" s="532">
        <v>2.5</v>
      </c>
      <c r="C15" s="532">
        <v>97.5</v>
      </c>
      <c r="D15" s="531">
        <f t="shared" si="0"/>
        <v>2.5</v>
      </c>
      <c r="N15" s="531">
        <v>1.25</v>
      </c>
      <c r="O15" s="531">
        <v>0.90000000000000036</v>
      </c>
      <c r="P15" s="528">
        <v>99.1</v>
      </c>
      <c r="S15" s="529"/>
    </row>
    <row r="16" spans="2:19">
      <c r="B16" s="532">
        <v>3</v>
      </c>
      <c r="C16" s="532">
        <v>89</v>
      </c>
      <c r="D16" s="531">
        <f t="shared" si="0"/>
        <v>11</v>
      </c>
      <c r="N16" s="531">
        <v>1.5</v>
      </c>
      <c r="O16" s="531">
        <v>1.4000000000000004</v>
      </c>
      <c r="P16" s="528">
        <v>98.6</v>
      </c>
      <c r="S16" s="529"/>
    </row>
    <row r="17" spans="2:16">
      <c r="B17" s="532">
        <v>3.5</v>
      </c>
      <c r="C17" s="532">
        <v>88.5</v>
      </c>
      <c r="D17" s="531">
        <f t="shared" si="0"/>
        <v>11.5</v>
      </c>
      <c r="N17" s="531">
        <v>1.75</v>
      </c>
      <c r="O17" s="531">
        <v>3.5</v>
      </c>
      <c r="P17" s="528">
        <v>96.5</v>
      </c>
    </row>
    <row r="18" spans="2:16">
      <c r="B18" s="532">
        <v>4</v>
      </c>
      <c r="C18" s="532">
        <v>80</v>
      </c>
      <c r="D18" s="531">
        <f t="shared" si="0"/>
        <v>20</v>
      </c>
      <c r="N18" s="531">
        <v>2</v>
      </c>
      <c r="O18" s="531">
        <v>2.4000000000000004</v>
      </c>
      <c r="P18" s="528">
        <v>97.6</v>
      </c>
    </row>
    <row r="19" spans="2:16">
      <c r="B19" s="532">
        <v>4.5</v>
      </c>
      <c r="C19" s="532">
        <v>83.5</v>
      </c>
      <c r="D19" s="531">
        <f t="shared" si="0"/>
        <v>16.5</v>
      </c>
      <c r="N19" s="531">
        <v>2.25</v>
      </c>
      <c r="O19" s="531">
        <v>2.9000000000000004</v>
      </c>
      <c r="P19" s="528">
        <v>97.1</v>
      </c>
    </row>
    <row r="20" spans="2:16">
      <c r="B20" s="532">
        <v>5</v>
      </c>
      <c r="C20" s="532">
        <v>83</v>
      </c>
      <c r="D20" s="531">
        <f t="shared" si="0"/>
        <v>17</v>
      </c>
      <c r="N20" s="531">
        <v>2.5</v>
      </c>
      <c r="O20" s="531">
        <v>5</v>
      </c>
      <c r="P20" s="528">
        <v>95</v>
      </c>
    </row>
    <row r="21" spans="2:16">
      <c r="B21" s="532">
        <v>5.5</v>
      </c>
      <c r="C21" s="532">
        <v>74.5</v>
      </c>
      <c r="D21" s="531">
        <f t="shared" si="0"/>
        <v>25.5</v>
      </c>
      <c r="N21" s="531">
        <v>2.75</v>
      </c>
      <c r="O21" s="531">
        <v>8.6999999999999993</v>
      </c>
      <c r="P21" s="528">
        <v>91.3</v>
      </c>
    </row>
    <row r="22" spans="2:16">
      <c r="B22" s="532">
        <v>6</v>
      </c>
      <c r="C22" s="532">
        <v>70</v>
      </c>
      <c r="D22" s="531">
        <f t="shared" si="0"/>
        <v>30</v>
      </c>
      <c r="N22" s="531">
        <v>3</v>
      </c>
      <c r="O22" s="531">
        <v>6</v>
      </c>
      <c r="P22" s="528">
        <v>94</v>
      </c>
    </row>
    <row r="23" spans="2:16">
      <c r="B23" s="532">
        <v>6.5</v>
      </c>
      <c r="C23" s="532">
        <v>77.5</v>
      </c>
      <c r="D23" s="531">
        <f t="shared" si="0"/>
        <v>22.5</v>
      </c>
      <c r="N23" s="531">
        <v>3.25</v>
      </c>
      <c r="O23" s="531">
        <v>8.1</v>
      </c>
      <c r="P23" s="528">
        <v>91.9</v>
      </c>
    </row>
    <row r="24" spans="2:16">
      <c r="B24" s="532">
        <v>7</v>
      </c>
      <c r="C24" s="532">
        <v>69</v>
      </c>
      <c r="D24" s="531">
        <f t="shared" si="0"/>
        <v>31</v>
      </c>
      <c r="N24" s="531">
        <v>3.5</v>
      </c>
      <c r="O24" s="531">
        <v>7</v>
      </c>
      <c r="P24" s="528">
        <v>93</v>
      </c>
    </row>
    <row r="25" spans="2:16">
      <c r="B25" s="532">
        <v>7.5</v>
      </c>
      <c r="C25" s="532">
        <v>88.5</v>
      </c>
      <c r="D25" s="531">
        <f t="shared" si="0"/>
        <v>11.5</v>
      </c>
      <c r="N25" s="531">
        <v>3.75</v>
      </c>
      <c r="O25" s="531">
        <v>5.9</v>
      </c>
      <c r="P25" s="528">
        <v>94.1</v>
      </c>
    </row>
    <row r="26" spans="2:16">
      <c r="B26" s="532">
        <v>8</v>
      </c>
      <c r="C26" s="532">
        <v>60</v>
      </c>
      <c r="D26" s="531">
        <f t="shared" si="0"/>
        <v>40</v>
      </c>
      <c r="N26" s="531">
        <v>4</v>
      </c>
      <c r="O26" s="531">
        <v>4.8000000000000007</v>
      </c>
      <c r="P26" s="528">
        <v>95.2</v>
      </c>
    </row>
    <row r="27" spans="2:16">
      <c r="B27" s="532">
        <v>8.5</v>
      </c>
      <c r="C27" s="532">
        <v>87.5</v>
      </c>
      <c r="D27" s="531">
        <f t="shared" si="0"/>
        <v>12.5</v>
      </c>
      <c r="N27" s="531">
        <v>4.25</v>
      </c>
      <c r="O27" s="531">
        <v>10.1</v>
      </c>
      <c r="P27" s="528">
        <v>89.9</v>
      </c>
    </row>
    <row r="28" spans="2:16">
      <c r="B28" s="532">
        <v>9</v>
      </c>
      <c r="C28" s="532">
        <v>79</v>
      </c>
      <c r="D28" s="531">
        <f t="shared" si="0"/>
        <v>21</v>
      </c>
      <c r="N28" s="531">
        <v>4.5</v>
      </c>
      <c r="O28" s="531">
        <v>7.4</v>
      </c>
      <c r="P28" s="528">
        <v>92.6</v>
      </c>
    </row>
    <row r="29" spans="2:16">
      <c r="B29" s="532">
        <v>9.5</v>
      </c>
      <c r="C29" s="532">
        <v>82.5</v>
      </c>
      <c r="D29" s="531">
        <f t="shared" si="0"/>
        <v>17.5</v>
      </c>
      <c r="N29" s="531">
        <v>4.75</v>
      </c>
      <c r="O29" s="531">
        <v>9.5</v>
      </c>
      <c r="P29" s="528">
        <v>90.5</v>
      </c>
    </row>
    <row r="30" spans="2:16">
      <c r="B30" s="532">
        <v>10</v>
      </c>
      <c r="C30" s="532">
        <v>90</v>
      </c>
      <c r="D30" s="531">
        <f t="shared" si="0"/>
        <v>10</v>
      </c>
      <c r="N30" s="531">
        <v>5</v>
      </c>
      <c r="O30" s="531">
        <v>8.4</v>
      </c>
      <c r="P30" s="528">
        <v>91.6</v>
      </c>
    </row>
    <row r="31" spans="2:16">
      <c r="B31" s="532">
        <v>10.5</v>
      </c>
      <c r="C31" s="532">
        <v>73.5</v>
      </c>
      <c r="D31" s="531">
        <f t="shared" si="0"/>
        <v>26.5</v>
      </c>
      <c r="N31" s="531">
        <v>5.25</v>
      </c>
      <c r="O31" s="531">
        <v>4.1000000000000014</v>
      </c>
      <c r="P31" s="528">
        <v>95.9</v>
      </c>
    </row>
    <row r="32" spans="2:16">
      <c r="B32" s="532">
        <v>11</v>
      </c>
      <c r="C32" s="532">
        <v>77</v>
      </c>
      <c r="D32" s="531">
        <f t="shared" si="0"/>
        <v>23</v>
      </c>
      <c r="N32" s="531">
        <v>5.5</v>
      </c>
      <c r="O32" s="531">
        <v>9.4</v>
      </c>
      <c r="P32" s="528">
        <v>90.6</v>
      </c>
    </row>
    <row r="33" spans="2:16">
      <c r="B33" s="532">
        <v>11.5</v>
      </c>
      <c r="C33" s="532">
        <v>72.5</v>
      </c>
      <c r="D33" s="531">
        <f t="shared" si="0"/>
        <v>27.5</v>
      </c>
      <c r="N33" s="531">
        <v>5.75</v>
      </c>
      <c r="O33" s="531">
        <v>8.3000000000000007</v>
      </c>
      <c r="P33" s="528">
        <v>91.7</v>
      </c>
    </row>
    <row r="34" spans="2:16">
      <c r="B34" s="532">
        <v>12</v>
      </c>
      <c r="C34" s="532">
        <v>72</v>
      </c>
      <c r="D34" s="531">
        <f t="shared" si="0"/>
        <v>28</v>
      </c>
      <c r="N34" s="531">
        <v>6</v>
      </c>
      <c r="O34" s="531">
        <v>15.2</v>
      </c>
      <c r="P34" s="528">
        <v>84.8</v>
      </c>
    </row>
    <row r="35" spans="2:16">
      <c r="B35" s="532">
        <v>12.5</v>
      </c>
      <c r="C35" s="532">
        <v>75.5</v>
      </c>
      <c r="D35" s="531">
        <f t="shared" si="0"/>
        <v>24.5</v>
      </c>
      <c r="N35" s="531">
        <v>6.25</v>
      </c>
      <c r="O35" s="531">
        <v>12.5</v>
      </c>
      <c r="P35" s="528">
        <v>87.5</v>
      </c>
    </row>
    <row r="36" spans="2:16">
      <c r="B36" s="532">
        <v>13</v>
      </c>
      <c r="C36" s="532">
        <v>75</v>
      </c>
      <c r="D36" s="531">
        <f t="shared" si="0"/>
        <v>25</v>
      </c>
      <c r="N36" s="531">
        <v>6.5</v>
      </c>
      <c r="O36" s="531">
        <v>8.2000000000000011</v>
      </c>
      <c r="P36" s="528">
        <v>91.8</v>
      </c>
    </row>
    <row r="37" spans="2:16">
      <c r="B37" s="532">
        <v>13.5</v>
      </c>
      <c r="C37" s="532">
        <v>42.5</v>
      </c>
      <c r="D37" s="531">
        <f t="shared" si="0"/>
        <v>57.5</v>
      </c>
      <c r="N37" s="531">
        <v>6.75</v>
      </c>
      <c r="O37" s="531">
        <v>7.1000000000000014</v>
      </c>
      <c r="P37" s="528">
        <v>92.9</v>
      </c>
    </row>
    <row r="38" spans="2:16">
      <c r="B38" s="532">
        <v>14</v>
      </c>
      <c r="C38" s="532">
        <v>70</v>
      </c>
      <c r="D38" s="531">
        <f t="shared" si="0"/>
        <v>30</v>
      </c>
      <c r="N38" s="531">
        <v>7</v>
      </c>
      <c r="O38" s="531">
        <v>2.8000000000000025</v>
      </c>
      <c r="P38" s="528">
        <v>97.2</v>
      </c>
    </row>
    <row r="39" spans="2:16">
      <c r="B39" s="532">
        <v>14.5</v>
      </c>
      <c r="C39" s="532">
        <v>65.5</v>
      </c>
      <c r="D39" s="531">
        <f t="shared" si="0"/>
        <v>34.5</v>
      </c>
      <c r="N39" s="531">
        <v>7.25</v>
      </c>
      <c r="O39" s="531">
        <v>22.5</v>
      </c>
      <c r="P39" s="528">
        <v>77.5</v>
      </c>
    </row>
    <row r="40" spans="2:16">
      <c r="B40" s="532">
        <v>15</v>
      </c>
      <c r="C40" s="532">
        <v>85</v>
      </c>
      <c r="D40" s="531">
        <f t="shared" si="0"/>
        <v>15</v>
      </c>
      <c r="N40" s="531">
        <v>7.5</v>
      </c>
      <c r="O40" s="531">
        <v>18.2</v>
      </c>
      <c r="P40" s="528">
        <v>81.8</v>
      </c>
    </row>
    <row r="41" spans="2:16">
      <c r="N41" s="531">
        <v>7.75</v>
      </c>
      <c r="O41" s="531">
        <v>21.9</v>
      </c>
      <c r="P41" s="528">
        <v>78.099999999999994</v>
      </c>
    </row>
    <row r="42" spans="2:16">
      <c r="N42" s="531">
        <v>8</v>
      </c>
      <c r="O42" s="531">
        <v>27.199999999999996</v>
      </c>
      <c r="P42" s="528">
        <v>72.800000000000011</v>
      </c>
    </row>
    <row r="43" spans="2:16">
      <c r="N43" s="531">
        <v>8.25</v>
      </c>
      <c r="O43" s="531">
        <v>8.5000000000000018</v>
      </c>
      <c r="P43" s="528">
        <v>91.5</v>
      </c>
    </row>
    <row r="44" spans="2:16">
      <c r="N44" s="531">
        <v>8.5</v>
      </c>
      <c r="O44" s="531">
        <v>7.4000000000000021</v>
      </c>
      <c r="P44" s="528">
        <v>92.6</v>
      </c>
    </row>
    <row r="45" spans="2:16">
      <c r="N45" s="531">
        <v>8.75</v>
      </c>
      <c r="O45" s="531">
        <v>6.3000000000000025</v>
      </c>
      <c r="P45" s="528">
        <v>93.7</v>
      </c>
    </row>
    <row r="46" spans="2:16">
      <c r="N46" s="531">
        <v>9</v>
      </c>
      <c r="O46" s="531">
        <v>26</v>
      </c>
      <c r="P46" s="528">
        <v>74</v>
      </c>
    </row>
    <row r="47" spans="2:16">
      <c r="N47" s="531">
        <v>9.25</v>
      </c>
      <c r="O47" s="531">
        <v>13.700000000000001</v>
      </c>
      <c r="P47" s="528">
        <v>86.3</v>
      </c>
    </row>
    <row r="48" spans="2:16">
      <c r="N48" s="531">
        <v>9.5</v>
      </c>
      <c r="O48" s="531">
        <v>31.799999999999997</v>
      </c>
      <c r="P48" s="528">
        <v>68.2</v>
      </c>
    </row>
    <row r="49" spans="14:16">
      <c r="N49" s="531">
        <v>9.75</v>
      </c>
      <c r="O49" s="531">
        <v>32.299999999999997</v>
      </c>
      <c r="P49" s="528">
        <v>67.7</v>
      </c>
    </row>
    <row r="50" spans="14:16">
      <c r="N50" s="531">
        <v>10</v>
      </c>
      <c r="O50" s="531">
        <v>4.0000000000000036</v>
      </c>
      <c r="P50" s="528">
        <v>96</v>
      </c>
    </row>
    <row r="51" spans="14:16">
      <c r="N51" s="531">
        <v>10.25</v>
      </c>
      <c r="O51" s="531">
        <v>6.1000000000000032</v>
      </c>
      <c r="P51" s="528">
        <v>93.899999999999991</v>
      </c>
    </row>
    <row r="52" spans="14:16">
      <c r="N52" s="531">
        <v>10.5</v>
      </c>
      <c r="O52" s="531">
        <v>24.2</v>
      </c>
      <c r="P52" s="528">
        <v>75.8</v>
      </c>
    </row>
    <row r="53" spans="14:16">
      <c r="N53" s="531">
        <v>10.75</v>
      </c>
      <c r="O53" s="531">
        <v>13.500000000000002</v>
      </c>
      <c r="P53" s="528">
        <v>86.5</v>
      </c>
    </row>
    <row r="54" spans="14:16">
      <c r="N54" s="531">
        <v>11</v>
      </c>
      <c r="O54" s="531">
        <v>30</v>
      </c>
      <c r="P54" s="528">
        <v>70</v>
      </c>
    </row>
    <row r="55" spans="14:16">
      <c r="N55" s="531">
        <v>11.25</v>
      </c>
      <c r="O55" s="531">
        <v>19.3</v>
      </c>
      <c r="P55" s="528">
        <v>80.7</v>
      </c>
    </row>
    <row r="56" spans="14:16">
      <c r="N56" s="531">
        <v>11.5</v>
      </c>
      <c r="O56" s="531">
        <v>35.799999999999997</v>
      </c>
      <c r="P56" s="528">
        <v>64.2</v>
      </c>
    </row>
    <row r="57" spans="14:16">
      <c r="N57" s="531">
        <v>11.75</v>
      </c>
      <c r="O57" s="531">
        <v>9.1000000000000032</v>
      </c>
      <c r="P57" s="528">
        <v>90.899999999999991</v>
      </c>
    </row>
    <row r="58" spans="14:16">
      <c r="N58" s="531">
        <v>12</v>
      </c>
      <c r="O58" s="531">
        <v>16</v>
      </c>
      <c r="P58" s="528">
        <v>84</v>
      </c>
    </row>
    <row r="59" spans="14:16">
      <c r="N59" s="531">
        <v>12.25</v>
      </c>
      <c r="O59" s="531">
        <v>19.700000000000003</v>
      </c>
      <c r="P59" s="528">
        <v>80.3</v>
      </c>
    </row>
    <row r="60" spans="14:16">
      <c r="N60" s="531">
        <v>12.5</v>
      </c>
      <c r="O60" s="531">
        <v>18.600000000000001</v>
      </c>
      <c r="P60" s="528">
        <v>81.400000000000006</v>
      </c>
    </row>
    <row r="61" spans="14:16">
      <c r="N61" s="531">
        <v>12.75</v>
      </c>
      <c r="O61" s="531">
        <v>14.300000000000002</v>
      </c>
      <c r="P61" s="528">
        <v>85.7</v>
      </c>
    </row>
    <row r="62" spans="14:16">
      <c r="N62" s="531">
        <v>13</v>
      </c>
      <c r="O62" s="531">
        <v>13.200000000000003</v>
      </c>
      <c r="P62" s="528">
        <v>86.8</v>
      </c>
    </row>
    <row r="63" spans="14:16">
      <c r="N63" s="531">
        <v>13.25</v>
      </c>
      <c r="O63" s="531">
        <v>45.699999999999996</v>
      </c>
      <c r="P63" s="528">
        <v>54.300000000000004</v>
      </c>
    </row>
    <row r="64" spans="14:16">
      <c r="N64" s="531">
        <v>13.5</v>
      </c>
      <c r="O64" s="531">
        <v>9.4000000000000057</v>
      </c>
      <c r="P64" s="528">
        <v>90.6</v>
      </c>
    </row>
    <row r="65" spans="14:16">
      <c r="N65" s="531">
        <v>13.75</v>
      </c>
      <c r="O65" s="531">
        <v>35.5</v>
      </c>
      <c r="P65" s="528">
        <v>64.5</v>
      </c>
    </row>
    <row r="66" spans="14:16">
      <c r="N66" s="531">
        <v>14</v>
      </c>
      <c r="O66" s="531">
        <v>10.400000000000006</v>
      </c>
      <c r="P66" s="528">
        <v>89.6</v>
      </c>
    </row>
    <row r="67" spans="14:16">
      <c r="N67" s="531">
        <v>14.25</v>
      </c>
      <c r="O67" s="531">
        <v>18.900000000000002</v>
      </c>
      <c r="P67" s="528">
        <v>81.099999999999994</v>
      </c>
    </row>
    <row r="68" spans="14:16">
      <c r="N68" s="531">
        <v>14.5</v>
      </c>
      <c r="O68" s="531">
        <v>32.200000000000003</v>
      </c>
      <c r="P68" s="528">
        <v>67.8</v>
      </c>
    </row>
    <row r="69" spans="14:16">
      <c r="N69" s="531">
        <v>14.75</v>
      </c>
      <c r="O69" s="531">
        <v>43.9</v>
      </c>
      <c r="P69" s="528">
        <v>56.1</v>
      </c>
    </row>
    <row r="70" spans="14:16">
      <c r="N70" s="531">
        <v>15</v>
      </c>
      <c r="O70" s="531">
        <v>34.799999999999997</v>
      </c>
      <c r="P70" s="528">
        <v>65.2</v>
      </c>
    </row>
    <row r="71" spans="14:16">
      <c r="N71" s="531">
        <v>15.25</v>
      </c>
      <c r="O71" s="531">
        <v>36.9</v>
      </c>
      <c r="P71" s="528">
        <v>63.1</v>
      </c>
    </row>
    <row r="72" spans="14:16">
      <c r="N72" s="531">
        <v>15.5</v>
      </c>
      <c r="O72" s="531">
        <v>31</v>
      </c>
      <c r="P72" s="528">
        <v>69</v>
      </c>
    </row>
    <row r="73" spans="14:16">
      <c r="N73" s="531">
        <v>15.75</v>
      </c>
      <c r="O73" s="531">
        <v>26.700000000000003</v>
      </c>
      <c r="P73" s="528">
        <v>73.3</v>
      </c>
    </row>
    <row r="74" spans="14:16">
      <c r="N74" s="531">
        <v>16</v>
      </c>
      <c r="O74" s="531">
        <v>48</v>
      </c>
      <c r="P74" s="528">
        <v>52</v>
      </c>
    </row>
    <row r="75" spans="14:16">
      <c r="N75" s="531">
        <v>16.25</v>
      </c>
      <c r="O75" s="531">
        <v>43.699999999999996</v>
      </c>
      <c r="P75" s="528">
        <v>56.300000000000004</v>
      </c>
    </row>
    <row r="76" spans="14:16">
      <c r="N76" s="531">
        <v>16.5</v>
      </c>
      <c r="O76" s="531">
        <v>23.400000000000002</v>
      </c>
      <c r="P76" s="528">
        <v>76.599999999999994</v>
      </c>
    </row>
    <row r="77" spans="14:16">
      <c r="N77" s="531">
        <v>16.75</v>
      </c>
      <c r="O77" s="531">
        <v>47.9</v>
      </c>
      <c r="P77" s="528">
        <v>52.1</v>
      </c>
    </row>
    <row r="78" spans="14:16">
      <c r="N78" s="531">
        <v>17</v>
      </c>
      <c r="O78" s="531">
        <v>24.400000000000002</v>
      </c>
      <c r="P78" s="528">
        <v>75.599999999999994</v>
      </c>
    </row>
    <row r="79" spans="14:16">
      <c r="N79" s="531">
        <v>17.25</v>
      </c>
      <c r="O79" s="531">
        <v>18.500000000000004</v>
      </c>
      <c r="P79" s="528">
        <v>81.5</v>
      </c>
    </row>
    <row r="80" spans="14:16">
      <c r="N80" s="531">
        <v>17.5</v>
      </c>
      <c r="O80" s="531">
        <v>51</v>
      </c>
      <c r="P80" s="528">
        <v>49</v>
      </c>
    </row>
    <row r="81" spans="14:16">
      <c r="N81" s="531">
        <v>17.75</v>
      </c>
      <c r="O81" s="531">
        <v>8.3000000000000043</v>
      </c>
      <c r="P81" s="528">
        <v>91.699999999999989</v>
      </c>
    </row>
    <row r="82" spans="14:16">
      <c r="N82" s="531">
        <v>18</v>
      </c>
      <c r="O82" s="531">
        <v>7.2000000000000064</v>
      </c>
      <c r="P82" s="528">
        <v>92.8</v>
      </c>
    </row>
    <row r="83" spans="14:16">
      <c r="N83" s="531">
        <v>18.25</v>
      </c>
      <c r="O83" s="531">
        <v>22.1</v>
      </c>
      <c r="P83" s="528">
        <v>77.900000000000006</v>
      </c>
    </row>
    <row r="84" spans="14:16">
      <c r="N84" s="531">
        <v>18.5</v>
      </c>
      <c r="O84" s="531">
        <v>14.600000000000005</v>
      </c>
      <c r="P84" s="528">
        <v>85.399999999999991</v>
      </c>
    </row>
    <row r="85" spans="14:16">
      <c r="N85" s="531">
        <v>18.75</v>
      </c>
      <c r="O85" s="531">
        <v>47.099999999999994</v>
      </c>
      <c r="P85" s="528">
        <v>52.900000000000006</v>
      </c>
    </row>
    <row r="86" spans="14:16">
      <c r="N86" s="531">
        <v>19</v>
      </c>
      <c r="O86" s="531">
        <v>12.400000000000006</v>
      </c>
      <c r="P86" s="528">
        <v>87.6</v>
      </c>
    </row>
    <row r="87" spans="14:16">
      <c r="N87" s="531">
        <v>19.25</v>
      </c>
      <c r="O87" s="531">
        <v>20.900000000000006</v>
      </c>
      <c r="P87" s="528">
        <v>79.099999999999994</v>
      </c>
    </row>
    <row r="88" spans="14:16">
      <c r="N88" s="531">
        <v>19.5</v>
      </c>
      <c r="O88" s="531">
        <v>40.6</v>
      </c>
      <c r="P88" s="528">
        <v>59.4</v>
      </c>
    </row>
    <row r="89" spans="14:16">
      <c r="N89" s="531">
        <v>19.75</v>
      </c>
      <c r="O89" s="531">
        <v>26.700000000000003</v>
      </c>
      <c r="P89" s="528">
        <v>73.3</v>
      </c>
    </row>
    <row r="90" spans="14:16">
      <c r="N90" s="531">
        <v>20</v>
      </c>
      <c r="O90" s="531">
        <v>56</v>
      </c>
      <c r="P90" s="528">
        <v>44</v>
      </c>
    </row>
    <row r="91" spans="14:16">
      <c r="N91" s="531">
        <v>20.25</v>
      </c>
      <c r="O91" s="531">
        <v>26.1</v>
      </c>
      <c r="P91" s="528">
        <v>73.900000000000006</v>
      </c>
    </row>
    <row r="92" spans="14:16">
      <c r="N92" s="531">
        <v>20.5</v>
      </c>
      <c r="O92" s="531">
        <v>31.400000000000002</v>
      </c>
      <c r="P92" s="528">
        <v>68.599999999999994</v>
      </c>
    </row>
    <row r="93" spans="14:16">
      <c r="N93" s="531">
        <v>20.75</v>
      </c>
      <c r="O93" s="531">
        <v>36.700000000000003</v>
      </c>
      <c r="P93" s="528">
        <v>63.3</v>
      </c>
    </row>
    <row r="94" spans="14:16">
      <c r="N94" s="531">
        <v>21</v>
      </c>
      <c r="O94" s="531">
        <v>50</v>
      </c>
      <c r="P94" s="528">
        <v>50</v>
      </c>
    </row>
    <row r="95" spans="14:16">
      <c r="N95" s="531">
        <v>21.25</v>
      </c>
      <c r="O95" s="531">
        <v>58.5</v>
      </c>
      <c r="P95" s="528">
        <v>41.5</v>
      </c>
    </row>
    <row r="96" spans="14:16">
      <c r="N96" s="531">
        <v>21.5</v>
      </c>
      <c r="O96" s="531">
        <v>75</v>
      </c>
      <c r="P96" s="528">
        <v>25</v>
      </c>
    </row>
    <row r="97" spans="14:16">
      <c r="N97" s="531">
        <v>21.75</v>
      </c>
      <c r="O97" s="531">
        <v>73.899999999999991</v>
      </c>
      <c r="P97" s="528">
        <v>26.100000000000009</v>
      </c>
    </row>
    <row r="98" spans="14:16">
      <c r="N98" s="531">
        <v>22</v>
      </c>
      <c r="O98" s="531">
        <v>77.599999999999994</v>
      </c>
      <c r="P98" s="528">
        <v>22.400000000000006</v>
      </c>
    </row>
    <row r="99" spans="14:16">
      <c r="N99" s="531">
        <v>22.25</v>
      </c>
      <c r="O99" s="531">
        <v>49.3</v>
      </c>
      <c r="P99" s="528">
        <v>50.7</v>
      </c>
    </row>
    <row r="100" spans="14:16">
      <c r="N100" s="531">
        <v>22.5</v>
      </c>
      <c r="O100" s="531">
        <v>25.800000000000004</v>
      </c>
      <c r="P100" s="528">
        <v>74.199999999999989</v>
      </c>
    </row>
    <row r="101" spans="14:16">
      <c r="N101" s="531">
        <v>22.75</v>
      </c>
      <c r="O101" s="531">
        <v>23.100000000000005</v>
      </c>
      <c r="P101" s="528">
        <v>76.899999999999991</v>
      </c>
    </row>
    <row r="102" spans="14:16">
      <c r="N102" s="531">
        <v>23</v>
      </c>
      <c r="O102" s="531">
        <v>34.800000000000004</v>
      </c>
      <c r="P102" s="528">
        <v>65.199999999999989</v>
      </c>
    </row>
    <row r="103" spans="14:16">
      <c r="N103" s="531">
        <v>23.25</v>
      </c>
      <c r="O103" s="531">
        <v>52.9</v>
      </c>
      <c r="P103" s="528">
        <v>47.1</v>
      </c>
    </row>
    <row r="104" spans="14:16">
      <c r="N104" s="531">
        <v>23.5</v>
      </c>
      <c r="O104" s="531">
        <v>67.8</v>
      </c>
      <c r="P104" s="528">
        <v>32.200000000000003</v>
      </c>
    </row>
    <row r="105" spans="14:16">
      <c r="N105" s="531">
        <v>23.75</v>
      </c>
      <c r="O105" s="531">
        <v>34.700000000000003</v>
      </c>
      <c r="P105" s="528">
        <v>65.3</v>
      </c>
    </row>
    <row r="106" spans="14:16">
      <c r="N106" s="531">
        <v>24</v>
      </c>
      <c r="O106" s="531">
        <v>81.599999999999994</v>
      </c>
      <c r="P106" s="528">
        <v>18.400000000000006</v>
      </c>
    </row>
    <row r="107" spans="14:16">
      <c r="N107" s="531">
        <v>24.25</v>
      </c>
      <c r="O107" s="531">
        <v>21.300000000000004</v>
      </c>
      <c r="P107" s="528">
        <v>78.699999999999989</v>
      </c>
    </row>
    <row r="108" spans="14:16">
      <c r="N108" s="531">
        <v>24.5</v>
      </c>
      <c r="O108" s="531">
        <v>73</v>
      </c>
      <c r="P108" s="528">
        <v>27</v>
      </c>
    </row>
    <row r="109" spans="14:16">
      <c r="N109" s="531">
        <v>24.75</v>
      </c>
      <c r="O109" s="531">
        <v>15.900000000000006</v>
      </c>
      <c r="P109" s="528">
        <v>84.1</v>
      </c>
    </row>
    <row r="110" spans="14:16">
      <c r="N110" s="531">
        <v>25</v>
      </c>
      <c r="O110" s="531">
        <v>69.199999999999989</v>
      </c>
      <c r="P110" s="528">
        <v>30.800000000000011</v>
      </c>
    </row>
    <row r="111" spans="14:16">
      <c r="N111" s="531">
        <v>25.25</v>
      </c>
      <c r="O111" s="531">
        <v>21.700000000000006</v>
      </c>
      <c r="P111" s="528">
        <v>78.3</v>
      </c>
    </row>
    <row r="112" spans="14:16">
      <c r="N112" s="531">
        <v>25.5</v>
      </c>
      <c r="O112" s="531">
        <v>17.400000000000006</v>
      </c>
      <c r="P112" s="528">
        <v>82.6</v>
      </c>
    </row>
    <row r="113" spans="14:16">
      <c r="N113" s="531">
        <v>25.75</v>
      </c>
      <c r="O113" s="531">
        <v>70.699999999999989</v>
      </c>
      <c r="P113" s="528">
        <v>29.300000000000011</v>
      </c>
    </row>
    <row r="114" spans="14:16">
      <c r="N114" s="531">
        <v>26</v>
      </c>
      <c r="O114" s="531">
        <v>26.400000000000006</v>
      </c>
      <c r="P114" s="528">
        <v>73.599999999999994</v>
      </c>
    </row>
    <row r="115" spans="14:16">
      <c r="N115" s="531">
        <v>26.25</v>
      </c>
      <c r="O115" s="531">
        <v>79.699999999999989</v>
      </c>
      <c r="P115" s="528">
        <v>20.300000000000011</v>
      </c>
    </row>
    <row r="116" spans="14:16">
      <c r="N116" s="531">
        <v>26.5</v>
      </c>
      <c r="O116" s="531">
        <v>19.400000000000006</v>
      </c>
      <c r="P116" s="528">
        <v>80.599999999999994</v>
      </c>
    </row>
    <row r="117" spans="14:16">
      <c r="N117" s="531">
        <v>26.75</v>
      </c>
      <c r="O117" s="531">
        <v>58.3</v>
      </c>
      <c r="P117" s="528">
        <v>41.7</v>
      </c>
    </row>
    <row r="118" spans="14:16">
      <c r="N118" s="531">
        <v>27</v>
      </c>
      <c r="O118" s="531">
        <v>26.800000000000004</v>
      </c>
      <c r="P118" s="528">
        <v>73.199999999999989</v>
      </c>
    </row>
    <row r="119" spans="14:16">
      <c r="N119" s="531">
        <v>27.25</v>
      </c>
      <c r="O119" s="531">
        <v>65.7</v>
      </c>
      <c r="P119" s="528">
        <v>34.299999999999997</v>
      </c>
    </row>
    <row r="120" spans="14:16">
      <c r="N120" s="531">
        <v>27.5</v>
      </c>
      <c r="O120" s="531">
        <v>31.000000000000007</v>
      </c>
      <c r="P120" s="528">
        <v>69</v>
      </c>
    </row>
    <row r="121" spans="14:16">
      <c r="N121" s="531">
        <v>27.75</v>
      </c>
      <c r="O121" s="531">
        <v>47.5</v>
      </c>
      <c r="P121" s="528">
        <v>52.5</v>
      </c>
    </row>
    <row r="122" spans="14:16">
      <c r="N122" s="531">
        <v>28</v>
      </c>
      <c r="O122" s="531">
        <v>33.600000000000009</v>
      </c>
      <c r="P122" s="528">
        <v>66.399999999999991</v>
      </c>
    </row>
    <row r="123" spans="14:16">
      <c r="N123" s="531">
        <v>28.25</v>
      </c>
      <c r="O123" s="531">
        <v>46.900000000000006</v>
      </c>
      <c r="P123" s="528">
        <v>53.099999999999994</v>
      </c>
    </row>
    <row r="124" spans="14:16">
      <c r="N124" s="531">
        <v>28.5</v>
      </c>
      <c r="O124" s="531">
        <v>71.399999999999991</v>
      </c>
      <c r="P124" s="528">
        <v>28.600000000000009</v>
      </c>
    </row>
    <row r="125" spans="14:16">
      <c r="N125" s="531">
        <v>28.75</v>
      </c>
      <c r="O125" s="531">
        <v>33.500000000000007</v>
      </c>
      <c r="P125" s="528">
        <v>66.5</v>
      </c>
    </row>
    <row r="126" spans="14:16">
      <c r="N126" s="531">
        <v>29</v>
      </c>
      <c r="O126" s="531">
        <v>80.399999999999991</v>
      </c>
      <c r="P126" s="528">
        <v>19.600000000000009</v>
      </c>
    </row>
    <row r="127" spans="14:16">
      <c r="N127" s="531">
        <v>29.25</v>
      </c>
      <c r="O127" s="531">
        <v>77.699999999999989</v>
      </c>
      <c r="P127" s="528">
        <v>22.300000000000011</v>
      </c>
    </row>
    <row r="128" spans="14:16">
      <c r="N128" s="531">
        <v>29.5</v>
      </c>
      <c r="O128" s="531">
        <v>91</v>
      </c>
      <c r="P128" s="528">
        <v>9</v>
      </c>
    </row>
    <row r="129" spans="14:16">
      <c r="N129" s="531">
        <v>29.75</v>
      </c>
      <c r="O129" s="531">
        <v>64.3</v>
      </c>
      <c r="P129" s="528">
        <v>35.700000000000003</v>
      </c>
    </row>
    <row r="130" spans="14:16">
      <c r="N130" s="531">
        <v>30</v>
      </c>
      <c r="O130" s="531">
        <v>31.200000000000006</v>
      </c>
      <c r="P130" s="528">
        <v>68.8</v>
      </c>
    </row>
    <row r="131" spans="14:16">
      <c r="N131" s="531">
        <v>30.25</v>
      </c>
      <c r="O131" s="531">
        <v>60.5</v>
      </c>
      <c r="P131" s="528">
        <v>39.5</v>
      </c>
    </row>
    <row r="132" spans="14:16">
      <c r="N132" s="531">
        <v>30.5</v>
      </c>
      <c r="O132" s="531">
        <v>85</v>
      </c>
      <c r="P132" s="528">
        <v>15</v>
      </c>
    </row>
    <row r="133" spans="14:16">
      <c r="N133" s="531">
        <v>30.75</v>
      </c>
      <c r="O133" s="531">
        <v>71.099999999999994</v>
      </c>
      <c r="P133" s="528">
        <v>28.900000000000006</v>
      </c>
    </row>
    <row r="134" spans="14:16">
      <c r="N134" s="531">
        <v>31</v>
      </c>
      <c r="O134" s="531">
        <v>84.399999999999991</v>
      </c>
      <c r="P134" s="528">
        <v>15.600000000000009</v>
      </c>
    </row>
    <row r="135" spans="14:16">
      <c r="N135" s="531">
        <v>31.25</v>
      </c>
      <c r="O135" s="531">
        <v>60.9</v>
      </c>
      <c r="P135" s="528">
        <v>39.1</v>
      </c>
    </row>
    <row r="136" spans="14:16">
      <c r="N136" s="531">
        <v>31.5</v>
      </c>
      <c r="O136" s="531">
        <v>42.2</v>
      </c>
      <c r="P136" s="528">
        <v>57.8</v>
      </c>
    </row>
    <row r="137" spans="14:16">
      <c r="N137" s="531">
        <v>31.75</v>
      </c>
      <c r="O137" s="531">
        <v>49.1</v>
      </c>
      <c r="P137" s="528">
        <v>50.9</v>
      </c>
    </row>
    <row r="138" spans="14:16">
      <c r="N138" s="531">
        <v>32</v>
      </c>
      <c r="O138" s="531">
        <v>91.199999999999989</v>
      </c>
      <c r="P138" s="528">
        <v>8.8000000000000114</v>
      </c>
    </row>
    <row r="139" spans="14:16">
      <c r="N139" s="531">
        <v>32.25</v>
      </c>
      <c r="O139" s="531">
        <v>91.699999999999989</v>
      </c>
      <c r="P139" s="528">
        <v>8.3000000000000114</v>
      </c>
    </row>
    <row r="140" spans="14:16">
      <c r="N140" s="531">
        <v>32.5</v>
      </c>
      <c r="O140" s="531">
        <v>76.2</v>
      </c>
      <c r="P140" s="528">
        <v>23.799999999999997</v>
      </c>
    </row>
    <row r="141" spans="14:16">
      <c r="N141" s="531">
        <v>32.75</v>
      </c>
      <c r="O141" s="531">
        <v>55.900000000000006</v>
      </c>
      <c r="P141" s="528">
        <v>44.099999999999994</v>
      </c>
    </row>
    <row r="142" spans="14:16">
      <c r="N142" s="531">
        <v>33</v>
      </c>
      <c r="O142" s="531">
        <v>82</v>
      </c>
      <c r="P142" s="528">
        <v>18</v>
      </c>
    </row>
    <row r="143" spans="14:16">
      <c r="N143" s="531">
        <v>33.25</v>
      </c>
      <c r="O143" s="531">
        <v>92.1</v>
      </c>
      <c r="P143" s="528">
        <v>7.9000000000000057</v>
      </c>
    </row>
    <row r="144" spans="14:16">
      <c r="N144" s="531">
        <v>33.5</v>
      </c>
      <c r="O144" s="531">
        <v>75</v>
      </c>
      <c r="P144" s="528">
        <v>25</v>
      </c>
    </row>
    <row r="145" spans="14:16">
      <c r="N145" s="531">
        <v>33.75</v>
      </c>
      <c r="O145" s="531">
        <v>70.7</v>
      </c>
      <c r="P145" s="528">
        <v>29.299999999999997</v>
      </c>
    </row>
    <row r="146" spans="14:16">
      <c r="N146" s="531">
        <v>34</v>
      </c>
      <c r="O146" s="531">
        <v>58.400000000000006</v>
      </c>
      <c r="P146" s="528">
        <v>41.599999999999994</v>
      </c>
    </row>
    <row r="147" spans="14:16">
      <c r="N147" s="531">
        <v>34.25</v>
      </c>
      <c r="O147" s="531">
        <v>74.900000000000006</v>
      </c>
      <c r="P147" s="528">
        <v>25.099999999999994</v>
      </c>
    </row>
    <row r="148" spans="14:16">
      <c r="N148" s="531">
        <v>34.5</v>
      </c>
      <c r="O148" s="531">
        <v>57.800000000000004</v>
      </c>
      <c r="P148" s="528">
        <v>42.199999999999996</v>
      </c>
    </row>
    <row r="149" spans="14:16">
      <c r="N149" s="531">
        <v>34.75</v>
      </c>
      <c r="O149" s="531">
        <v>75.900000000000006</v>
      </c>
      <c r="P149" s="528">
        <v>24.099999999999994</v>
      </c>
    </row>
    <row r="150" spans="14:16">
      <c r="N150" s="531">
        <v>35</v>
      </c>
      <c r="O150" s="531">
        <v>79.599999999999994</v>
      </c>
      <c r="P150" s="528">
        <v>20.400000000000006</v>
      </c>
    </row>
    <row r="151" spans="14:16">
      <c r="N151" s="531">
        <v>35.25</v>
      </c>
      <c r="O151" s="531">
        <v>52.900000000000006</v>
      </c>
      <c r="P151" s="528">
        <v>47.099999999999994</v>
      </c>
    </row>
    <row r="152" spans="14:16">
      <c r="N152" s="531">
        <v>35.5</v>
      </c>
      <c r="O152" s="531">
        <v>82.2</v>
      </c>
      <c r="P152" s="528">
        <v>17.799999999999997</v>
      </c>
    </row>
    <row r="153" spans="14:16">
      <c r="N153" s="531">
        <v>35.75</v>
      </c>
      <c r="O153" s="531">
        <v>79.5</v>
      </c>
      <c r="P153" s="528">
        <v>20.5</v>
      </c>
    </row>
    <row r="154" spans="14:16">
      <c r="N154" s="531">
        <v>36</v>
      </c>
      <c r="O154" s="531">
        <v>84.8</v>
      </c>
      <c r="P154" s="528">
        <v>15.200000000000003</v>
      </c>
    </row>
    <row r="155" spans="14:16">
      <c r="N155" s="531">
        <v>36.25</v>
      </c>
      <c r="O155" s="531">
        <v>83.7</v>
      </c>
      <c r="P155" s="528">
        <v>16.299999999999997</v>
      </c>
    </row>
    <row r="156" spans="14:16">
      <c r="N156" s="531">
        <v>36.5</v>
      </c>
      <c r="O156" s="531">
        <v>69.8</v>
      </c>
      <c r="P156" s="528">
        <v>30.200000000000003</v>
      </c>
    </row>
    <row r="157" spans="14:16">
      <c r="N157" s="531">
        <v>36.75</v>
      </c>
      <c r="O157" s="531">
        <v>59.1</v>
      </c>
      <c r="P157" s="528">
        <v>40.9</v>
      </c>
    </row>
    <row r="158" spans="14:16">
      <c r="N158" s="531">
        <v>37</v>
      </c>
      <c r="O158" s="531">
        <v>59.6</v>
      </c>
      <c r="P158" s="528">
        <v>40.4</v>
      </c>
    </row>
    <row r="159" spans="14:16">
      <c r="N159" s="531">
        <v>37.25</v>
      </c>
      <c r="O159" s="531">
        <v>55.300000000000004</v>
      </c>
      <c r="P159" s="528">
        <v>44.699999999999996</v>
      </c>
    </row>
    <row r="160" spans="14:16">
      <c r="N160" s="531">
        <v>37.5</v>
      </c>
      <c r="O160" s="531">
        <v>76.599999999999994</v>
      </c>
      <c r="P160" s="528">
        <v>23.400000000000006</v>
      </c>
    </row>
    <row r="161" spans="14:16">
      <c r="N161" s="531">
        <v>37.75</v>
      </c>
      <c r="O161" s="531">
        <v>65.900000000000006</v>
      </c>
      <c r="P161" s="528">
        <v>34.099999999999994</v>
      </c>
    </row>
    <row r="162" spans="14:16">
      <c r="N162" s="531">
        <v>38</v>
      </c>
      <c r="O162" s="531">
        <v>77.599999999999994</v>
      </c>
      <c r="P162" s="528">
        <v>22.400000000000006</v>
      </c>
    </row>
    <row r="163" spans="14:16">
      <c r="N163" s="531">
        <v>38.25</v>
      </c>
      <c r="O163" s="531">
        <v>86.1</v>
      </c>
      <c r="P163" s="528">
        <v>13.900000000000006</v>
      </c>
    </row>
    <row r="164" spans="14:16">
      <c r="N164" s="531">
        <v>38.5</v>
      </c>
      <c r="O164" s="531">
        <v>62.6</v>
      </c>
      <c r="P164" s="528">
        <v>37.4</v>
      </c>
    </row>
    <row r="165" spans="14:16">
      <c r="N165" s="531">
        <v>38.75</v>
      </c>
      <c r="O165" s="531">
        <v>72.7</v>
      </c>
      <c r="P165" s="528">
        <v>27.299999999999997</v>
      </c>
    </row>
    <row r="166" spans="14:16">
      <c r="N166" s="531">
        <v>39</v>
      </c>
      <c r="O166" s="531">
        <v>66.8</v>
      </c>
      <c r="P166" s="528">
        <v>33.200000000000003</v>
      </c>
    </row>
    <row r="167" spans="14:16">
      <c r="N167" s="531">
        <v>39.25</v>
      </c>
      <c r="O167" s="531">
        <v>84.9</v>
      </c>
      <c r="P167" s="528">
        <v>15.099999999999994</v>
      </c>
    </row>
    <row r="168" spans="14:16">
      <c r="N168" s="531">
        <v>39.5</v>
      </c>
      <c r="O168" s="531">
        <v>77.400000000000006</v>
      </c>
      <c r="P168" s="528">
        <v>22.599999999999994</v>
      </c>
    </row>
    <row r="169" spans="14:16">
      <c r="N169" s="531">
        <v>39.75</v>
      </c>
      <c r="O169" s="531">
        <v>82.7</v>
      </c>
      <c r="P169" s="528">
        <v>17.299999999999997</v>
      </c>
    </row>
    <row r="170" spans="14:16">
      <c r="N170" s="531">
        <v>40</v>
      </c>
      <c r="O170" s="531">
        <v>70.400000000000006</v>
      </c>
      <c r="P170" s="528">
        <v>29.599999999999994</v>
      </c>
    </row>
    <row r="171" spans="14:16">
      <c r="N171" s="531">
        <v>40.25</v>
      </c>
      <c r="O171" s="531">
        <v>70.900000000000006</v>
      </c>
      <c r="P171" s="528">
        <v>29.099999999999994</v>
      </c>
    </row>
    <row r="172" spans="14:16">
      <c r="N172" s="531">
        <v>40.5</v>
      </c>
      <c r="O172" s="531">
        <v>77.8</v>
      </c>
      <c r="P172" s="528">
        <v>22.200000000000003</v>
      </c>
    </row>
    <row r="173" spans="14:16">
      <c r="N173" s="531">
        <v>40.75</v>
      </c>
      <c r="O173" s="531">
        <v>95.899999999999991</v>
      </c>
      <c r="P173" s="528">
        <v>4.1000000000000085</v>
      </c>
    </row>
    <row r="174" spans="14:16">
      <c r="N174" s="531">
        <v>41</v>
      </c>
      <c r="O174" s="531">
        <v>82</v>
      </c>
      <c r="P174" s="528">
        <v>18</v>
      </c>
    </row>
    <row r="175" spans="14:16">
      <c r="N175" s="531">
        <v>41.25</v>
      </c>
      <c r="O175" s="531">
        <v>69.7</v>
      </c>
      <c r="P175" s="528">
        <v>30.299999999999997</v>
      </c>
    </row>
    <row r="176" spans="14:16">
      <c r="N176" s="531">
        <v>41.5</v>
      </c>
      <c r="O176" s="531">
        <v>87.8</v>
      </c>
      <c r="P176" s="528">
        <v>12.200000000000003</v>
      </c>
    </row>
    <row r="177" spans="14:16">
      <c r="N177" s="531">
        <v>41.75</v>
      </c>
      <c r="O177" s="531">
        <v>80.3</v>
      </c>
      <c r="P177" s="528">
        <v>19.700000000000003</v>
      </c>
    </row>
    <row r="178" spans="14:16">
      <c r="N178" s="531">
        <v>42</v>
      </c>
      <c r="O178" s="531">
        <v>88.8</v>
      </c>
      <c r="P178" s="528">
        <v>11.200000000000003</v>
      </c>
    </row>
    <row r="179" spans="14:16">
      <c r="N179" s="531">
        <v>42.25</v>
      </c>
      <c r="O179" s="531">
        <v>84.5</v>
      </c>
      <c r="P179" s="528">
        <v>15.5</v>
      </c>
    </row>
    <row r="180" spans="14:16">
      <c r="N180" s="531">
        <v>42.5</v>
      </c>
      <c r="O180" s="531">
        <v>89.8</v>
      </c>
      <c r="P180" s="528">
        <v>10.200000000000003</v>
      </c>
    </row>
    <row r="181" spans="14:16">
      <c r="N181" s="531">
        <v>42.75</v>
      </c>
      <c r="O181" s="531">
        <v>77.5</v>
      </c>
      <c r="P181" s="528">
        <v>22.5</v>
      </c>
    </row>
    <row r="182" spans="14:16">
      <c r="N182" s="531">
        <v>43</v>
      </c>
      <c r="O182" s="531">
        <v>76.400000000000006</v>
      </c>
      <c r="P182" s="528">
        <v>23.599999999999994</v>
      </c>
    </row>
    <row r="183" spans="14:16">
      <c r="N183" s="531">
        <v>43.25</v>
      </c>
      <c r="O183" s="531">
        <v>81.7</v>
      </c>
      <c r="P183" s="528">
        <v>18.299999999999997</v>
      </c>
    </row>
    <row r="184" spans="14:16">
      <c r="N184" s="531">
        <v>43.5</v>
      </c>
      <c r="O184" s="531">
        <v>93.4</v>
      </c>
      <c r="P184" s="528">
        <v>6.5999999999999943</v>
      </c>
    </row>
    <row r="185" spans="14:16">
      <c r="N185" s="531">
        <v>43.75</v>
      </c>
      <c r="O185" s="531">
        <v>89.1</v>
      </c>
      <c r="P185" s="528">
        <v>10.900000000000006</v>
      </c>
    </row>
    <row r="186" spans="14:16">
      <c r="N186" s="531">
        <v>44</v>
      </c>
      <c r="O186" s="531">
        <v>91.2</v>
      </c>
      <c r="P186" s="528">
        <v>8.7999999999999972</v>
      </c>
    </row>
    <row r="187" spans="14:16">
      <c r="N187" s="531">
        <v>44.25</v>
      </c>
      <c r="O187" s="531">
        <v>96.5</v>
      </c>
      <c r="P187" s="528">
        <v>3.5</v>
      </c>
    </row>
    <row r="188" spans="14:16">
      <c r="N188" s="531">
        <v>44.5</v>
      </c>
      <c r="O188" s="531">
        <v>95.4</v>
      </c>
      <c r="P188" s="528">
        <v>4.5999999999999943</v>
      </c>
    </row>
    <row r="189" spans="14:16">
      <c r="N189" s="531">
        <v>44.75</v>
      </c>
      <c r="O189" s="531">
        <v>97.5</v>
      </c>
      <c r="P189" s="528">
        <v>2.5</v>
      </c>
    </row>
    <row r="190" spans="14:16">
      <c r="N190" s="531">
        <v>45</v>
      </c>
      <c r="O190" s="531">
        <v>83.6</v>
      </c>
      <c r="P190" s="528">
        <v>16.400000000000006</v>
      </c>
    </row>
    <row r="191" spans="14:16">
      <c r="N191" s="531">
        <v>45.25</v>
      </c>
      <c r="O191" s="531">
        <v>85.7</v>
      </c>
      <c r="P191" s="528">
        <v>14.299999999999997</v>
      </c>
    </row>
    <row r="192" spans="14:16">
      <c r="N192" s="531">
        <v>45.5</v>
      </c>
      <c r="O192" s="531">
        <v>95.8</v>
      </c>
      <c r="P192" s="528">
        <v>4.2000000000000028</v>
      </c>
    </row>
    <row r="193" spans="14:16">
      <c r="N193" s="531">
        <v>45.75</v>
      </c>
      <c r="O193" s="531">
        <v>85.1</v>
      </c>
      <c r="P193" s="528">
        <v>14.900000000000006</v>
      </c>
    </row>
    <row r="194" spans="14:16">
      <c r="N194" s="531">
        <v>46</v>
      </c>
      <c r="O194" s="531">
        <v>95.2</v>
      </c>
      <c r="P194" s="528">
        <v>4.7999999999999972</v>
      </c>
    </row>
    <row r="195" spans="14:16">
      <c r="N195" s="531">
        <v>46.25</v>
      </c>
      <c r="O195" s="531">
        <v>87.7</v>
      </c>
      <c r="P195" s="528">
        <v>12.299999999999997</v>
      </c>
    </row>
    <row r="196" spans="14:16">
      <c r="N196" s="531">
        <v>46.5</v>
      </c>
      <c r="O196" s="531">
        <v>96.2</v>
      </c>
      <c r="P196" s="528">
        <v>3.7999999999999972</v>
      </c>
    </row>
    <row r="197" spans="14:16">
      <c r="N197" s="531">
        <v>46.75</v>
      </c>
      <c r="O197" s="531">
        <v>90.3</v>
      </c>
      <c r="P197" s="528">
        <v>9.7000000000000028</v>
      </c>
    </row>
    <row r="198" spans="14:16">
      <c r="N198" s="531">
        <v>47</v>
      </c>
      <c r="O198" s="531">
        <v>95.6</v>
      </c>
      <c r="P198" s="528">
        <v>4.4000000000000057</v>
      </c>
    </row>
    <row r="199" spans="14:16">
      <c r="N199" s="531">
        <v>47.25</v>
      </c>
      <c r="O199" s="531">
        <v>94.5</v>
      </c>
      <c r="P199" s="528">
        <v>5.5</v>
      </c>
    </row>
    <row r="200" spans="14:16">
      <c r="N200" s="531">
        <v>47.5</v>
      </c>
      <c r="O200" s="531">
        <v>98.2</v>
      </c>
      <c r="P200" s="528">
        <v>1.7999999999999972</v>
      </c>
    </row>
    <row r="201" spans="14:16">
      <c r="N201" s="531">
        <v>47.75</v>
      </c>
      <c r="O201" s="531">
        <v>92.3</v>
      </c>
      <c r="P201" s="528">
        <v>7.7000000000000028</v>
      </c>
    </row>
    <row r="202" spans="14:16">
      <c r="N202" s="531">
        <v>48</v>
      </c>
      <c r="O202" s="531">
        <v>97.6</v>
      </c>
      <c r="P202" s="528">
        <v>2.4000000000000057</v>
      </c>
    </row>
    <row r="203" spans="14:16">
      <c r="N203" s="531">
        <v>48.25</v>
      </c>
      <c r="O203" s="531">
        <v>96.5</v>
      </c>
      <c r="P203" s="528">
        <v>3.5</v>
      </c>
    </row>
    <row r="204" spans="14:16">
      <c r="N204" s="531">
        <v>48.5</v>
      </c>
      <c r="O204" s="531">
        <v>95.4</v>
      </c>
      <c r="P204" s="528">
        <v>4.5999999999999943</v>
      </c>
    </row>
    <row r="205" spans="14:16">
      <c r="N205" s="531">
        <v>48.75</v>
      </c>
      <c r="O205" s="531">
        <v>97.5</v>
      </c>
      <c r="P205" s="528">
        <v>2.5</v>
      </c>
    </row>
    <row r="206" spans="14:16">
      <c r="N206" s="531">
        <v>49</v>
      </c>
      <c r="O206" s="531">
        <v>99.6</v>
      </c>
      <c r="P206" s="528">
        <v>0.40000000000000568</v>
      </c>
    </row>
    <row r="207" spans="14:16">
      <c r="N207" s="531">
        <v>49.25</v>
      </c>
      <c r="O207" s="531">
        <v>98.5</v>
      </c>
      <c r="P207" s="528">
        <v>1.5</v>
      </c>
    </row>
    <row r="208" spans="14:16">
      <c r="N208" s="531">
        <v>49.5</v>
      </c>
      <c r="O208" s="531">
        <v>99</v>
      </c>
      <c r="P208" s="528">
        <v>1</v>
      </c>
    </row>
    <row r="209" spans="14:16">
      <c r="N209" s="531">
        <v>49.75</v>
      </c>
      <c r="O209" s="531">
        <v>99.5</v>
      </c>
      <c r="P209" s="528">
        <v>0.5</v>
      </c>
    </row>
    <row r="210" spans="14:16">
      <c r="N210" s="531">
        <v>50</v>
      </c>
      <c r="O210" s="531">
        <v>100</v>
      </c>
      <c r="P210" s="528">
        <v>0</v>
      </c>
    </row>
  </sheetData>
  <pageMargins left="0.7" right="0.7" top="0.75" bottom="0.75" header="0.3" footer="0.3"/>
  <pageSetup orientation="portrait" horizontalDpi="300" verticalDpi="0" copies="0" r:id="rId1"/>
  <drawing r:id="rId2"/>
  <legacyDrawing r:id="rId3"/>
  <controls>
    <mc:AlternateContent xmlns:mc="http://schemas.openxmlformats.org/markup-compatibility/2006">
      <mc:Choice Requires="x14">
        <control shapeId="12289" r:id="rId4" name="CommandButton1">
          <controlPr defaultSize="0" autoLine="0" r:id="rId5">
            <anchor moveWithCells="1">
              <from>
                <xdr:col>0</xdr:col>
                <xdr:colOff>297180</xdr:colOff>
                <xdr:row>0</xdr:row>
                <xdr:rowOff>137160</xdr:rowOff>
              </from>
              <to>
                <xdr:col>4</xdr:col>
                <xdr:colOff>99060</xdr:colOff>
                <xdr:row>3</xdr:row>
                <xdr:rowOff>152400</xdr:rowOff>
              </to>
            </anchor>
          </controlPr>
        </control>
      </mc:Choice>
      <mc:Fallback>
        <control shapeId="12289" r:id="rId4" name="CommandButton1"/>
      </mc:Fallback>
    </mc:AlternateContent>
    <mc:AlternateContent xmlns:mc="http://schemas.openxmlformats.org/markup-compatibility/2006">
      <mc:Choice Requires="x14">
        <control shapeId="12290" r:id="rId6" name="CommandButton2">
          <controlPr defaultSize="0" autoLine="0" r:id="rId7">
            <anchor moveWithCells="1">
              <from>
                <xdr:col>13</xdr:col>
                <xdr:colOff>60960</xdr:colOff>
                <xdr:row>2</xdr:row>
                <xdr:rowOff>45720</xdr:rowOff>
              </from>
              <to>
                <xdr:col>15</xdr:col>
                <xdr:colOff>579120</xdr:colOff>
                <xdr:row>6</xdr:row>
                <xdr:rowOff>30480</xdr:rowOff>
              </to>
            </anchor>
          </controlPr>
        </control>
      </mc:Choice>
      <mc:Fallback>
        <control shapeId="12290" r:id="rId6" name="CommandButton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1"/>
  </sheetPr>
  <dimension ref="B1:AB56"/>
  <sheetViews>
    <sheetView showGridLines="0" zoomScaleNormal="100" workbookViewId="0"/>
  </sheetViews>
  <sheetFormatPr defaultColWidth="9.109375" defaultRowHeight="10.199999999999999"/>
  <cols>
    <col min="1" max="1" width="1" style="18" customWidth="1"/>
    <col min="2" max="2" width="15.5546875" style="18" customWidth="1"/>
    <col min="3" max="3" width="18.44140625" style="18" customWidth="1"/>
    <col min="4" max="4" width="13.6640625" style="18" customWidth="1"/>
    <col min="5" max="5" width="12.109375" style="18" customWidth="1"/>
    <col min="6" max="6" width="1.6640625" style="18" customWidth="1"/>
    <col min="7" max="7" width="13.109375" style="117" customWidth="1"/>
    <col min="8" max="8" width="12.109375" style="117" customWidth="1"/>
    <col min="9" max="10" width="13.5546875" style="18" customWidth="1"/>
    <col min="11" max="12" width="12.109375" style="18" customWidth="1"/>
    <col min="13" max="13" width="12.33203125" style="18" customWidth="1"/>
    <col min="14" max="14" width="1" style="18" customWidth="1"/>
    <col min="15" max="15" width="12.33203125" style="117" customWidth="1"/>
    <col min="16" max="17" width="8.44140625" style="18" customWidth="1"/>
    <col min="18" max="18" width="12.5546875" style="18" customWidth="1"/>
    <col min="19" max="27" width="10.33203125" style="18" customWidth="1"/>
    <col min="28" max="16384" width="9.109375" style="18"/>
  </cols>
  <sheetData>
    <row r="1" spans="2:27" ht="16.5" customHeight="1">
      <c r="B1" s="140" t="s">
        <v>127</v>
      </c>
      <c r="C1" s="141"/>
      <c r="D1" s="146">
        <v>100000</v>
      </c>
      <c r="E1" s="142"/>
    </row>
    <row r="2" spans="2:27" ht="19.5" customHeight="1">
      <c r="B2" s="137"/>
      <c r="C2" s="138"/>
      <c r="D2" s="143" t="s">
        <v>75</v>
      </c>
      <c r="E2" s="139"/>
      <c r="G2" s="121" t="s">
        <v>126</v>
      </c>
      <c r="H2" s="472"/>
      <c r="I2" s="129"/>
      <c r="J2" s="129"/>
      <c r="K2" s="129"/>
      <c r="L2" s="129"/>
      <c r="M2" s="130"/>
      <c r="O2" s="121" t="s">
        <v>126</v>
      </c>
      <c r="P2" s="129"/>
      <c r="Q2" s="129"/>
      <c r="R2" s="129"/>
      <c r="S2" s="129"/>
      <c r="T2" s="129"/>
      <c r="U2" s="129"/>
      <c r="V2" s="129"/>
      <c r="W2" s="129"/>
      <c r="X2" s="129"/>
      <c r="Y2" s="129"/>
      <c r="Z2" s="129"/>
      <c r="AA2" s="130"/>
    </row>
    <row r="3" spans="2:27" ht="19.5" customHeight="1">
      <c r="B3" s="134"/>
      <c r="C3" s="135"/>
      <c r="D3" s="144" t="s">
        <v>73</v>
      </c>
      <c r="E3" s="136"/>
      <c r="G3" s="118"/>
      <c r="H3" s="41" t="s">
        <v>318</v>
      </c>
      <c r="I3" s="41" t="s">
        <v>57</v>
      </c>
      <c r="J3" s="41" t="s">
        <v>320</v>
      </c>
      <c r="K3" s="41" t="s">
        <v>30</v>
      </c>
      <c r="L3" s="41" t="s">
        <v>112</v>
      </c>
      <c r="M3" s="96" t="s">
        <v>68</v>
      </c>
      <c r="O3" s="118"/>
      <c r="P3" s="41"/>
      <c r="Q3" s="41"/>
      <c r="R3" s="226" t="s">
        <v>169</v>
      </c>
      <c r="S3" s="41"/>
      <c r="T3" s="41"/>
      <c r="U3" s="41" t="s">
        <v>130</v>
      </c>
      <c r="V3" s="41" t="s">
        <v>297</v>
      </c>
      <c r="W3" s="41" t="s">
        <v>308</v>
      </c>
      <c r="X3" s="41"/>
      <c r="Y3" s="41" t="s">
        <v>30</v>
      </c>
      <c r="Z3" s="41" t="s">
        <v>68</v>
      </c>
      <c r="AA3" s="96" t="s">
        <v>30</v>
      </c>
    </row>
    <row r="4" spans="2:27" ht="19.5" customHeight="1">
      <c r="B4" s="131"/>
      <c r="C4" s="132"/>
      <c r="D4" s="145" t="s">
        <v>73</v>
      </c>
      <c r="E4" s="133"/>
      <c r="G4" s="119"/>
      <c r="H4" s="163" t="s">
        <v>129</v>
      </c>
      <c r="I4" s="163" t="s">
        <v>58</v>
      </c>
      <c r="J4" s="163" t="s">
        <v>321</v>
      </c>
      <c r="K4" s="15" t="s">
        <v>59</v>
      </c>
      <c r="L4" s="15" t="s">
        <v>113</v>
      </c>
      <c r="M4" s="97" t="s">
        <v>59</v>
      </c>
      <c r="O4" s="119"/>
      <c r="P4" s="163" t="s">
        <v>8</v>
      </c>
      <c r="Q4" s="163" t="s">
        <v>9</v>
      </c>
      <c r="R4" s="163" t="s">
        <v>129</v>
      </c>
      <c r="S4" s="163" t="s">
        <v>77</v>
      </c>
      <c r="T4" s="163" t="s">
        <v>12</v>
      </c>
      <c r="U4" s="163" t="s">
        <v>131</v>
      </c>
      <c r="V4" s="163" t="s">
        <v>298</v>
      </c>
      <c r="W4" s="163" t="s">
        <v>166</v>
      </c>
      <c r="X4" s="163" t="s">
        <v>143</v>
      </c>
      <c r="Y4" s="163" t="s">
        <v>132</v>
      </c>
      <c r="Z4" s="163" t="s">
        <v>132</v>
      </c>
      <c r="AA4" s="164" t="s">
        <v>133</v>
      </c>
    </row>
    <row r="5" spans="2:27" ht="16.5" customHeight="1">
      <c r="G5" s="120" t="s">
        <v>45</v>
      </c>
      <c r="H5" s="161" t="s">
        <v>60</v>
      </c>
      <c r="I5" s="161" t="s">
        <v>60</v>
      </c>
      <c r="J5" s="161" t="s">
        <v>60</v>
      </c>
      <c r="K5" s="16" t="s">
        <v>60</v>
      </c>
      <c r="L5" s="16" t="s">
        <v>85</v>
      </c>
      <c r="M5" s="98" t="s">
        <v>85</v>
      </c>
      <c r="O5" s="120" t="s">
        <v>45</v>
      </c>
      <c r="P5" s="161" t="s">
        <v>134</v>
      </c>
      <c r="Q5" s="161" t="s">
        <v>15</v>
      </c>
      <c r="R5" s="161" t="s">
        <v>135</v>
      </c>
      <c r="S5" s="161" t="s">
        <v>16</v>
      </c>
      <c r="T5" s="161" t="s">
        <v>16</v>
      </c>
      <c r="U5" s="161" t="s">
        <v>16</v>
      </c>
      <c r="V5" s="161" t="s">
        <v>145</v>
      </c>
      <c r="W5" s="161" t="s">
        <v>176</v>
      </c>
      <c r="X5" s="161" t="s">
        <v>21</v>
      </c>
      <c r="Y5" s="161" t="s">
        <v>16</v>
      </c>
      <c r="Z5" s="161" t="s">
        <v>16</v>
      </c>
      <c r="AA5" s="162" t="s">
        <v>16</v>
      </c>
    </row>
    <row r="6" spans="2:27" ht="16.5" customHeight="1">
      <c r="G6" s="123" t="s">
        <v>49</v>
      </c>
      <c r="H6" s="99">
        <v>64.50124707163495</v>
      </c>
      <c r="I6" s="99">
        <v>63.856234600918597</v>
      </c>
      <c r="J6" s="99">
        <v>32.314930264283731</v>
      </c>
      <c r="K6" s="99">
        <v>31.612978048338011</v>
      </c>
      <c r="L6" s="100">
        <v>4.5650090110037997E-2</v>
      </c>
      <c r="M6" s="101">
        <v>2.2266000105825998E-2</v>
      </c>
      <c r="O6" s="123" t="s">
        <v>49</v>
      </c>
      <c r="P6" s="100">
        <v>0</v>
      </c>
      <c r="Q6" s="100">
        <v>0</v>
      </c>
      <c r="R6" s="155">
        <v>510.43125585783167</v>
      </c>
      <c r="S6" s="100">
        <v>0.53769067223141098</v>
      </c>
      <c r="T6" s="100">
        <v>4.0035725976112997E-2</v>
      </c>
      <c r="U6" s="100">
        <v>6.3618451823306998E-2</v>
      </c>
      <c r="V6" s="395">
        <v>2.6887879066534136E-3</v>
      </c>
      <c r="W6" s="100">
        <v>357.35954788347647</v>
      </c>
      <c r="X6" s="155">
        <v>0.50001106900163494</v>
      </c>
      <c r="Y6" s="100">
        <v>0.450000865198672</v>
      </c>
      <c r="Z6" s="100">
        <v>0.45000083236955102</v>
      </c>
      <c r="AA6" s="101">
        <v>0.97000000020954802</v>
      </c>
    </row>
    <row r="7" spans="2:27" ht="16.5" customHeight="1">
      <c r="C7" s="60"/>
      <c r="D7" s="60"/>
      <c r="E7" s="61"/>
      <c r="G7" s="127" t="s">
        <v>42</v>
      </c>
      <c r="H7" s="102">
        <v>210.20364930997877</v>
      </c>
      <c r="I7" s="102">
        <v>208.10161281687897</v>
      </c>
      <c r="J7" s="102">
        <v>103.44004734960586</v>
      </c>
      <c r="K7" s="102">
        <v>100.83558145279493</v>
      </c>
      <c r="L7" s="103">
        <v>0.19379671671674301</v>
      </c>
      <c r="M7" s="104">
        <v>9.6369160890482003E-2</v>
      </c>
      <c r="O7" s="127" t="s">
        <v>42</v>
      </c>
      <c r="P7" s="103">
        <v>0</v>
      </c>
      <c r="Q7" s="103">
        <v>0</v>
      </c>
      <c r="R7" s="154">
        <v>1087.9401606935912</v>
      </c>
      <c r="S7" s="103">
        <v>0.56442918477244597</v>
      </c>
      <c r="T7" s="103">
        <v>4.6386379939220998E-2</v>
      </c>
      <c r="U7" s="103">
        <v>0.29231212333346801</v>
      </c>
      <c r="V7" s="517">
        <v>2.6899232895003645E-3</v>
      </c>
      <c r="W7" s="103">
        <v>357.51121871364865</v>
      </c>
      <c r="X7" s="154">
        <v>0.51468203776268395</v>
      </c>
      <c r="Y7" s="103">
        <v>0.45102554420057001</v>
      </c>
      <c r="Z7" s="103">
        <v>0.45095839081376698</v>
      </c>
      <c r="AA7" s="104">
        <v>0.97009615056221199</v>
      </c>
    </row>
    <row r="8" spans="2:27" ht="16.5" customHeight="1" thickBot="1">
      <c r="B8" s="62" t="s">
        <v>70</v>
      </c>
      <c r="C8" s="63" t="s">
        <v>71</v>
      </c>
      <c r="D8" s="64"/>
      <c r="E8" s="65" t="s">
        <v>72</v>
      </c>
      <c r="G8" s="125" t="s">
        <v>4</v>
      </c>
      <c r="H8" s="470">
        <v>461.5184615732295</v>
      </c>
      <c r="I8" s="470">
        <v>456.90327695749721</v>
      </c>
      <c r="J8" s="470">
        <v>227.08058734923623</v>
      </c>
      <c r="K8" s="470">
        <v>221.43609104814865</v>
      </c>
      <c r="L8" s="478">
        <v>0.45449832271142099</v>
      </c>
      <c r="M8" s="479">
        <v>0.22625598639239899</v>
      </c>
      <c r="O8" s="125" t="s">
        <v>4</v>
      </c>
      <c r="P8" s="436">
        <v>0</v>
      </c>
      <c r="Q8" s="436">
        <v>0</v>
      </c>
      <c r="R8" s="437">
        <v>2358.2469639395363</v>
      </c>
      <c r="S8" s="436">
        <v>0.58013714375624503</v>
      </c>
      <c r="T8" s="436">
        <v>4.9972480249088999E-2</v>
      </c>
      <c r="U8" s="436">
        <v>0.40045495348450899</v>
      </c>
      <c r="V8" s="518">
        <v>2.6995735012613265E-3</v>
      </c>
      <c r="W8" s="436">
        <v>358.81902408077832</v>
      </c>
      <c r="X8" s="437">
        <v>0.64890259464685895</v>
      </c>
      <c r="Y8" s="436">
        <v>0.45983720608513701</v>
      </c>
      <c r="Z8" s="436">
        <v>0.46009002500683499</v>
      </c>
      <c r="AA8" s="438">
        <v>0.97100116401491698</v>
      </c>
    </row>
    <row r="9" spans="2:27" ht="16.5" customHeight="1">
      <c r="B9" s="66" t="s">
        <v>73</v>
      </c>
      <c r="C9" s="1" t="s">
        <v>8</v>
      </c>
      <c r="D9" s="1" t="s">
        <v>74</v>
      </c>
      <c r="E9" s="507">
        <f>+Input_Data!C8</f>
        <v>0</v>
      </c>
      <c r="G9" s="127" t="s">
        <v>50</v>
      </c>
      <c r="H9" s="102">
        <v>617.06335980106962</v>
      </c>
      <c r="I9" s="102">
        <v>610.89272620305883</v>
      </c>
      <c r="J9" s="102">
        <v>303.90238784106356</v>
      </c>
      <c r="K9" s="102">
        <v>296.34697767107394</v>
      </c>
      <c r="L9" s="103">
        <v>0.63164442512027896</v>
      </c>
      <c r="M9" s="104">
        <v>0.314383198188806</v>
      </c>
      <c r="O9" s="127" t="s">
        <v>50</v>
      </c>
      <c r="P9" s="103">
        <v>0</v>
      </c>
      <c r="Q9" s="103">
        <v>0</v>
      </c>
      <c r="R9" s="154">
        <v>3123.6063369639187</v>
      </c>
      <c r="S9" s="103">
        <v>0.58674500729736101</v>
      </c>
      <c r="T9" s="103">
        <v>5.1558955719272E-2</v>
      </c>
      <c r="U9" s="103">
        <v>0.44030551727567102</v>
      </c>
      <c r="V9" s="517">
        <v>2.710276878375334E-3</v>
      </c>
      <c r="W9" s="103">
        <v>360.28543355460192</v>
      </c>
      <c r="X9" s="154">
        <v>0.79987256196321599</v>
      </c>
      <c r="Y9" s="103">
        <v>0.46984860511489601</v>
      </c>
      <c r="Z9" s="103">
        <v>0.47021036311993902</v>
      </c>
      <c r="AA9" s="104">
        <v>0.97200907382741997</v>
      </c>
    </row>
    <row r="10" spans="2:27" ht="16.5" customHeight="1">
      <c r="B10" s="67" t="s">
        <v>73</v>
      </c>
      <c r="C10" s="68" t="s">
        <v>9</v>
      </c>
      <c r="D10" s="68" t="s">
        <v>15</v>
      </c>
      <c r="E10" s="507">
        <f>+Input_Data!C9</f>
        <v>0</v>
      </c>
      <c r="G10" s="125" t="s">
        <v>51</v>
      </c>
      <c r="H10" s="105">
        <v>743.59148015193398</v>
      </c>
      <c r="I10" s="105">
        <v>736.15556535041458</v>
      </c>
      <c r="J10" s="105">
        <v>366.10587942887503</v>
      </c>
      <c r="K10" s="105">
        <v>356.97149357575012</v>
      </c>
      <c r="L10" s="107">
        <v>0.79259348028717302</v>
      </c>
      <c r="M10" s="108">
        <v>0.39504517787510701</v>
      </c>
      <c r="O10" s="125" t="s">
        <v>51</v>
      </c>
      <c r="P10" s="107">
        <v>0</v>
      </c>
      <c r="Q10" s="107">
        <v>0</v>
      </c>
      <c r="R10" s="156">
        <v>3708.8149760085612</v>
      </c>
      <c r="S10" s="107">
        <v>0.59161750558582504</v>
      </c>
      <c r="T10" s="107">
        <v>5.2744106771132997E-2</v>
      </c>
      <c r="U10" s="107">
        <v>0.46726263482914998</v>
      </c>
      <c r="V10" s="519">
        <v>2.7211092392263516E-3</v>
      </c>
      <c r="W10" s="107">
        <v>361.73465888754987</v>
      </c>
      <c r="X10" s="156">
        <v>0.951299882238405</v>
      </c>
      <c r="Y10" s="107">
        <v>0.479908747891853</v>
      </c>
      <c r="Z10" s="107">
        <v>0.48021470970949798</v>
      </c>
      <c r="AA10" s="108">
        <v>0.97300074066640796</v>
      </c>
    </row>
    <row r="11" spans="2:27" ht="16.5" customHeight="1">
      <c r="B11" s="66" t="s">
        <v>75</v>
      </c>
      <c r="C11" s="69" t="s">
        <v>10</v>
      </c>
      <c r="D11" s="70" t="s">
        <v>76</v>
      </c>
      <c r="E11" s="506">
        <f>+Input_Data!C10</f>
        <v>1109</v>
      </c>
      <c r="G11" s="127" t="s">
        <v>52</v>
      </c>
      <c r="H11" s="102">
        <v>862.15337718749663</v>
      </c>
      <c r="I11" s="102">
        <v>853.53184341562167</v>
      </c>
      <c r="J11" s="102">
        <v>425.27201517354001</v>
      </c>
      <c r="K11" s="102">
        <v>414.52933968568658</v>
      </c>
      <c r="L11" s="103">
        <v>0.95644029919323803</v>
      </c>
      <c r="M11" s="104">
        <v>0.47705875042586898</v>
      </c>
      <c r="O11" s="127" t="s">
        <v>52</v>
      </c>
      <c r="P11" s="103">
        <v>0</v>
      </c>
      <c r="Q11" s="103">
        <v>0</v>
      </c>
      <c r="R11" s="154">
        <v>4228.8504684674162</v>
      </c>
      <c r="S11" s="103">
        <v>0.595779482578773</v>
      </c>
      <c r="T11" s="103">
        <v>5.3773906110968002E-2</v>
      </c>
      <c r="U11" s="103">
        <v>0.49008034313474902</v>
      </c>
      <c r="V11" s="517">
        <v>2.7318991173346766E-3</v>
      </c>
      <c r="W11" s="103">
        <v>363.18904932060565</v>
      </c>
      <c r="X11" s="154">
        <v>1.1009339676708609</v>
      </c>
      <c r="Y11" s="103">
        <v>0.48995501866562102</v>
      </c>
      <c r="Z11" s="103">
        <v>0.49012314930563899</v>
      </c>
      <c r="AA11" s="104">
        <v>0.97400419983268005</v>
      </c>
    </row>
    <row r="12" spans="2:27" ht="16.5" customHeight="1">
      <c r="B12" s="67" t="s">
        <v>75</v>
      </c>
      <c r="C12" s="71" t="s">
        <v>77</v>
      </c>
      <c r="D12" s="71" t="s">
        <v>16</v>
      </c>
      <c r="E12" s="506">
        <f>+Input_Data!C14</f>
        <v>0.51</v>
      </c>
      <c r="G12" s="125" t="s">
        <v>3</v>
      </c>
      <c r="H12" s="470">
        <v>984.98238338152942</v>
      </c>
      <c r="I12" s="470">
        <v>975.1325595477141</v>
      </c>
      <c r="J12" s="470">
        <v>486.75612602806115</v>
      </c>
      <c r="K12" s="470">
        <v>474.63636146386949</v>
      </c>
      <c r="L12" s="478">
        <v>1.1365897229189741</v>
      </c>
      <c r="M12" s="479">
        <v>0.56705452511239096</v>
      </c>
      <c r="O12" s="125" t="s">
        <v>3</v>
      </c>
      <c r="P12" s="436">
        <v>0</v>
      </c>
      <c r="Q12" s="436">
        <v>0</v>
      </c>
      <c r="R12" s="437">
        <v>4789.0282773411491</v>
      </c>
      <c r="S12" s="436">
        <v>0.59967391574784801</v>
      </c>
      <c r="T12" s="436">
        <v>5.4757771297377002E-2</v>
      </c>
      <c r="U12" s="436">
        <v>0.51033985506740698</v>
      </c>
      <c r="V12" s="518">
        <v>2.7425902156981946E-3</v>
      </c>
      <c r="W12" s="436">
        <v>364.61854523116193</v>
      </c>
      <c r="X12" s="437">
        <v>1.2507481697251781</v>
      </c>
      <c r="Y12" s="436">
        <v>0.50010350204543397</v>
      </c>
      <c r="Z12" s="436">
        <v>0.49995707722844401</v>
      </c>
      <c r="AA12" s="438">
        <v>0.97499700752319596</v>
      </c>
    </row>
    <row r="13" spans="2:27" ht="16.5" customHeight="1">
      <c r="B13" s="66" t="s">
        <v>75</v>
      </c>
      <c r="C13" s="70" t="s">
        <v>12</v>
      </c>
      <c r="D13" s="70" t="s">
        <v>16</v>
      </c>
      <c r="E13" s="506">
        <f>+Input_Data!C15</f>
        <v>7.0000000000000007E-2</v>
      </c>
      <c r="G13" s="127" t="s">
        <v>53</v>
      </c>
      <c r="H13" s="102">
        <v>1124.154579753852</v>
      </c>
      <c r="I13" s="102">
        <v>1112.9130339563135</v>
      </c>
      <c r="J13" s="102">
        <v>555.24271479059303</v>
      </c>
      <c r="K13" s="102">
        <v>541.21924113997591</v>
      </c>
      <c r="L13" s="103">
        <v>1.341484711836066</v>
      </c>
      <c r="M13" s="104">
        <v>0.66980549434008696</v>
      </c>
      <c r="O13" s="127" t="s">
        <v>53</v>
      </c>
      <c r="P13" s="103">
        <v>0</v>
      </c>
      <c r="Q13" s="103">
        <v>0</v>
      </c>
      <c r="R13" s="154">
        <v>5425.4166082416486</v>
      </c>
      <c r="S13" s="103">
        <v>0.60361619065813799</v>
      </c>
      <c r="T13" s="103">
        <v>5.5754953718840997E-2</v>
      </c>
      <c r="U13" s="103">
        <v>0.52935453058372794</v>
      </c>
      <c r="V13" s="517">
        <v>2.7533865227935056E-3</v>
      </c>
      <c r="W13" s="103">
        <v>366.04548787578142</v>
      </c>
      <c r="X13" s="154">
        <v>1.402469502018052</v>
      </c>
      <c r="Y13" s="103">
        <v>0.51004526464270705</v>
      </c>
      <c r="Z13" s="103">
        <v>0.50990057804617095</v>
      </c>
      <c r="AA13" s="104">
        <v>0.97600812830310701</v>
      </c>
    </row>
    <row r="14" spans="2:27" ht="16.5" customHeight="1">
      <c r="B14" s="67" t="s">
        <v>75</v>
      </c>
      <c r="C14" s="71" t="s">
        <v>13</v>
      </c>
      <c r="D14" s="71" t="s">
        <v>16</v>
      </c>
      <c r="E14" s="506">
        <f>+Input_Data!C19</f>
        <v>0.5</v>
      </c>
      <c r="G14" s="125" t="s">
        <v>54</v>
      </c>
      <c r="H14" s="105">
        <v>1284.0070589157788</v>
      </c>
      <c r="I14" s="105">
        <v>1271.1669883266209</v>
      </c>
      <c r="J14" s="105">
        <v>635.29898521151745</v>
      </c>
      <c r="K14" s="105">
        <v>619.46851058165589</v>
      </c>
      <c r="L14" s="107">
        <v>1.5871527590629759</v>
      </c>
      <c r="M14" s="108">
        <v>0.79341321066939097</v>
      </c>
      <c r="O14" s="125" t="s">
        <v>54</v>
      </c>
      <c r="P14" s="107">
        <v>0</v>
      </c>
      <c r="Q14" s="107">
        <v>0</v>
      </c>
      <c r="R14" s="156">
        <v>6126.5620097544761</v>
      </c>
      <c r="S14" s="107">
        <v>0.60788154796847305</v>
      </c>
      <c r="T14" s="107">
        <v>5.6855284625691997E-2</v>
      </c>
      <c r="U14" s="107">
        <v>0.54931351288096197</v>
      </c>
      <c r="V14" s="519">
        <v>2.7644524239325043E-3</v>
      </c>
      <c r="W14" s="107">
        <v>367.49716550359972</v>
      </c>
      <c r="X14" s="156">
        <v>1.551300567598688</v>
      </c>
      <c r="Y14" s="107">
        <v>0.52005491432270701</v>
      </c>
      <c r="Z14" s="107">
        <v>0.51989529266482903</v>
      </c>
      <c r="AA14" s="108">
        <v>0.97701415450638796</v>
      </c>
    </row>
    <row r="15" spans="2:27" ht="16.5" customHeight="1">
      <c r="B15" s="66" t="s">
        <v>75</v>
      </c>
      <c r="C15" s="70" t="s">
        <v>142</v>
      </c>
      <c r="D15" s="70" t="s">
        <v>145</v>
      </c>
      <c r="E15" s="505">
        <f>+Input_Data!C24</f>
        <v>3.3333333333333335E-3</v>
      </c>
      <c r="G15" s="127" t="s">
        <v>55</v>
      </c>
      <c r="H15" s="102">
        <v>1481.4951667680575</v>
      </c>
      <c r="I15" s="102">
        <v>1466.6802151003769</v>
      </c>
      <c r="J15" s="102">
        <v>734.03427447853835</v>
      </c>
      <c r="K15" s="102">
        <v>715.86079711387151</v>
      </c>
      <c r="L15" s="103">
        <v>1.9243896227273469</v>
      </c>
      <c r="M15" s="104">
        <v>0.96089561949717595</v>
      </c>
      <c r="O15" s="127" t="s">
        <v>55</v>
      </c>
      <c r="P15" s="103">
        <v>0</v>
      </c>
      <c r="Q15" s="103">
        <v>0</v>
      </c>
      <c r="R15" s="154">
        <v>6966.1149758960746</v>
      </c>
      <c r="S15" s="103">
        <v>0.61286269114905001</v>
      </c>
      <c r="T15" s="103">
        <v>5.8165769612145E-2</v>
      </c>
      <c r="U15" s="103">
        <v>0.57144808986849605</v>
      </c>
      <c r="V15" s="517">
        <v>2.7755756420104485E-3</v>
      </c>
      <c r="W15" s="103">
        <v>368.96598712651763</v>
      </c>
      <c r="X15" s="154">
        <v>1.6999665215611299</v>
      </c>
      <c r="Y15" s="103">
        <v>0.53005016282203199</v>
      </c>
      <c r="Z15" s="103">
        <v>0.52986437290900601</v>
      </c>
      <c r="AA15" s="104">
        <v>0.97802305363492203</v>
      </c>
    </row>
    <row r="16" spans="2:27" ht="16.5" customHeight="1">
      <c r="B16" s="67" t="s">
        <v>73</v>
      </c>
      <c r="C16" s="71" t="s">
        <v>38</v>
      </c>
      <c r="D16" s="71" t="s">
        <v>176</v>
      </c>
      <c r="E16" s="504">
        <f>+Input_Data!C25</f>
        <v>300</v>
      </c>
      <c r="G16" s="125" t="s">
        <v>2</v>
      </c>
      <c r="H16" s="470">
        <v>1773.4829193101677</v>
      </c>
      <c r="I16" s="470">
        <v>1755.7480901170663</v>
      </c>
      <c r="J16" s="470">
        <v>879.55395856504231</v>
      </c>
      <c r="K16" s="470">
        <v>857.38513984826875</v>
      </c>
      <c r="L16" s="478">
        <v>2.4392794414174079</v>
      </c>
      <c r="M16" s="479">
        <v>1.223157593337199</v>
      </c>
      <c r="O16" s="125" t="s">
        <v>2</v>
      </c>
      <c r="P16" s="436">
        <v>0</v>
      </c>
      <c r="Q16" s="436">
        <v>0</v>
      </c>
      <c r="R16" s="437">
        <v>8052.2120204893017</v>
      </c>
      <c r="S16" s="436">
        <v>0.61995999675773505</v>
      </c>
      <c r="T16" s="436">
        <v>6.0011201734711E-2</v>
      </c>
      <c r="U16" s="436">
        <v>0.60051296283010003</v>
      </c>
      <c r="V16" s="518">
        <v>2.78691653348845E-3</v>
      </c>
      <c r="W16" s="436">
        <v>370.42881798024013</v>
      </c>
      <c r="X16" s="437">
        <v>1.8488356689218599</v>
      </c>
      <c r="Y16" s="436">
        <v>0.53992817326911202</v>
      </c>
      <c r="Z16" s="436">
        <v>0.53991844853848203</v>
      </c>
      <c r="AA16" s="438">
        <v>0.97901915170206599</v>
      </c>
    </row>
    <row r="17" spans="2:27" ht="16.5" customHeight="1">
      <c r="B17" s="66" t="s">
        <v>75</v>
      </c>
      <c r="C17" s="70" t="s">
        <v>143</v>
      </c>
      <c r="D17" s="2" t="s">
        <v>144</v>
      </c>
      <c r="E17" s="503">
        <f>+Input_Data!C26</f>
        <v>5</v>
      </c>
      <c r="G17" s="127" t="s">
        <v>41</v>
      </c>
      <c r="H17" s="102">
        <v>2545.8952029089551</v>
      </c>
      <c r="I17" s="102">
        <v>2520.4362508798654</v>
      </c>
      <c r="J17" s="102">
        <v>1270.7850466499542</v>
      </c>
      <c r="K17" s="102">
        <v>1239.447873293444</v>
      </c>
      <c r="L17" s="103">
        <v>3.9166765441791118</v>
      </c>
      <c r="M17" s="104">
        <v>1.9695968158405861</v>
      </c>
      <c r="O17" s="127" t="s">
        <v>41</v>
      </c>
      <c r="P17" s="103">
        <v>0</v>
      </c>
      <c r="Q17" s="103">
        <v>0</v>
      </c>
      <c r="R17" s="154">
        <v>9886.7573501419884</v>
      </c>
      <c r="S17" s="103">
        <v>0.63676887968742502</v>
      </c>
      <c r="T17" s="103">
        <v>6.4667261778495994E-2</v>
      </c>
      <c r="U17" s="103">
        <v>0.66135470198494395</v>
      </c>
      <c r="V17" s="396">
        <v>2.7971129923994456E-3</v>
      </c>
      <c r="W17" s="103">
        <v>371.75776105078143</v>
      </c>
      <c r="X17" s="154">
        <v>1.9856688643273279</v>
      </c>
      <c r="Y17" s="103">
        <v>0.54893852155606204</v>
      </c>
      <c r="Z17" s="103">
        <v>0.54897169452112704</v>
      </c>
      <c r="AA17" s="104">
        <v>0.97990156745067902</v>
      </c>
    </row>
    <row r="18" spans="2:27" ht="16.5" customHeight="1">
      <c r="B18" s="67" t="s">
        <v>73</v>
      </c>
      <c r="C18" s="71" t="s">
        <v>110</v>
      </c>
      <c r="D18" s="71" t="s">
        <v>16</v>
      </c>
      <c r="E18" s="504">
        <f>+Input_Data!C33</f>
        <v>0.65</v>
      </c>
      <c r="G18" s="128" t="s">
        <v>56</v>
      </c>
      <c r="H18" s="109">
        <v>4673.9744645797573</v>
      </c>
      <c r="I18" s="109">
        <v>4627.2347199339592</v>
      </c>
      <c r="J18" s="109">
        <v>2393.6853855543222</v>
      </c>
      <c r="K18" s="109">
        <v>2340.716593294771</v>
      </c>
      <c r="L18" s="110">
        <v>7.7473901611439651</v>
      </c>
      <c r="M18" s="111">
        <v>3.984032083085014</v>
      </c>
      <c r="O18" s="128" t="s">
        <v>56</v>
      </c>
      <c r="P18" s="110">
        <v>0</v>
      </c>
      <c r="Q18" s="110">
        <v>0</v>
      </c>
      <c r="R18" s="158">
        <v>10710.712398393407</v>
      </c>
      <c r="S18" s="110">
        <v>0.68350300213117499</v>
      </c>
      <c r="T18" s="110">
        <v>7.5399272392259006E-2</v>
      </c>
      <c r="U18" s="110">
        <v>0.76693265770693198</v>
      </c>
      <c r="V18" s="397">
        <v>2.798302174721992E-3</v>
      </c>
      <c r="W18" s="110">
        <v>371.91479384651245</v>
      </c>
      <c r="X18" s="158">
        <v>1.9999861558899219</v>
      </c>
      <c r="Y18" s="110">
        <v>0.54999834038317097</v>
      </c>
      <c r="Z18" s="110">
        <v>0.549999222578481</v>
      </c>
      <c r="AA18" s="111">
        <v>0.97999995237216397</v>
      </c>
    </row>
    <row r="19" spans="2:27" ht="16.5" customHeight="1">
      <c r="B19" s="66" t="s">
        <v>73</v>
      </c>
      <c r="C19" s="70" t="s">
        <v>104</v>
      </c>
      <c r="D19" s="70" t="s">
        <v>16</v>
      </c>
      <c r="E19" s="504">
        <f>+Input_Data!C30</f>
        <v>0.5</v>
      </c>
    </row>
    <row r="20" spans="2:27" ht="15" customHeight="1">
      <c r="B20" s="67" t="s">
        <v>73</v>
      </c>
      <c r="C20" s="72" t="s">
        <v>315</v>
      </c>
      <c r="D20" s="71" t="s">
        <v>16</v>
      </c>
      <c r="E20" s="504">
        <f>+Input_Data!C31</f>
        <v>0.95</v>
      </c>
      <c r="G20" s="121" t="s">
        <v>114</v>
      </c>
      <c r="H20" s="472"/>
      <c r="I20" s="129"/>
      <c r="J20" s="129"/>
      <c r="K20" s="129"/>
      <c r="L20" s="129"/>
      <c r="M20" s="130"/>
      <c r="O20" s="421"/>
      <c r="P20" s="226"/>
      <c r="Q20" s="226"/>
      <c r="R20" s="226" t="s">
        <v>169</v>
      </c>
      <c r="S20" s="226"/>
      <c r="T20" s="226"/>
      <c r="U20" s="226" t="s">
        <v>130</v>
      </c>
      <c r="V20" s="226" t="s">
        <v>297</v>
      </c>
      <c r="W20" s="226" t="s">
        <v>308</v>
      </c>
      <c r="X20" s="226"/>
      <c r="Y20" s="226" t="s">
        <v>30</v>
      </c>
      <c r="Z20" s="226" t="s">
        <v>68</v>
      </c>
      <c r="AA20" s="422" t="s">
        <v>30</v>
      </c>
    </row>
    <row r="21" spans="2:27" ht="15" customHeight="1">
      <c r="C21" s="74"/>
      <c r="D21" s="74"/>
      <c r="E21" s="74"/>
      <c r="G21" s="122"/>
      <c r="H21" s="508" t="s">
        <v>318</v>
      </c>
      <c r="I21" s="41" t="s">
        <v>57</v>
      </c>
      <c r="J21" s="41" t="s">
        <v>320</v>
      </c>
      <c r="K21" s="41" t="s">
        <v>30</v>
      </c>
      <c r="L21" s="41" t="s">
        <v>112</v>
      </c>
      <c r="M21" s="96" t="s">
        <v>68</v>
      </c>
      <c r="O21" s="423"/>
      <c r="P21" s="159" t="s">
        <v>8</v>
      </c>
      <c r="Q21" s="159" t="s">
        <v>9</v>
      </c>
      <c r="R21" s="159" t="s">
        <v>129</v>
      </c>
      <c r="S21" s="159" t="s">
        <v>77</v>
      </c>
      <c r="T21" s="159" t="s">
        <v>12</v>
      </c>
      <c r="U21" s="159" t="s">
        <v>131</v>
      </c>
      <c r="V21" s="159" t="s">
        <v>298</v>
      </c>
      <c r="W21" s="159" t="s">
        <v>166</v>
      </c>
      <c r="X21" s="159" t="s">
        <v>143</v>
      </c>
      <c r="Y21" s="159" t="s">
        <v>132</v>
      </c>
      <c r="Z21" s="159" t="s">
        <v>132</v>
      </c>
      <c r="AA21" s="160" t="s">
        <v>133</v>
      </c>
    </row>
    <row r="22" spans="2:27" ht="15" customHeight="1" thickBot="1">
      <c r="C22" s="90" t="s">
        <v>78</v>
      </c>
      <c r="D22" s="90"/>
      <c r="E22" s="90"/>
      <c r="G22" s="120" t="s">
        <v>7</v>
      </c>
      <c r="H22" s="509" t="s">
        <v>129</v>
      </c>
      <c r="I22" s="161" t="s">
        <v>58</v>
      </c>
      <c r="J22" s="161" t="s">
        <v>321</v>
      </c>
      <c r="K22" s="161" t="s">
        <v>59</v>
      </c>
      <c r="L22" s="161" t="s">
        <v>113</v>
      </c>
      <c r="M22" s="162" t="s">
        <v>59</v>
      </c>
      <c r="O22" s="424" t="s">
        <v>7</v>
      </c>
      <c r="P22" s="161"/>
      <c r="Q22" s="161"/>
      <c r="R22" s="161"/>
      <c r="S22" s="161"/>
      <c r="T22" s="161"/>
      <c r="U22" s="161"/>
      <c r="V22" s="161"/>
      <c r="W22" s="161"/>
      <c r="X22" s="161"/>
      <c r="Y22" s="161"/>
      <c r="Z22" s="161"/>
      <c r="AA22" s="162"/>
    </row>
    <row r="23" spans="2:27" ht="15" customHeight="1">
      <c r="C23" s="86" t="s">
        <v>319</v>
      </c>
      <c r="D23" s="78" t="s">
        <v>60</v>
      </c>
      <c r="E23" s="79">
        <f>+E24/Input_Data!C32</f>
        <v>209.71538408229748</v>
      </c>
      <c r="G23" s="123" t="s">
        <v>115</v>
      </c>
      <c r="H23" s="473">
        <v>100000</v>
      </c>
      <c r="I23" s="474">
        <v>100000</v>
      </c>
      <c r="J23" s="474">
        <v>100000</v>
      </c>
      <c r="K23" s="113">
        <v>100000</v>
      </c>
      <c r="L23" s="113">
        <v>100000</v>
      </c>
      <c r="M23" s="114">
        <v>100000</v>
      </c>
      <c r="O23" s="125"/>
      <c r="P23" s="157">
        <v>100000</v>
      </c>
      <c r="Q23" s="157">
        <v>100000</v>
      </c>
      <c r="R23" s="157">
        <v>100000</v>
      </c>
      <c r="S23" s="157">
        <v>100000</v>
      </c>
      <c r="T23" s="157">
        <v>100000</v>
      </c>
      <c r="U23" s="157">
        <v>100000</v>
      </c>
      <c r="V23" s="157">
        <v>100000</v>
      </c>
      <c r="W23" s="157">
        <v>100000</v>
      </c>
      <c r="X23" s="157">
        <v>100000</v>
      </c>
      <c r="Y23" s="157">
        <v>100000</v>
      </c>
      <c r="Z23" s="157">
        <v>100000</v>
      </c>
      <c r="AA23" s="153">
        <v>100000</v>
      </c>
    </row>
    <row r="24" spans="2:27" ht="15" customHeight="1">
      <c r="C24" s="86" t="s">
        <v>82</v>
      </c>
      <c r="D24" s="78" t="s">
        <v>60</v>
      </c>
      <c r="E24" s="79">
        <f>+(43560*((3.2808^3)/43560*1000000)*E11*E13*E12*(1-E14)*Input_Data!C32/E15)/1000000000</f>
        <v>207.61823024147449</v>
      </c>
      <c r="G24" s="124" t="s">
        <v>61</v>
      </c>
      <c r="H24" s="475">
        <v>1065.5558121198576</v>
      </c>
      <c r="I24" s="227">
        <v>1054.900253998657</v>
      </c>
      <c r="J24" s="227">
        <v>527.4697076858622</v>
      </c>
      <c r="K24" s="227">
        <v>514.28332683522501</v>
      </c>
      <c r="L24" s="227">
        <v>1.3188433744293779</v>
      </c>
      <c r="M24" s="228">
        <v>0.65951289081354292</v>
      </c>
      <c r="O24" s="124"/>
      <c r="P24" s="231">
        <v>0</v>
      </c>
      <c r="Q24" s="231">
        <v>0</v>
      </c>
      <c r="R24" s="231">
        <v>5022.13748996904</v>
      </c>
      <c r="S24" s="231">
        <v>0.59988571538137914</v>
      </c>
      <c r="T24" s="231">
        <v>5.4900476650037756E-2</v>
      </c>
      <c r="U24" s="231">
        <v>0.50401696034845711</v>
      </c>
      <c r="V24" s="231">
        <v>2.7429310333474187E-3</v>
      </c>
      <c r="W24" s="231">
        <v>364.62151955472194</v>
      </c>
      <c r="X24" s="231">
        <v>1.2505551859150552</v>
      </c>
      <c r="Y24" s="231">
        <v>0.49999020093746332</v>
      </c>
      <c r="Z24" s="231">
        <v>0.50002216492022888</v>
      </c>
      <c r="AA24" s="232">
        <v>0.97500772297712213</v>
      </c>
    </row>
    <row r="25" spans="2:27" ht="15" customHeight="1">
      <c r="C25" s="86" t="s">
        <v>316</v>
      </c>
      <c r="D25" s="78" t="s">
        <v>60</v>
      </c>
      <c r="E25" s="79">
        <f>+E24*E18</f>
        <v>134.95184965695842</v>
      </c>
      <c r="F25" s="73"/>
      <c r="G25" s="125" t="s">
        <v>116</v>
      </c>
      <c r="H25" s="476">
        <v>985.00740853473962</v>
      </c>
      <c r="I25" s="105">
        <v>975.15733444939224</v>
      </c>
      <c r="J25" s="105">
        <v>486.75812671763322</v>
      </c>
      <c r="K25" s="105">
        <v>474.63646281076979</v>
      </c>
      <c r="L25" s="105">
        <v>1.1365942431192857</v>
      </c>
      <c r="M25" s="106">
        <v>0.56706339058736299</v>
      </c>
      <c r="O25" s="125"/>
      <c r="P25" s="107">
        <v>0</v>
      </c>
      <c r="Q25" s="107">
        <v>0</v>
      </c>
      <c r="R25" s="107">
        <v>4789.0476595886612</v>
      </c>
      <c r="S25" s="107">
        <v>0.59967398332678334</v>
      </c>
      <c r="T25" s="107">
        <v>5.4757784804358056E-2</v>
      </c>
      <c r="U25" s="107">
        <v>0.51034078875868505</v>
      </c>
      <c r="V25" s="107">
        <v>2.7425912378443735E-3</v>
      </c>
      <c r="W25" s="107">
        <v>364.61868112220782</v>
      </c>
      <c r="X25" s="107">
        <v>1.2507487148981302</v>
      </c>
      <c r="Y25" s="107">
        <v>0.50010356304706249</v>
      </c>
      <c r="Z25" s="107">
        <v>0.49995817164888523</v>
      </c>
      <c r="AA25" s="108">
        <v>0.9749971252377132</v>
      </c>
    </row>
    <row r="26" spans="2:27" ht="15" customHeight="1">
      <c r="C26" s="86" t="s">
        <v>83</v>
      </c>
      <c r="D26" s="78" t="s">
        <v>60</v>
      </c>
      <c r="E26" s="79">
        <f>+E25*E20</f>
        <v>128.2042571741105</v>
      </c>
      <c r="F26" s="73"/>
      <c r="G26" s="124" t="s">
        <v>117</v>
      </c>
      <c r="H26" s="475" t="s">
        <v>118</v>
      </c>
      <c r="I26" s="115" t="s">
        <v>118</v>
      </c>
      <c r="J26" s="115" t="s">
        <v>118</v>
      </c>
      <c r="K26" s="115" t="s">
        <v>118</v>
      </c>
      <c r="L26" s="115" t="s">
        <v>118</v>
      </c>
      <c r="M26" s="116" t="s">
        <v>118</v>
      </c>
      <c r="O26" s="124"/>
      <c r="P26" s="231">
        <v>0</v>
      </c>
      <c r="Q26" s="231">
        <v>0</v>
      </c>
      <c r="R26" s="231" t="s">
        <v>73</v>
      </c>
      <c r="S26" s="231" t="s">
        <v>73</v>
      </c>
      <c r="T26" s="231" t="s">
        <v>73</v>
      </c>
      <c r="U26" s="231" t="s">
        <v>73</v>
      </c>
      <c r="V26" s="231" t="s">
        <v>73</v>
      </c>
      <c r="W26" s="231" t="s">
        <v>73</v>
      </c>
      <c r="X26" s="231" t="s">
        <v>73</v>
      </c>
      <c r="Y26" s="231" t="s">
        <v>73</v>
      </c>
      <c r="Z26" s="231" t="s">
        <v>73</v>
      </c>
      <c r="AA26" s="232" t="s">
        <v>73</v>
      </c>
    </row>
    <row r="27" spans="2:27" ht="15" customHeight="1">
      <c r="C27" s="86" t="s">
        <v>84</v>
      </c>
      <c r="D27" s="78" t="s">
        <v>85</v>
      </c>
      <c r="E27" s="471">
        <f>+E24*E17/1000</f>
        <v>1.0380911512073723</v>
      </c>
      <c r="F27" s="73"/>
      <c r="G27" s="125" t="s">
        <v>158</v>
      </c>
      <c r="H27" s="476">
        <v>518.73010336532593</v>
      </c>
      <c r="I27" s="105">
        <v>513.5428023316731</v>
      </c>
      <c r="J27" s="105">
        <v>259.16628829671834</v>
      </c>
      <c r="K27" s="105">
        <v>252.68292987000984</v>
      </c>
      <c r="L27" s="105">
        <v>0.81749052455762072</v>
      </c>
      <c r="M27" s="106">
        <v>0.41139403489035054</v>
      </c>
      <c r="O27" s="125"/>
      <c r="P27" s="107">
        <v>0</v>
      </c>
      <c r="Q27" s="107">
        <v>0</v>
      </c>
      <c r="R27" s="107">
        <v>2121.5002126437062</v>
      </c>
      <c r="S27" s="107">
        <v>1.5534114547366503E-2</v>
      </c>
      <c r="T27" s="107">
        <v>3.9314957703240633E-3</v>
      </c>
      <c r="U27" s="107">
        <v>7.9047722858562541E-2</v>
      </c>
      <c r="V27" s="107">
        <v>3.1476738478266671E-5</v>
      </c>
      <c r="W27" s="107">
        <v>4.1837164975021235</v>
      </c>
      <c r="X27" s="107">
        <v>0.43295493575590516</v>
      </c>
      <c r="Y27" s="107">
        <v>2.8910813333353429E-2</v>
      </c>
      <c r="Z27" s="107">
        <v>2.8787542163891594E-2</v>
      </c>
      <c r="AA27" s="108">
        <v>2.8912269648406447E-3</v>
      </c>
    </row>
    <row r="28" spans="2:27" ht="15" customHeight="1">
      <c r="C28" s="86" t="s">
        <v>86</v>
      </c>
      <c r="D28" s="78" t="s">
        <v>85</v>
      </c>
      <c r="E28" s="471">
        <f>+E27*E19</f>
        <v>0.51904557560368614</v>
      </c>
      <c r="F28" s="73"/>
      <c r="G28" s="124" t="s">
        <v>119</v>
      </c>
      <c r="H28" s="475">
        <v>269080.92013740173</v>
      </c>
      <c r="I28" s="227">
        <v>263726.20982666791</v>
      </c>
      <c r="J28" s="227">
        <v>67167.164989497716</v>
      </c>
      <c r="K28" s="227">
        <v>63848.663047692316</v>
      </c>
      <c r="L28" s="227">
        <v>0.66829075774149382</v>
      </c>
      <c r="M28" s="228">
        <v>0.16924505194336295</v>
      </c>
      <c r="O28" s="124"/>
      <c r="P28" s="231">
        <v>0</v>
      </c>
      <c r="Q28" s="231">
        <v>0</v>
      </c>
      <c r="R28" s="231">
        <v>4500763.1522472911</v>
      </c>
      <c r="S28" s="231">
        <v>2.4130871477070362E-4</v>
      </c>
      <c r="T28" s="231">
        <v>1.5456658992076002E-5</v>
      </c>
      <c r="U28" s="231">
        <v>6.2485424891241103E-3</v>
      </c>
      <c r="V28" s="231">
        <v>9.9078506522919343E-10</v>
      </c>
      <c r="W28" s="231">
        <v>17.503483731471434</v>
      </c>
      <c r="X28" s="231">
        <v>0.18744997639539998</v>
      </c>
      <c r="Y28" s="231">
        <v>8.3583512759600629E-4</v>
      </c>
      <c r="Z28" s="231">
        <v>8.2872258383783631E-4</v>
      </c>
      <c r="AA28" s="232">
        <v>8.3591933622216463E-6</v>
      </c>
    </row>
    <row r="29" spans="2:27" ht="15" customHeight="1">
      <c r="F29" s="73"/>
      <c r="G29" s="125" t="s">
        <v>120</v>
      </c>
      <c r="H29" s="476">
        <v>0.7993800808448801</v>
      </c>
      <c r="I29" s="105">
        <v>0.79938008084488932</v>
      </c>
      <c r="J29" s="105">
        <v>0.83292190336215843</v>
      </c>
      <c r="K29" s="105">
        <v>0.8327777334265809</v>
      </c>
      <c r="L29" s="105">
        <v>1.2329711125131824</v>
      </c>
      <c r="M29" s="106">
        <v>1.2559171680723169</v>
      </c>
      <c r="O29" s="125"/>
      <c r="P29" s="107" t="s">
        <v>73</v>
      </c>
      <c r="Q29" s="107" t="s">
        <v>73</v>
      </c>
      <c r="R29" s="107">
        <v>0.31471620314162024</v>
      </c>
      <c r="S29" s="107">
        <v>7.3434974912023748E-2</v>
      </c>
      <c r="T29" s="107">
        <v>0.22236943279511243</v>
      </c>
      <c r="U29" s="107">
        <v>-0.47176592426272329</v>
      </c>
      <c r="V29" s="107">
        <v>2.4951685768336489E-2</v>
      </c>
      <c r="W29" s="107">
        <v>2.9233000818962344E-3</v>
      </c>
      <c r="X29" s="107">
        <v>-4.6723579072707258E-3</v>
      </c>
      <c r="Y29" s="107">
        <v>-3.6830030797775967E-3</v>
      </c>
      <c r="Z29" s="107">
        <v>-2.0359891208603654E-4</v>
      </c>
      <c r="AA29" s="108">
        <v>1.2054321789822034E-3</v>
      </c>
    </row>
    <row r="30" spans="2:27" ht="15" customHeight="1">
      <c r="F30" s="74"/>
      <c r="G30" s="124" t="s">
        <v>121</v>
      </c>
      <c r="H30" s="475">
        <v>3.7104174264636476</v>
      </c>
      <c r="I30" s="227">
        <v>3.710417426463648</v>
      </c>
      <c r="J30" s="227">
        <v>3.8334169413843009</v>
      </c>
      <c r="K30" s="227">
        <v>3.8327868571247397</v>
      </c>
      <c r="L30" s="227">
        <v>4.9661238881252618</v>
      </c>
      <c r="M30" s="228">
        <v>5.076938218819711</v>
      </c>
      <c r="O30" s="124"/>
      <c r="P30" s="231" t="s">
        <v>73</v>
      </c>
      <c r="Q30" s="231" t="s">
        <v>73</v>
      </c>
      <c r="R30" s="231">
        <v>2.408697990150046</v>
      </c>
      <c r="S30" s="231">
        <v>3.0230215037774903</v>
      </c>
      <c r="T30" s="231">
        <v>3.0948036660741516</v>
      </c>
      <c r="U30" s="231">
        <v>3.3682260975599414</v>
      </c>
      <c r="V30" s="231">
        <v>1.8104037436348708</v>
      </c>
      <c r="W30" s="231">
        <v>1.8097015436651875</v>
      </c>
      <c r="X30" s="231">
        <v>1.8002674847532349</v>
      </c>
      <c r="Y30" s="231">
        <v>1.7943277185074609</v>
      </c>
      <c r="Z30" s="231">
        <v>1.8082138511608612</v>
      </c>
      <c r="AA30" s="232">
        <v>1.7982905026612956</v>
      </c>
    </row>
    <row r="31" spans="2:27" ht="15" customHeight="1">
      <c r="F31" s="74"/>
      <c r="G31" s="125" t="s">
        <v>170</v>
      </c>
      <c r="H31" s="476">
        <v>0.48681645528575773</v>
      </c>
      <c r="I31" s="105">
        <v>0.48681645528575906</v>
      </c>
      <c r="J31" s="105">
        <v>0.49133871485007891</v>
      </c>
      <c r="K31" s="105">
        <v>0.49133020007659856</v>
      </c>
      <c r="L31" s="105">
        <v>0.61985413917048582</v>
      </c>
      <c r="M31" s="106">
        <v>0.62378467596421794</v>
      </c>
      <c r="O31" s="125"/>
      <c r="P31" s="107" t="s">
        <v>73</v>
      </c>
      <c r="Q31" s="107" t="s">
        <v>73</v>
      </c>
      <c r="R31" s="107">
        <v>0.42242973572131032</v>
      </c>
      <c r="S31" s="107">
        <v>2.589512326942248E-2</v>
      </c>
      <c r="T31" s="107">
        <v>7.1611323074393732E-2</v>
      </c>
      <c r="U31" s="107">
        <v>0.15683544221192897</v>
      </c>
      <c r="V31" s="107">
        <v>1.1475585093312785E-2</v>
      </c>
      <c r="W31" s="107">
        <v>1.1474134885432171E-2</v>
      </c>
      <c r="X31" s="107">
        <v>0.34621017979234858</v>
      </c>
      <c r="Y31" s="107">
        <v>5.7822759884387155E-2</v>
      </c>
      <c r="Z31" s="107">
        <v>5.757253214661838E-2</v>
      </c>
      <c r="AA31" s="108">
        <v>2.9653375011353478E-3</v>
      </c>
    </row>
    <row r="32" spans="2:27" ht="15" customHeight="1">
      <c r="B32" s="149" t="s">
        <v>128</v>
      </c>
      <c r="C32" s="132"/>
      <c r="D32" s="150"/>
      <c r="E32" s="132"/>
      <c r="G32" s="124" t="s">
        <v>122</v>
      </c>
      <c r="H32" s="475">
        <v>64.50124707163495</v>
      </c>
      <c r="I32" s="227">
        <v>63.856234600918597</v>
      </c>
      <c r="J32" s="227">
        <v>32.314930264283731</v>
      </c>
      <c r="K32" s="227">
        <v>31.612978048338011</v>
      </c>
      <c r="L32" s="227">
        <v>4.5650090110038163E-2</v>
      </c>
      <c r="M32" s="228">
        <v>2.2266000105826494E-2</v>
      </c>
      <c r="O32" s="124"/>
      <c r="P32" s="231">
        <v>0</v>
      </c>
      <c r="Q32" s="231">
        <v>0</v>
      </c>
      <c r="R32" s="231">
        <v>510.43125585783167</v>
      </c>
      <c r="S32" s="231">
        <v>0.53769067223141087</v>
      </c>
      <c r="T32" s="231">
        <v>4.0035725976112588E-2</v>
      </c>
      <c r="U32" s="231">
        <v>6.3618451823307165E-2</v>
      </c>
      <c r="V32" s="231">
        <v>2.6887879066534136E-3</v>
      </c>
      <c r="W32" s="231">
        <v>357.35954788347647</v>
      </c>
      <c r="X32" s="231">
        <v>0.50001106900163506</v>
      </c>
      <c r="Y32" s="231">
        <v>0.45000086519867222</v>
      </c>
      <c r="Z32" s="231">
        <v>0.45000083236955146</v>
      </c>
      <c r="AA32" s="232">
        <v>0.97000000020954757</v>
      </c>
    </row>
    <row r="33" spans="2:28" ht="15" customHeight="1">
      <c r="B33" s="148" t="s">
        <v>7</v>
      </c>
      <c r="C33" s="76" t="s">
        <v>79</v>
      </c>
      <c r="D33" s="76" t="s">
        <v>80</v>
      </c>
      <c r="E33" s="77" t="s">
        <v>81</v>
      </c>
      <c r="G33" s="125" t="s">
        <v>123</v>
      </c>
      <c r="H33" s="476">
        <v>4673.9744645797573</v>
      </c>
      <c r="I33" s="105">
        <v>4627.2347199339592</v>
      </c>
      <c r="J33" s="105">
        <v>2393.6853855543222</v>
      </c>
      <c r="K33" s="105">
        <v>2340.716593294771</v>
      </c>
      <c r="L33" s="105">
        <v>7.7473901611439651</v>
      </c>
      <c r="M33" s="106">
        <v>3.9840320830850144</v>
      </c>
      <c r="O33" s="125"/>
      <c r="P33" s="107">
        <v>0</v>
      </c>
      <c r="Q33" s="107">
        <v>0</v>
      </c>
      <c r="R33" s="107">
        <v>10710.712398393407</v>
      </c>
      <c r="S33" s="107">
        <v>0.6835030021311751</v>
      </c>
      <c r="T33" s="107">
        <v>7.5399272392258632E-2</v>
      </c>
      <c r="U33" s="107">
        <v>0.76693265770693253</v>
      </c>
      <c r="V33" s="107">
        <v>2.798302174721992E-3</v>
      </c>
      <c r="W33" s="107">
        <v>371.91479384651245</v>
      </c>
      <c r="X33" s="107">
        <v>1.9999861558899219</v>
      </c>
      <c r="Y33" s="107">
        <v>0.5499983403831713</v>
      </c>
      <c r="Z33" s="107">
        <v>0.54999922257848055</v>
      </c>
      <c r="AA33" s="108">
        <v>0.97999995237216353</v>
      </c>
    </row>
    <row r="34" spans="2:28" ht="15" customHeight="1">
      <c r="B34" s="80" t="s">
        <v>82</v>
      </c>
      <c r="C34" s="80"/>
      <c r="D34" s="81"/>
      <c r="E34" s="151" t="s">
        <v>73</v>
      </c>
      <c r="G34" s="124" t="s">
        <v>124</v>
      </c>
      <c r="H34" s="475">
        <v>4609.4732175081226</v>
      </c>
      <c r="I34" s="227">
        <v>4563.3784853330408</v>
      </c>
      <c r="J34" s="227">
        <v>2361.3704552900385</v>
      </c>
      <c r="K34" s="227">
        <v>2309.103615246433</v>
      </c>
      <c r="L34" s="227">
        <v>7.7017400710339272</v>
      </c>
      <c r="M34" s="228">
        <v>3.9617660829791879</v>
      </c>
      <c r="O34" s="124"/>
      <c r="P34" s="231">
        <v>0</v>
      </c>
      <c r="Q34" s="231">
        <v>0</v>
      </c>
      <c r="R34" s="231">
        <v>10200.281142535576</v>
      </c>
      <c r="S34" s="231">
        <v>0.14581232989976423</v>
      </c>
      <c r="T34" s="231">
        <v>3.5363546416146044E-2</v>
      </c>
      <c r="U34" s="231">
        <v>0.70331420588362537</v>
      </c>
      <c r="V34" s="231">
        <v>1.0951426806857841E-4</v>
      </c>
      <c r="W34" s="231">
        <v>14.555245963035986</v>
      </c>
      <c r="X34" s="231">
        <v>1.4999750868882868</v>
      </c>
      <c r="Y34" s="231">
        <v>9.9997475184499085E-2</v>
      </c>
      <c r="Z34" s="231">
        <v>9.9998390208929089E-2</v>
      </c>
      <c r="AA34" s="232">
        <v>9.9999521626159549E-3</v>
      </c>
    </row>
    <row r="35" spans="2:28" ht="15" customHeight="1">
      <c r="B35" s="82" t="s">
        <v>83</v>
      </c>
      <c r="C35" s="82">
        <v>-100</v>
      </c>
      <c r="D35" s="83">
        <v>145.80000000000001</v>
      </c>
      <c r="E35" s="152" t="s">
        <v>73</v>
      </c>
      <c r="G35" s="125" t="s">
        <v>171</v>
      </c>
      <c r="H35" s="476">
        <v>1.6403686175290044</v>
      </c>
      <c r="I35" s="105">
        <v>1.6239649313537159</v>
      </c>
      <c r="J35" s="105">
        <v>0.81955576374947015</v>
      </c>
      <c r="K35" s="105">
        <v>0.79905358423382544</v>
      </c>
      <c r="L35" s="105">
        <v>2.5851320232078939E-3</v>
      </c>
      <c r="M35" s="106">
        <v>1.3009421660602864E-3</v>
      </c>
      <c r="O35" s="125"/>
      <c r="P35" s="107">
        <v>0</v>
      </c>
      <c r="Q35" s="107">
        <v>0</v>
      </c>
      <c r="R35" s="107">
        <v>6.7087727284856582</v>
      </c>
      <c r="S35" s="107">
        <v>4.9123183403633728E-5</v>
      </c>
      <c r="T35" s="107">
        <v>1.2432481245542259E-5</v>
      </c>
      <c r="U35" s="107">
        <v>2.4997084808281369E-4</v>
      </c>
      <c r="V35" s="107">
        <v>9.9538186904785123E-8</v>
      </c>
      <c r="W35" s="107">
        <v>1.3230073216528863E-2</v>
      </c>
      <c r="X35" s="107">
        <v>1.3691237212005347E-3</v>
      </c>
      <c r="Y35" s="107">
        <v>9.142401914136167E-5</v>
      </c>
      <c r="Z35" s="107">
        <v>9.1034201476029676E-5</v>
      </c>
      <c r="AA35" s="108">
        <v>9.142862441391999E-6</v>
      </c>
    </row>
    <row r="36" spans="2:28" ht="15" customHeight="1">
      <c r="B36" s="81" t="s">
        <v>84</v>
      </c>
      <c r="C36" s="81"/>
      <c r="D36" s="81"/>
      <c r="E36" s="151" t="s">
        <v>73</v>
      </c>
      <c r="G36" s="126" t="s">
        <v>125</v>
      </c>
      <c r="H36" s="477">
        <v>209.71538408229748</v>
      </c>
      <c r="I36" s="229">
        <v>207.61823024147449</v>
      </c>
      <c r="J36" s="229">
        <v>134.95184965695842</v>
      </c>
      <c r="K36" s="229">
        <v>128.2042571741105</v>
      </c>
      <c r="L36" s="229">
        <v>1.0380911512073723</v>
      </c>
      <c r="M36" s="230">
        <v>0.51904557560368614</v>
      </c>
      <c r="O36" s="126"/>
      <c r="P36" s="233">
        <v>0</v>
      </c>
      <c r="Q36" s="233">
        <v>0</v>
      </c>
      <c r="R36" s="233">
        <v>1109</v>
      </c>
      <c r="S36" s="233">
        <v>0.51</v>
      </c>
      <c r="T36" s="233">
        <v>7.0000000000000007E-2</v>
      </c>
      <c r="U36" s="233">
        <v>0.5</v>
      </c>
      <c r="V36" s="233">
        <v>3.3333333333333335E-3</v>
      </c>
      <c r="W36" s="233">
        <v>300</v>
      </c>
      <c r="X36" s="233">
        <v>5</v>
      </c>
      <c r="Y36" s="233">
        <v>0.65</v>
      </c>
      <c r="Z36" s="233">
        <v>0.5</v>
      </c>
      <c r="AA36" s="234">
        <v>0.95</v>
      </c>
    </row>
    <row r="37" spans="2:28" ht="14.4">
      <c r="B37" s="83" t="s">
        <v>86</v>
      </c>
      <c r="C37" s="83"/>
      <c r="D37" s="83"/>
      <c r="E37" s="152" t="s">
        <v>73</v>
      </c>
      <c r="R37"/>
      <c r="S37"/>
      <c r="T37"/>
      <c r="U37"/>
      <c r="V37"/>
      <c r="W37"/>
    </row>
    <row r="38" spans="2:28" ht="14.4">
      <c r="G38" s="500" t="s">
        <v>325</v>
      </c>
      <c r="R38" s="418" t="s">
        <v>299</v>
      </c>
      <c r="S38" s="418"/>
      <c r="T38" s="418"/>
      <c r="U38" s="418"/>
      <c r="V38" s="430"/>
      <c r="W38" s="430"/>
      <c r="X38" s="431"/>
      <c r="Y38" s="431"/>
      <c r="Z38" s="431"/>
      <c r="AA38" s="431"/>
      <c r="AB38" s="431"/>
    </row>
    <row r="39" spans="2:28" ht="18.75" customHeight="1">
      <c r="B39" s="75"/>
      <c r="G39" s="553" t="s">
        <v>7</v>
      </c>
      <c r="H39" s="554"/>
      <c r="I39" s="557" t="s">
        <v>323</v>
      </c>
      <c r="J39" s="510" t="s">
        <v>324</v>
      </c>
      <c r="K39" s="511"/>
      <c r="L39" s="512"/>
    </row>
    <row r="40" spans="2:28" ht="18.75" customHeight="1">
      <c r="G40" s="555"/>
      <c r="H40" s="556"/>
      <c r="I40" s="556"/>
      <c r="J40" s="501" t="s">
        <v>4</v>
      </c>
      <c r="K40" s="502" t="s">
        <v>3</v>
      </c>
      <c r="L40" s="493" t="s">
        <v>2</v>
      </c>
      <c r="R40" s="416" t="s">
        <v>45</v>
      </c>
      <c r="S40" s="411" t="s">
        <v>129</v>
      </c>
      <c r="T40" s="112" t="s">
        <v>129</v>
      </c>
      <c r="U40" s="412" t="s">
        <v>304</v>
      </c>
      <c r="V40" s="425" t="s">
        <v>307</v>
      </c>
      <c r="X40" s="410" t="s">
        <v>45</v>
      </c>
      <c r="Y40" s="411" t="s">
        <v>35</v>
      </c>
      <c r="Z40" s="112" t="s">
        <v>35</v>
      </c>
      <c r="AA40" s="412" t="s">
        <v>304</v>
      </c>
      <c r="AB40" s="425" t="s">
        <v>307</v>
      </c>
    </row>
    <row r="41" spans="2:28" ht="18.75" customHeight="1">
      <c r="G41" s="482" t="s">
        <v>319</v>
      </c>
      <c r="H41" s="483"/>
      <c r="I41" s="491" t="s">
        <v>60</v>
      </c>
      <c r="J41" s="484">
        <f>+H8</f>
        <v>461.5184615732295</v>
      </c>
      <c r="K41" s="484">
        <f>+H12</f>
        <v>984.98238338152942</v>
      </c>
      <c r="L41" s="485">
        <f>+H16</f>
        <v>1773.4829193101677</v>
      </c>
      <c r="R41" s="417" t="s">
        <v>135</v>
      </c>
      <c r="S41" s="414" t="s">
        <v>302</v>
      </c>
      <c r="T41" s="191" t="s">
        <v>303</v>
      </c>
      <c r="U41" s="415"/>
      <c r="V41" s="426" t="s">
        <v>182</v>
      </c>
      <c r="X41" s="413" t="s">
        <v>305</v>
      </c>
      <c r="Y41" s="414" t="s">
        <v>302</v>
      </c>
      <c r="Z41" s="191" t="s">
        <v>303</v>
      </c>
      <c r="AA41" s="415"/>
      <c r="AB41" s="426" t="s">
        <v>182</v>
      </c>
    </row>
    <row r="42" spans="2:28" ht="18.75" customHeight="1">
      <c r="G42" s="482" t="s">
        <v>82</v>
      </c>
      <c r="H42" s="483"/>
      <c r="I42" s="491" t="s">
        <v>60</v>
      </c>
      <c r="J42" s="484">
        <f>+I8</f>
        <v>456.90327695749721</v>
      </c>
      <c r="K42" s="484">
        <f>+I12</f>
        <v>975.1325595477141</v>
      </c>
      <c r="L42" s="485">
        <f>+I16</f>
        <v>1755.7480901170663</v>
      </c>
      <c r="R42" s="407" t="s">
        <v>122</v>
      </c>
      <c r="S42" s="398">
        <f>+Input_Data!F10</f>
        <v>500</v>
      </c>
      <c r="T42" s="399">
        <f>+R32</f>
        <v>510.43125585783167</v>
      </c>
      <c r="U42" s="400">
        <f>+T42-S42</f>
        <v>10.431255857831673</v>
      </c>
      <c r="V42" s="427">
        <f t="shared" ref="V42:V44" si="0">ABS(100*U42/S42)</f>
        <v>2.0862511715663343</v>
      </c>
      <c r="X42" s="407" t="s">
        <v>4</v>
      </c>
      <c r="Y42" s="398">
        <f>+Input_Data!D20</f>
        <v>40</v>
      </c>
      <c r="Z42" s="399">
        <f>+U8*100</f>
        <v>40.045495348450899</v>
      </c>
      <c r="AA42" s="400">
        <f>+Z42-Y42</f>
        <v>4.5495348450899087E-2</v>
      </c>
      <c r="AB42" s="427">
        <f t="shared" ref="AB42:AB44" si="1">ABS(100*AA42/Y42)</f>
        <v>0.11373837112724772</v>
      </c>
    </row>
    <row r="43" spans="2:28" ht="18.75" customHeight="1">
      <c r="G43" s="482" t="s">
        <v>316</v>
      </c>
      <c r="H43" s="483"/>
      <c r="I43" s="491" t="s">
        <v>60</v>
      </c>
      <c r="J43" s="484">
        <f>+J8</f>
        <v>227.08058734923623</v>
      </c>
      <c r="K43" s="484">
        <f>+J12</f>
        <v>486.75612602806115</v>
      </c>
      <c r="L43" s="485">
        <f>+J16</f>
        <v>879.55395856504231</v>
      </c>
      <c r="R43" s="408" t="s">
        <v>116</v>
      </c>
      <c r="S43" s="401">
        <f>+Input_Data!E10</f>
        <v>3852</v>
      </c>
      <c r="T43" s="402">
        <f>+R12</f>
        <v>4789.0282773411491</v>
      </c>
      <c r="U43" s="403">
        <f t="shared" ref="U43" si="2">+T43-S43</f>
        <v>937.02827734114908</v>
      </c>
      <c r="V43" s="428">
        <f t="shared" si="0"/>
        <v>24.325760055585388</v>
      </c>
      <c r="X43" s="408" t="s">
        <v>3</v>
      </c>
      <c r="Y43" s="401">
        <f>+Input_Data!E20</f>
        <v>50</v>
      </c>
      <c r="Z43" s="402">
        <f>+U12*100</f>
        <v>51.033985506740699</v>
      </c>
      <c r="AA43" s="403">
        <f t="shared" ref="AA43:AA44" si="3">+Z43-Y43</f>
        <v>1.0339855067406987</v>
      </c>
      <c r="AB43" s="428">
        <f t="shared" si="1"/>
        <v>2.0679710134813973</v>
      </c>
    </row>
    <row r="44" spans="2:28" ht="18.75" customHeight="1">
      <c r="G44" s="486" t="s">
        <v>83</v>
      </c>
      <c r="H44" s="487"/>
      <c r="I44" s="492" t="s">
        <v>60</v>
      </c>
      <c r="J44" s="488">
        <f>+K8</f>
        <v>221.43609104814865</v>
      </c>
      <c r="K44" s="488">
        <f>+K12</f>
        <v>474.63636146386949</v>
      </c>
      <c r="L44" s="489">
        <f>+K16</f>
        <v>857.38513984826875</v>
      </c>
      <c r="R44" s="409" t="s">
        <v>123</v>
      </c>
      <c r="S44" s="404">
        <f>+Input_Data!D10</f>
        <v>10723</v>
      </c>
      <c r="T44" s="405">
        <f>+R33</f>
        <v>10710.712398393407</v>
      </c>
      <c r="U44" s="406">
        <f>+T44-S44</f>
        <v>-12.287601606592943</v>
      </c>
      <c r="V44" s="429">
        <f t="shared" si="0"/>
        <v>0.11459108091572269</v>
      </c>
      <c r="X44" s="409" t="s">
        <v>2</v>
      </c>
      <c r="Y44" s="404">
        <f>+Input_Data!F20</f>
        <v>60</v>
      </c>
      <c r="Z44" s="405">
        <f>+U16*100</f>
        <v>60.051296283010004</v>
      </c>
      <c r="AA44" s="406">
        <f t="shared" si="3"/>
        <v>5.1296283010003663E-2</v>
      </c>
      <c r="AB44" s="429">
        <f t="shared" si="1"/>
        <v>8.5493805016672766E-2</v>
      </c>
    </row>
    <row r="45" spans="2:28" ht="16.5" customHeight="1">
      <c r="B45" s="542" t="s">
        <v>339</v>
      </c>
      <c r="C45" s="543"/>
      <c r="G45" s="480" t="s">
        <v>84</v>
      </c>
      <c r="H45" s="481"/>
      <c r="I45" s="490" t="s">
        <v>85</v>
      </c>
      <c r="J45" s="494">
        <f>+L8</f>
        <v>0.45449832271142099</v>
      </c>
      <c r="K45" s="494">
        <f>+L12</f>
        <v>1.1365897229189741</v>
      </c>
      <c r="L45" s="495">
        <f>+L16</f>
        <v>2.4392794414174079</v>
      </c>
      <c r="R45"/>
      <c r="S45"/>
      <c r="T45"/>
      <c r="U45"/>
      <c r="V45"/>
      <c r="X45"/>
    </row>
    <row r="46" spans="2:28" ht="16.5" customHeight="1">
      <c r="B46" s="544" t="s">
        <v>340</v>
      </c>
      <c r="C46" s="545" t="s">
        <v>342</v>
      </c>
      <c r="D46" s="546"/>
      <c r="E46" s="547"/>
      <c r="G46" s="486" t="s">
        <v>86</v>
      </c>
      <c r="H46" s="487"/>
      <c r="I46" s="492" t="s">
        <v>85</v>
      </c>
      <c r="J46" s="496">
        <f>+M8</f>
        <v>0.22625598639239899</v>
      </c>
      <c r="K46" s="496">
        <f>+M12</f>
        <v>0.56705452511239096</v>
      </c>
      <c r="L46" s="497">
        <f>+M16</f>
        <v>1.223157593337199</v>
      </c>
      <c r="R46" s="410" t="s">
        <v>45</v>
      </c>
      <c r="S46" s="411" t="s">
        <v>300</v>
      </c>
      <c r="T46" s="112" t="s">
        <v>300</v>
      </c>
      <c r="U46" s="412" t="s">
        <v>304</v>
      </c>
      <c r="V46" s="425" t="s">
        <v>307</v>
      </c>
      <c r="X46" s="410" t="s">
        <v>45</v>
      </c>
      <c r="Y46" s="411" t="s">
        <v>306</v>
      </c>
      <c r="Z46" s="112" t="s">
        <v>306</v>
      </c>
      <c r="AA46" s="412" t="s">
        <v>304</v>
      </c>
      <c r="AB46" s="425" t="s">
        <v>307</v>
      </c>
    </row>
    <row r="47" spans="2:28" ht="16.5" customHeight="1">
      <c r="B47" s="548" t="s">
        <v>341</v>
      </c>
      <c r="C47" s="549" t="s">
        <v>343</v>
      </c>
      <c r="D47" s="550"/>
      <c r="E47" s="551"/>
      <c r="R47" s="413" t="s">
        <v>309</v>
      </c>
      <c r="S47" s="414" t="s">
        <v>302</v>
      </c>
      <c r="T47" s="191" t="s">
        <v>303</v>
      </c>
      <c r="U47" s="415"/>
      <c r="V47" s="426" t="s">
        <v>182</v>
      </c>
      <c r="X47" s="413" t="s">
        <v>280</v>
      </c>
      <c r="Y47" s="414" t="s">
        <v>302</v>
      </c>
      <c r="Z47" s="191" t="s">
        <v>303</v>
      </c>
      <c r="AA47" s="415"/>
      <c r="AB47" s="426" t="s">
        <v>182</v>
      </c>
    </row>
    <row r="48" spans="2:28" ht="14.25" customHeight="1">
      <c r="G48" s="500" t="s">
        <v>326</v>
      </c>
      <c r="R48" s="407" t="s">
        <v>4</v>
      </c>
      <c r="S48" s="398">
        <f>+Input_Data!F14</f>
        <v>0.57999999999999996</v>
      </c>
      <c r="T48" s="399">
        <f>+S8</f>
        <v>0.58013714375624503</v>
      </c>
      <c r="U48" s="400">
        <f>+T48-S48</f>
        <v>1.371437562450728E-4</v>
      </c>
      <c r="V48" s="427">
        <f t="shared" ref="V48:V50" si="4">ABS(100*U48/S48)</f>
        <v>2.3645475214667727E-2</v>
      </c>
      <c r="X48" s="407" t="s">
        <v>123</v>
      </c>
      <c r="Y48" s="398">
        <f>+Input_Data!D25</f>
        <v>371.914984205135</v>
      </c>
      <c r="Z48" s="399">
        <f>+W33</f>
        <v>371.91479384651245</v>
      </c>
      <c r="AA48" s="400">
        <f>+Z48-Y48</f>
        <v>-1.9035862254668245E-4</v>
      </c>
      <c r="AB48" s="427">
        <f>ABS(100*AA48/Y48)</f>
        <v>5.1183370025685075E-5</v>
      </c>
    </row>
    <row r="49" spans="7:28" ht="14.25" customHeight="1">
      <c r="G49" s="553" t="s">
        <v>7</v>
      </c>
      <c r="H49" s="554"/>
      <c r="I49" s="557" t="s">
        <v>323</v>
      </c>
      <c r="J49" s="510" t="s">
        <v>59</v>
      </c>
      <c r="K49" s="511"/>
      <c r="L49" s="512"/>
      <c r="R49" s="408" t="s">
        <v>3</v>
      </c>
      <c r="S49" s="401">
        <f>+Input_Data!E14</f>
        <v>0.6</v>
      </c>
      <c r="T49" s="402">
        <f>+S12</f>
        <v>0.59967391574784801</v>
      </c>
      <c r="U49" s="403">
        <f t="shared" ref="U49:U50" si="5">+T49-S49</f>
        <v>-3.2608425215197023E-4</v>
      </c>
      <c r="V49" s="428">
        <f t="shared" si="4"/>
        <v>5.4347375358661708E-2</v>
      </c>
      <c r="X49" s="409" t="s">
        <v>122</v>
      </c>
      <c r="Y49" s="404">
        <f>+Input_Data!F25</f>
        <v>357.35945531028557</v>
      </c>
      <c r="Z49" s="405">
        <f>+W32</f>
        <v>357.35954788347647</v>
      </c>
      <c r="AA49" s="406">
        <f>+Z49-Y49</f>
        <v>9.2573190897837776E-5</v>
      </c>
      <c r="AB49" s="429">
        <f>ABS(100*AA49/Y49)</f>
        <v>2.5904782851613363E-5</v>
      </c>
    </row>
    <row r="50" spans="7:28" ht="14.25" customHeight="1">
      <c r="G50" s="555"/>
      <c r="H50" s="556"/>
      <c r="I50" s="556"/>
      <c r="J50" s="501" t="s">
        <v>41</v>
      </c>
      <c r="K50" s="502" t="s">
        <v>160</v>
      </c>
      <c r="L50" s="493" t="s">
        <v>161</v>
      </c>
      <c r="R50" s="409" t="s">
        <v>2</v>
      </c>
      <c r="S50" s="404">
        <f>+Input_Data!D14</f>
        <v>0.62</v>
      </c>
      <c r="T50" s="405">
        <f>+S16</f>
        <v>0.61995999675773505</v>
      </c>
      <c r="U50" s="406">
        <f t="shared" si="5"/>
        <v>-4.0003242264941008E-5</v>
      </c>
      <c r="V50" s="429">
        <f t="shared" si="4"/>
        <v>6.4521358491840333E-3</v>
      </c>
    </row>
    <row r="51" spans="7:28" ht="14.25" customHeight="1">
      <c r="G51" s="480" t="s">
        <v>83</v>
      </c>
      <c r="H51" s="481"/>
      <c r="I51" s="490" t="s">
        <v>60</v>
      </c>
      <c r="J51" s="484">
        <f>+J44</f>
        <v>221.43609104814865</v>
      </c>
      <c r="K51" s="484">
        <f>+K44-J44</f>
        <v>253.20027041572084</v>
      </c>
      <c r="L51" s="485">
        <f>+L44-K44</f>
        <v>382.74877838439926</v>
      </c>
      <c r="R51"/>
      <c r="S51"/>
      <c r="T51"/>
      <c r="U51"/>
      <c r="V51"/>
      <c r="X51"/>
    </row>
    <row r="52" spans="7:28" ht="14.25" customHeight="1">
      <c r="G52" s="486" t="s">
        <v>86</v>
      </c>
      <c r="H52" s="487"/>
      <c r="I52" s="492" t="s">
        <v>85</v>
      </c>
      <c r="J52" s="498">
        <f>+J46</f>
        <v>0.22625598639239899</v>
      </c>
      <c r="K52" s="498">
        <f>+K46-J46</f>
        <v>0.34079853871999199</v>
      </c>
      <c r="L52" s="499">
        <f>+L46-K46</f>
        <v>0.65610306822480802</v>
      </c>
      <c r="R52" s="410" t="s">
        <v>45</v>
      </c>
      <c r="S52" s="411" t="s">
        <v>12</v>
      </c>
      <c r="T52" s="112" t="s">
        <v>12</v>
      </c>
      <c r="U52" s="412" t="s">
        <v>304</v>
      </c>
      <c r="V52" s="425" t="s">
        <v>307</v>
      </c>
      <c r="X52" s="410" t="s">
        <v>45</v>
      </c>
      <c r="Y52" s="411" t="s">
        <v>301</v>
      </c>
      <c r="Z52" s="112" t="s">
        <v>301</v>
      </c>
      <c r="AA52" s="412" t="s">
        <v>304</v>
      </c>
      <c r="AB52" s="425" t="s">
        <v>307</v>
      </c>
    </row>
    <row r="53" spans="7:28">
      <c r="R53" s="413" t="s">
        <v>305</v>
      </c>
      <c r="S53" s="414" t="s">
        <v>302</v>
      </c>
      <c r="T53" s="191" t="s">
        <v>303</v>
      </c>
      <c r="U53" s="415"/>
      <c r="V53" s="426" t="s">
        <v>182</v>
      </c>
      <c r="X53" s="413" t="s">
        <v>251</v>
      </c>
      <c r="Y53" s="414" t="s">
        <v>302</v>
      </c>
      <c r="Z53" s="191" t="s">
        <v>303</v>
      </c>
      <c r="AA53" s="415"/>
      <c r="AB53" s="426" t="s">
        <v>182</v>
      </c>
    </row>
    <row r="54" spans="7:28">
      <c r="R54" s="407" t="s">
        <v>4</v>
      </c>
      <c r="S54" s="398">
        <f>+Input_Data!F15*100</f>
        <v>5</v>
      </c>
      <c r="T54" s="399">
        <f>+T8*100</f>
        <v>4.9972480249088997</v>
      </c>
      <c r="U54" s="400">
        <f>+T54-S54</f>
        <v>-2.7519750911002561E-3</v>
      </c>
      <c r="V54" s="427">
        <f t="shared" ref="V54:V56" si="6">ABS(100*U54/S54)</f>
        <v>5.5039501822005121E-2</v>
      </c>
      <c r="X54" s="407" t="s">
        <v>123</v>
      </c>
      <c r="Y54" s="432">
        <f>+Input_Data!F24</f>
        <v>2.7983028996160938E-3</v>
      </c>
      <c r="Z54" s="433">
        <f>+V33</f>
        <v>2.798302174721992E-3</v>
      </c>
      <c r="AA54" s="419">
        <f>+Z54-Y54</f>
        <v>-7.248941017758137E-10</v>
      </c>
      <c r="AB54" s="427">
        <f>ABS(100*AA54/Y54)</f>
        <v>2.590477613682435E-5</v>
      </c>
    </row>
    <row r="55" spans="7:28">
      <c r="R55" s="408" t="s">
        <v>3</v>
      </c>
      <c r="S55" s="401">
        <f>+Input_Data!E15*100</f>
        <v>5.5</v>
      </c>
      <c r="T55" s="402">
        <f>+T12*100</f>
        <v>5.4757771297377005</v>
      </c>
      <c r="U55" s="403">
        <f t="shared" ref="U55:U56" si="7">+T55-S55</f>
        <v>-2.4222870262299523E-2</v>
      </c>
      <c r="V55" s="428">
        <f t="shared" si="6"/>
        <v>0.44041582295090043</v>
      </c>
      <c r="X55" s="409" t="s">
        <v>122</v>
      </c>
      <c r="Y55" s="434">
        <f>+Input_Data!D24</f>
        <v>2.6887865304411501E-3</v>
      </c>
      <c r="Z55" s="435">
        <f>+V32</f>
        <v>2.6887879066534136E-3</v>
      </c>
      <c r="AA55" s="420">
        <f>+Z55-Y55</f>
        <v>1.3762122635062324E-9</v>
      </c>
      <c r="AB55" s="429">
        <f>ABS(100*AA55/Y55)</f>
        <v>5.1183396224483346E-5</v>
      </c>
    </row>
    <row r="56" spans="7:28">
      <c r="R56" s="409" t="s">
        <v>2</v>
      </c>
      <c r="S56" s="404">
        <f>+Input_Data!D15*100</f>
        <v>6</v>
      </c>
      <c r="T56" s="405">
        <f>+T16*100</f>
        <v>6.0011201734710999</v>
      </c>
      <c r="U56" s="406">
        <f t="shared" si="7"/>
        <v>1.1201734710999389E-3</v>
      </c>
      <c r="V56" s="429">
        <f t="shared" si="6"/>
        <v>1.8669557851665648E-2</v>
      </c>
    </row>
  </sheetData>
  <mergeCells count="4">
    <mergeCell ref="G39:H40"/>
    <mergeCell ref="I39:I40"/>
    <mergeCell ref="G49:H50"/>
    <mergeCell ref="I49:I50"/>
  </mergeCells>
  <pageMargins left="0.7" right="0.7" top="0.75" bottom="0.75" header="0.3" footer="0.3"/>
  <pageSetup orientation="portrait" horizontalDpi="300" verticalDpi="0" r:id="rId1"/>
  <drawing r:id="rId2"/>
  <legacyDrawing r:id="rId3"/>
  <controls>
    <mc:AlternateContent xmlns:mc="http://schemas.openxmlformats.org/markup-compatibility/2006">
      <mc:Choice Requires="x14">
        <control shapeId="6168" r:id="rId4" name="CommandButton3">
          <controlPr defaultSize="0" autoLine="0" r:id="rId5">
            <anchor moveWithCells="1">
              <from>
                <xdr:col>3</xdr:col>
                <xdr:colOff>617220</xdr:colOff>
                <xdr:row>4</xdr:row>
                <xdr:rowOff>144780</xdr:rowOff>
              </from>
              <to>
                <xdr:col>5</xdr:col>
                <xdr:colOff>30480</xdr:colOff>
                <xdr:row>7</xdr:row>
                <xdr:rowOff>7620</xdr:rowOff>
              </to>
            </anchor>
          </controlPr>
        </control>
      </mc:Choice>
      <mc:Fallback>
        <control shapeId="6168" r:id="rId4" name="CommandButton3"/>
      </mc:Fallback>
    </mc:AlternateContent>
    <mc:AlternateContent xmlns:mc="http://schemas.openxmlformats.org/markup-compatibility/2006">
      <mc:Choice Requires="x14">
        <control shapeId="6145" r:id="rId6" name="CheckBox1">
          <controlPr defaultSize="0" autoLine="0" r:id="rId7">
            <anchor moveWithCells="1">
              <from>
                <xdr:col>1</xdr:col>
                <xdr:colOff>68580</xdr:colOff>
                <xdr:row>8</xdr:row>
                <xdr:rowOff>7620</xdr:rowOff>
              </from>
              <to>
                <xdr:col>1</xdr:col>
                <xdr:colOff>220980</xdr:colOff>
                <xdr:row>9</xdr:row>
                <xdr:rowOff>7620</xdr:rowOff>
              </to>
            </anchor>
          </controlPr>
        </control>
      </mc:Choice>
      <mc:Fallback>
        <control shapeId="6145" r:id="rId6" name="CheckBox1"/>
      </mc:Fallback>
    </mc:AlternateContent>
    <mc:AlternateContent xmlns:mc="http://schemas.openxmlformats.org/markup-compatibility/2006">
      <mc:Choice Requires="x14">
        <control shapeId="6146" r:id="rId8" name="CheckBox2">
          <controlPr defaultSize="0" autoLine="0" r:id="rId7">
            <anchor moveWithCells="1">
              <from>
                <xdr:col>1</xdr:col>
                <xdr:colOff>68580</xdr:colOff>
                <xdr:row>9</xdr:row>
                <xdr:rowOff>7620</xdr:rowOff>
              </from>
              <to>
                <xdr:col>1</xdr:col>
                <xdr:colOff>220980</xdr:colOff>
                <xdr:row>10</xdr:row>
                <xdr:rowOff>7620</xdr:rowOff>
              </to>
            </anchor>
          </controlPr>
        </control>
      </mc:Choice>
      <mc:Fallback>
        <control shapeId="6146" r:id="rId8" name="CheckBox2"/>
      </mc:Fallback>
    </mc:AlternateContent>
    <mc:AlternateContent xmlns:mc="http://schemas.openxmlformats.org/markup-compatibility/2006">
      <mc:Choice Requires="x14">
        <control shapeId="6147" r:id="rId9" name="CheckBox3">
          <controlPr defaultSize="0" autoLine="0" r:id="rId10">
            <anchor moveWithCells="1">
              <from>
                <xdr:col>1</xdr:col>
                <xdr:colOff>68580</xdr:colOff>
                <xdr:row>10</xdr:row>
                <xdr:rowOff>7620</xdr:rowOff>
              </from>
              <to>
                <xdr:col>1</xdr:col>
                <xdr:colOff>220980</xdr:colOff>
                <xdr:row>11</xdr:row>
                <xdr:rowOff>7620</xdr:rowOff>
              </to>
            </anchor>
          </controlPr>
        </control>
      </mc:Choice>
      <mc:Fallback>
        <control shapeId="6147" r:id="rId9" name="CheckBox3"/>
      </mc:Fallback>
    </mc:AlternateContent>
    <mc:AlternateContent xmlns:mc="http://schemas.openxmlformats.org/markup-compatibility/2006">
      <mc:Choice Requires="x14">
        <control shapeId="6148" r:id="rId11" name="CheckBox4">
          <controlPr defaultSize="0" autoLine="0" r:id="rId10">
            <anchor moveWithCells="1">
              <from>
                <xdr:col>1</xdr:col>
                <xdr:colOff>68580</xdr:colOff>
                <xdr:row>11</xdr:row>
                <xdr:rowOff>7620</xdr:rowOff>
              </from>
              <to>
                <xdr:col>1</xdr:col>
                <xdr:colOff>220980</xdr:colOff>
                <xdr:row>12</xdr:row>
                <xdr:rowOff>7620</xdr:rowOff>
              </to>
            </anchor>
          </controlPr>
        </control>
      </mc:Choice>
      <mc:Fallback>
        <control shapeId="6148" r:id="rId11" name="CheckBox4"/>
      </mc:Fallback>
    </mc:AlternateContent>
    <mc:AlternateContent xmlns:mc="http://schemas.openxmlformats.org/markup-compatibility/2006">
      <mc:Choice Requires="x14">
        <control shapeId="6149" r:id="rId12" name="CheckBox5">
          <controlPr defaultSize="0" autoLine="0" r:id="rId13">
            <anchor moveWithCells="1">
              <from>
                <xdr:col>1</xdr:col>
                <xdr:colOff>68580</xdr:colOff>
                <xdr:row>12</xdr:row>
                <xdr:rowOff>7620</xdr:rowOff>
              </from>
              <to>
                <xdr:col>1</xdr:col>
                <xdr:colOff>220980</xdr:colOff>
                <xdr:row>13</xdr:row>
                <xdr:rowOff>22860</xdr:rowOff>
              </to>
            </anchor>
          </controlPr>
        </control>
      </mc:Choice>
      <mc:Fallback>
        <control shapeId="6149" r:id="rId12" name="CheckBox5"/>
      </mc:Fallback>
    </mc:AlternateContent>
    <mc:AlternateContent xmlns:mc="http://schemas.openxmlformats.org/markup-compatibility/2006">
      <mc:Choice Requires="x14">
        <control shapeId="6150" r:id="rId14" name="CheckBox6">
          <controlPr defaultSize="0" autoLine="0" r:id="rId10">
            <anchor moveWithCells="1">
              <from>
                <xdr:col>1</xdr:col>
                <xdr:colOff>68580</xdr:colOff>
                <xdr:row>13</xdr:row>
                <xdr:rowOff>7620</xdr:rowOff>
              </from>
              <to>
                <xdr:col>1</xdr:col>
                <xdr:colOff>220980</xdr:colOff>
                <xdr:row>14</xdr:row>
                <xdr:rowOff>7620</xdr:rowOff>
              </to>
            </anchor>
          </controlPr>
        </control>
      </mc:Choice>
      <mc:Fallback>
        <control shapeId="6150" r:id="rId14" name="CheckBox6"/>
      </mc:Fallback>
    </mc:AlternateContent>
    <mc:AlternateContent xmlns:mc="http://schemas.openxmlformats.org/markup-compatibility/2006">
      <mc:Choice Requires="x14">
        <control shapeId="6151" r:id="rId15" name="CheckBox7">
          <controlPr defaultSize="0" autoLine="0" r:id="rId13">
            <anchor moveWithCells="1">
              <from>
                <xdr:col>1</xdr:col>
                <xdr:colOff>68580</xdr:colOff>
                <xdr:row>14</xdr:row>
                <xdr:rowOff>7620</xdr:rowOff>
              </from>
              <to>
                <xdr:col>1</xdr:col>
                <xdr:colOff>220980</xdr:colOff>
                <xdr:row>15</xdr:row>
                <xdr:rowOff>22860</xdr:rowOff>
              </to>
            </anchor>
          </controlPr>
        </control>
      </mc:Choice>
      <mc:Fallback>
        <control shapeId="6151" r:id="rId15" name="CheckBox7"/>
      </mc:Fallback>
    </mc:AlternateContent>
    <mc:AlternateContent xmlns:mc="http://schemas.openxmlformats.org/markup-compatibility/2006">
      <mc:Choice Requires="x14">
        <control shapeId="6152" r:id="rId16" name="CheckBox8">
          <controlPr defaultSize="0" autoLine="0" r:id="rId7">
            <anchor moveWithCells="1">
              <from>
                <xdr:col>1</xdr:col>
                <xdr:colOff>68580</xdr:colOff>
                <xdr:row>15</xdr:row>
                <xdr:rowOff>7620</xdr:rowOff>
              </from>
              <to>
                <xdr:col>1</xdr:col>
                <xdr:colOff>220980</xdr:colOff>
                <xdr:row>16</xdr:row>
                <xdr:rowOff>7620</xdr:rowOff>
              </to>
            </anchor>
          </controlPr>
        </control>
      </mc:Choice>
      <mc:Fallback>
        <control shapeId="6152" r:id="rId16" name="CheckBox8"/>
      </mc:Fallback>
    </mc:AlternateContent>
    <mc:AlternateContent xmlns:mc="http://schemas.openxmlformats.org/markup-compatibility/2006">
      <mc:Choice Requires="x14">
        <control shapeId="6153" r:id="rId17" name="CheckBox9">
          <controlPr defaultSize="0" autoLine="0" r:id="rId13">
            <anchor moveWithCells="1">
              <from>
                <xdr:col>1</xdr:col>
                <xdr:colOff>68580</xdr:colOff>
                <xdr:row>16</xdr:row>
                <xdr:rowOff>7620</xdr:rowOff>
              </from>
              <to>
                <xdr:col>1</xdr:col>
                <xdr:colOff>220980</xdr:colOff>
                <xdr:row>17</xdr:row>
                <xdr:rowOff>22860</xdr:rowOff>
              </to>
            </anchor>
          </controlPr>
        </control>
      </mc:Choice>
      <mc:Fallback>
        <control shapeId="6153" r:id="rId17" name="CheckBox9"/>
      </mc:Fallback>
    </mc:AlternateContent>
    <mc:AlternateContent xmlns:mc="http://schemas.openxmlformats.org/markup-compatibility/2006">
      <mc:Choice Requires="x14">
        <control shapeId="6154" r:id="rId18" name="CheckBox10">
          <controlPr defaultSize="0" autoLine="0" r:id="rId7">
            <anchor moveWithCells="1">
              <from>
                <xdr:col>1</xdr:col>
                <xdr:colOff>68580</xdr:colOff>
                <xdr:row>17</xdr:row>
                <xdr:rowOff>7620</xdr:rowOff>
              </from>
              <to>
                <xdr:col>1</xdr:col>
                <xdr:colOff>220980</xdr:colOff>
                <xdr:row>18</xdr:row>
                <xdr:rowOff>7620</xdr:rowOff>
              </to>
            </anchor>
          </controlPr>
        </control>
      </mc:Choice>
      <mc:Fallback>
        <control shapeId="6154" r:id="rId18" name="CheckBox10"/>
      </mc:Fallback>
    </mc:AlternateContent>
    <mc:AlternateContent xmlns:mc="http://schemas.openxmlformats.org/markup-compatibility/2006">
      <mc:Choice Requires="x14">
        <control shapeId="6155" r:id="rId19" name="CheckBox11">
          <controlPr defaultSize="0" autoLine="0" r:id="rId20">
            <anchor moveWithCells="1">
              <from>
                <xdr:col>1</xdr:col>
                <xdr:colOff>68580</xdr:colOff>
                <xdr:row>18</xdr:row>
                <xdr:rowOff>7620</xdr:rowOff>
              </from>
              <to>
                <xdr:col>1</xdr:col>
                <xdr:colOff>220980</xdr:colOff>
                <xdr:row>19</xdr:row>
                <xdr:rowOff>22860</xdr:rowOff>
              </to>
            </anchor>
          </controlPr>
        </control>
      </mc:Choice>
      <mc:Fallback>
        <control shapeId="6155" r:id="rId19" name="CheckBox11"/>
      </mc:Fallback>
    </mc:AlternateContent>
    <mc:AlternateContent xmlns:mc="http://schemas.openxmlformats.org/markup-compatibility/2006">
      <mc:Choice Requires="x14">
        <control shapeId="6156" r:id="rId21" name="CheckBox12">
          <controlPr defaultSize="0" autoLine="0" r:id="rId7">
            <anchor moveWithCells="1">
              <from>
                <xdr:col>1</xdr:col>
                <xdr:colOff>68580</xdr:colOff>
                <xdr:row>19</xdr:row>
                <xdr:rowOff>45720</xdr:rowOff>
              </from>
              <to>
                <xdr:col>1</xdr:col>
                <xdr:colOff>220980</xdr:colOff>
                <xdr:row>20</xdr:row>
                <xdr:rowOff>60960</xdr:rowOff>
              </to>
            </anchor>
          </controlPr>
        </control>
      </mc:Choice>
      <mc:Fallback>
        <control shapeId="6156" r:id="rId21" name="CheckBox12"/>
      </mc:Fallback>
    </mc:AlternateContent>
    <mc:AlternateContent xmlns:mc="http://schemas.openxmlformats.org/markup-compatibility/2006">
      <mc:Choice Requires="x14">
        <control shapeId="6157" r:id="rId22" name="CheckBox13">
          <controlPr defaultSize="0" autoLine="0" r:id="rId23">
            <anchor moveWithCells="1">
              <from>
                <xdr:col>4</xdr:col>
                <xdr:colOff>68580</xdr:colOff>
                <xdr:row>33</xdr:row>
                <xdr:rowOff>45720</xdr:rowOff>
              </from>
              <to>
                <xdr:col>4</xdr:col>
                <xdr:colOff>220980</xdr:colOff>
                <xdr:row>34</xdr:row>
                <xdr:rowOff>7620</xdr:rowOff>
              </to>
            </anchor>
          </controlPr>
        </control>
      </mc:Choice>
      <mc:Fallback>
        <control shapeId="6157" r:id="rId22" name="CheckBox13"/>
      </mc:Fallback>
    </mc:AlternateContent>
    <mc:AlternateContent xmlns:mc="http://schemas.openxmlformats.org/markup-compatibility/2006">
      <mc:Choice Requires="x14">
        <control shapeId="6158" r:id="rId24" name="CheckBox14">
          <controlPr defaultSize="0" autoLine="0" r:id="rId23">
            <anchor moveWithCells="1">
              <from>
                <xdr:col>4</xdr:col>
                <xdr:colOff>68580</xdr:colOff>
                <xdr:row>34</xdr:row>
                <xdr:rowOff>45720</xdr:rowOff>
              </from>
              <to>
                <xdr:col>4</xdr:col>
                <xdr:colOff>220980</xdr:colOff>
                <xdr:row>35</xdr:row>
                <xdr:rowOff>7620</xdr:rowOff>
              </to>
            </anchor>
          </controlPr>
        </control>
      </mc:Choice>
      <mc:Fallback>
        <control shapeId="6158" r:id="rId24" name="CheckBox14"/>
      </mc:Fallback>
    </mc:AlternateContent>
    <mc:AlternateContent xmlns:mc="http://schemas.openxmlformats.org/markup-compatibility/2006">
      <mc:Choice Requires="x14">
        <control shapeId="6159" r:id="rId25" name="CheckBox15">
          <controlPr defaultSize="0" autoLine="0" r:id="rId23">
            <anchor moveWithCells="1">
              <from>
                <xdr:col>4</xdr:col>
                <xdr:colOff>68580</xdr:colOff>
                <xdr:row>35</xdr:row>
                <xdr:rowOff>45720</xdr:rowOff>
              </from>
              <to>
                <xdr:col>4</xdr:col>
                <xdr:colOff>220980</xdr:colOff>
                <xdr:row>36</xdr:row>
                <xdr:rowOff>7620</xdr:rowOff>
              </to>
            </anchor>
          </controlPr>
        </control>
      </mc:Choice>
      <mc:Fallback>
        <control shapeId="6159" r:id="rId25" name="CheckBox15"/>
      </mc:Fallback>
    </mc:AlternateContent>
    <mc:AlternateContent xmlns:mc="http://schemas.openxmlformats.org/markup-compatibility/2006">
      <mc:Choice Requires="x14">
        <control shapeId="6160" r:id="rId26" name="CheckBox16">
          <controlPr defaultSize="0" autoLine="0" r:id="rId23">
            <anchor moveWithCells="1">
              <from>
                <xdr:col>4</xdr:col>
                <xdr:colOff>68580</xdr:colOff>
                <xdr:row>36</xdr:row>
                <xdr:rowOff>45720</xdr:rowOff>
              </from>
              <to>
                <xdr:col>4</xdr:col>
                <xdr:colOff>220980</xdr:colOff>
                <xdr:row>37</xdr:row>
                <xdr:rowOff>15240</xdr:rowOff>
              </to>
            </anchor>
          </controlPr>
        </control>
      </mc:Choice>
      <mc:Fallback>
        <control shapeId="6160" r:id="rId26" name="CheckBox16"/>
      </mc:Fallback>
    </mc:AlternateContent>
    <mc:AlternateContent xmlns:mc="http://schemas.openxmlformats.org/markup-compatibility/2006">
      <mc:Choice Requires="x14">
        <control shapeId="6163" r:id="rId27" name="OptionButton1">
          <controlPr defaultSize="0" autoLine="0" r:id="rId28">
            <anchor moveWithCells="1">
              <from>
                <xdr:col>1</xdr:col>
                <xdr:colOff>259080</xdr:colOff>
                <xdr:row>1</xdr:row>
                <xdr:rowOff>30480</xdr:rowOff>
              </from>
              <to>
                <xdr:col>2</xdr:col>
                <xdr:colOff>457200</xdr:colOff>
                <xdr:row>2</xdr:row>
                <xdr:rowOff>22860</xdr:rowOff>
              </to>
            </anchor>
          </controlPr>
        </control>
      </mc:Choice>
      <mc:Fallback>
        <control shapeId="6163" r:id="rId27" name="OptionButton1"/>
      </mc:Fallback>
    </mc:AlternateContent>
    <mc:AlternateContent xmlns:mc="http://schemas.openxmlformats.org/markup-compatibility/2006">
      <mc:Choice Requires="x14">
        <control shapeId="6164" r:id="rId29" name="OptionButton2">
          <controlPr defaultSize="0" autoLine="0" r:id="rId30">
            <anchor moveWithCells="1">
              <from>
                <xdr:col>1</xdr:col>
                <xdr:colOff>259080</xdr:colOff>
                <xdr:row>2</xdr:row>
                <xdr:rowOff>30480</xdr:rowOff>
              </from>
              <to>
                <xdr:col>2</xdr:col>
                <xdr:colOff>457200</xdr:colOff>
                <xdr:row>3</xdr:row>
                <xdr:rowOff>22860</xdr:rowOff>
              </to>
            </anchor>
          </controlPr>
        </control>
      </mc:Choice>
      <mc:Fallback>
        <control shapeId="6164" r:id="rId29" name="OptionButton2"/>
      </mc:Fallback>
    </mc:AlternateContent>
    <mc:AlternateContent xmlns:mc="http://schemas.openxmlformats.org/markup-compatibility/2006">
      <mc:Choice Requires="x14">
        <control shapeId="6165" r:id="rId31" name="OptionButton3">
          <controlPr defaultSize="0" autoLine="0" r:id="rId32">
            <anchor moveWithCells="1">
              <from>
                <xdr:col>1</xdr:col>
                <xdr:colOff>259080</xdr:colOff>
                <xdr:row>3</xdr:row>
                <xdr:rowOff>30480</xdr:rowOff>
              </from>
              <to>
                <xdr:col>2</xdr:col>
                <xdr:colOff>457200</xdr:colOff>
                <xdr:row>4</xdr:row>
                <xdr:rowOff>22860</xdr:rowOff>
              </to>
            </anchor>
          </controlPr>
        </control>
      </mc:Choice>
      <mc:Fallback>
        <control shapeId="6165" r:id="rId31" name="OptionButton3"/>
      </mc:Fallback>
    </mc:AlternateContent>
    <mc:AlternateContent xmlns:mc="http://schemas.openxmlformats.org/markup-compatibility/2006">
      <mc:Choice Requires="x14">
        <control shapeId="6166" r:id="rId33" name="CommandButton1">
          <controlPr defaultSize="0" autoLine="0" r:id="rId34">
            <anchor moveWithCells="1">
              <from>
                <xdr:col>1</xdr:col>
                <xdr:colOff>0</xdr:colOff>
                <xdr:row>4</xdr:row>
                <xdr:rowOff>121920</xdr:rowOff>
              </from>
              <to>
                <xdr:col>2</xdr:col>
                <xdr:colOff>388620</xdr:colOff>
                <xdr:row>6</xdr:row>
                <xdr:rowOff>190500</xdr:rowOff>
              </to>
            </anchor>
          </controlPr>
        </control>
      </mc:Choice>
      <mc:Fallback>
        <control shapeId="6166" r:id="rId33" name="CommandButton1"/>
      </mc:Fallback>
    </mc:AlternateContent>
    <mc:AlternateContent xmlns:mc="http://schemas.openxmlformats.org/markup-compatibility/2006">
      <mc:Choice Requires="x14">
        <control shapeId="6167" r:id="rId35" name="CommandButton2">
          <controlPr defaultSize="0" autoLine="0" r:id="rId36">
            <anchor moveWithCells="1">
              <from>
                <xdr:col>2</xdr:col>
                <xdr:colOff>518160</xdr:colOff>
                <xdr:row>4</xdr:row>
                <xdr:rowOff>137160</xdr:rowOff>
              </from>
              <to>
                <xdr:col>3</xdr:col>
                <xdr:colOff>434340</xdr:colOff>
                <xdr:row>7</xdr:row>
                <xdr:rowOff>0</xdr:rowOff>
              </to>
            </anchor>
          </controlPr>
        </control>
      </mc:Choice>
      <mc:Fallback>
        <control shapeId="6167" r:id="rId35" name="CommandButt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C43:C48"/>
  <sheetViews>
    <sheetView showGridLines="0" workbookViewId="0"/>
  </sheetViews>
  <sheetFormatPr defaultRowHeight="14.4"/>
  <sheetData>
    <row r="43" spans="3:3">
      <c r="C43" t="s">
        <v>350</v>
      </c>
    </row>
    <row r="44" spans="3:3">
      <c r="C44" t="s">
        <v>351</v>
      </c>
    </row>
    <row r="45" spans="3:3">
      <c r="C45" t="s">
        <v>352</v>
      </c>
    </row>
    <row r="46" spans="3:3">
      <c r="C46" t="s">
        <v>353</v>
      </c>
    </row>
    <row r="47" spans="3:3">
      <c r="C47" t="s">
        <v>331</v>
      </c>
    </row>
    <row r="48" spans="3:3">
      <c r="C48" t="s">
        <v>332</v>
      </c>
    </row>
  </sheetData>
  <pageMargins left="0.7" right="0.7" top="0.75" bottom="0.75" header="0.3" footer="0.3"/>
  <drawing r:id="rId1"/>
  <legacyDrawing r:id="rId2"/>
  <controls>
    <mc:AlternateContent xmlns:mc="http://schemas.openxmlformats.org/markup-compatibility/2006">
      <mc:Choice Requires="x14">
        <control shapeId="7170" r:id="rId3" name="CommandButton1">
          <controlPr defaultSize="0" autoLine="0" r:id="rId4">
            <anchor moveWithCells="1">
              <from>
                <xdr:col>31</xdr:col>
                <xdr:colOff>350520</xdr:colOff>
                <xdr:row>21</xdr:row>
                <xdr:rowOff>83820</xdr:rowOff>
              </from>
              <to>
                <xdr:col>36</xdr:col>
                <xdr:colOff>381000</xdr:colOff>
                <xdr:row>25</xdr:row>
                <xdr:rowOff>114300</xdr:rowOff>
              </to>
            </anchor>
          </controlPr>
        </control>
      </mc:Choice>
      <mc:Fallback>
        <control shapeId="7170"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00FF"/>
  </sheetPr>
  <dimension ref="B7:Q179"/>
  <sheetViews>
    <sheetView showGridLines="0" tabSelected="1" topLeftCell="B7" workbookViewId="0">
      <selection activeCell="F66" sqref="F66"/>
    </sheetView>
  </sheetViews>
  <sheetFormatPr defaultColWidth="9.109375" defaultRowHeight="12"/>
  <cols>
    <col min="1" max="1" width="1.5546875" style="251" customWidth="1"/>
    <col min="2" max="2" width="20.109375" style="251" customWidth="1"/>
    <col min="3" max="3" width="10.44140625" style="251" customWidth="1"/>
    <col min="4" max="5" width="12.88671875" style="251" customWidth="1"/>
    <col min="6" max="10" width="9.109375" style="251"/>
    <col min="11" max="11" width="9.5546875" style="251" bestFit="1" customWidth="1"/>
    <col min="12" max="16" width="9.109375" style="251"/>
    <col min="17" max="17" width="15.33203125" style="251" bestFit="1" customWidth="1"/>
    <col min="18" max="16384" width="9.109375" style="251"/>
  </cols>
  <sheetData>
    <row r="7" spans="2:15">
      <c r="B7" s="264"/>
      <c r="C7" s="302"/>
      <c r="D7" s="301" t="s">
        <v>179</v>
      </c>
      <c r="E7" s="301"/>
      <c r="F7" s="301" t="s">
        <v>184</v>
      </c>
      <c r="G7" s="301" t="s">
        <v>217</v>
      </c>
      <c r="H7" s="301" t="s">
        <v>218</v>
      </c>
      <c r="I7" s="301" t="s">
        <v>219</v>
      </c>
      <c r="J7" s="301"/>
      <c r="K7" s="301"/>
      <c r="L7" s="301"/>
      <c r="M7" s="300"/>
      <c r="N7" s="252"/>
      <c r="O7" s="252"/>
    </row>
    <row r="8" spans="2:15">
      <c r="B8" s="263" t="s">
        <v>177</v>
      </c>
      <c r="C8" s="289" t="s">
        <v>178</v>
      </c>
      <c r="D8" s="284" t="s">
        <v>180</v>
      </c>
      <c r="E8" s="284" t="s">
        <v>223</v>
      </c>
      <c r="F8" s="284" t="s">
        <v>183</v>
      </c>
      <c r="G8" s="284" t="s">
        <v>212</v>
      </c>
      <c r="H8" s="284" t="s">
        <v>213</v>
      </c>
      <c r="I8" s="284"/>
      <c r="J8" s="284" t="s">
        <v>185</v>
      </c>
      <c r="K8" s="284" t="s">
        <v>220</v>
      </c>
      <c r="L8" s="284" t="s">
        <v>221</v>
      </c>
      <c r="M8" s="265" t="s">
        <v>222</v>
      </c>
      <c r="N8" s="252"/>
      <c r="O8" s="252"/>
    </row>
    <row r="9" spans="2:15">
      <c r="B9" s="283"/>
      <c r="C9" s="254"/>
      <c r="D9" s="255" t="s">
        <v>181</v>
      </c>
      <c r="E9" s="255" t="s">
        <v>182</v>
      </c>
      <c r="F9" s="255"/>
      <c r="G9" s="256" t="s">
        <v>214</v>
      </c>
      <c r="H9" s="255" t="s">
        <v>215</v>
      </c>
      <c r="I9" s="277" t="s">
        <v>216</v>
      </c>
      <c r="J9" s="255"/>
      <c r="K9" s="256" t="s">
        <v>214</v>
      </c>
      <c r="L9" s="255" t="s">
        <v>215</v>
      </c>
      <c r="M9" s="285"/>
      <c r="N9" s="252"/>
      <c r="O9" s="252"/>
    </row>
    <row r="10" spans="2:15" ht="15.75" customHeight="1">
      <c r="B10" s="282" t="s">
        <v>186</v>
      </c>
      <c r="C10" s="276" t="s">
        <v>209</v>
      </c>
      <c r="D10" s="288">
        <v>1.6E-2</v>
      </c>
      <c r="E10" s="262">
        <f>+D10*100</f>
        <v>1.6</v>
      </c>
      <c r="F10" s="297">
        <v>44</v>
      </c>
      <c r="G10" s="296">
        <v>87.9</v>
      </c>
      <c r="H10" s="296">
        <v>1071</v>
      </c>
      <c r="I10" s="296">
        <v>0.2276</v>
      </c>
      <c r="J10" s="295">
        <f t="shared" ref="J10:J24" si="0">+F10*D10</f>
        <v>0.70399999999999996</v>
      </c>
      <c r="K10" s="295">
        <f>+D10*G10</f>
        <v>1.4064000000000001</v>
      </c>
      <c r="L10" s="295">
        <f>+D10*H10</f>
        <v>17.135999999999999</v>
      </c>
      <c r="M10" s="294">
        <f>+D10*I10</f>
        <v>3.6416E-3</v>
      </c>
      <c r="N10" s="252"/>
      <c r="O10" s="252"/>
    </row>
    <row r="11" spans="2:15" ht="15.75" customHeight="1">
      <c r="B11" s="293" t="s">
        <v>187</v>
      </c>
      <c r="C11" s="292" t="s">
        <v>210</v>
      </c>
      <c r="D11" s="260">
        <v>0</v>
      </c>
      <c r="E11" s="291">
        <f t="shared" ref="E11:E24" si="1">+D11*100</f>
        <v>0</v>
      </c>
      <c r="F11" s="290">
        <v>34.1</v>
      </c>
      <c r="G11" s="298">
        <v>212.5</v>
      </c>
      <c r="H11" s="298">
        <v>1300</v>
      </c>
      <c r="I11" s="298">
        <v>8.2699999999999996E-2</v>
      </c>
      <c r="J11" s="281">
        <f t="shared" si="0"/>
        <v>0</v>
      </c>
      <c r="K11" s="281">
        <f t="shared" ref="K11:K24" si="2">+D11*G11</f>
        <v>0</v>
      </c>
      <c r="L11" s="281">
        <f t="shared" ref="L11:L24" si="3">+D11*H11</f>
        <v>0</v>
      </c>
      <c r="M11" s="275">
        <f t="shared" ref="M11:M24" si="4">+D11*I11</f>
        <v>0</v>
      </c>
      <c r="N11" s="252"/>
      <c r="O11" s="252"/>
    </row>
    <row r="12" spans="2:15" ht="15.75" customHeight="1">
      <c r="B12" s="293" t="s">
        <v>188</v>
      </c>
      <c r="C12" s="292" t="s">
        <v>211</v>
      </c>
      <c r="D12" s="260">
        <v>1.2999999999999999E-2</v>
      </c>
      <c r="E12" s="291">
        <f t="shared" si="1"/>
        <v>1.3</v>
      </c>
      <c r="F12" s="290">
        <v>28</v>
      </c>
      <c r="G12" s="298">
        <v>-232.5</v>
      </c>
      <c r="H12" s="298">
        <v>493.1</v>
      </c>
      <c r="I12" s="298">
        <v>4.0300000000000002E-2</v>
      </c>
      <c r="J12" s="281">
        <f t="shared" si="0"/>
        <v>0.36399999999999999</v>
      </c>
      <c r="K12" s="281">
        <f t="shared" si="2"/>
        <v>-3.0225</v>
      </c>
      <c r="L12" s="281">
        <f t="shared" si="3"/>
        <v>6.4103000000000003</v>
      </c>
      <c r="M12" s="275">
        <f t="shared" si="4"/>
        <v>5.239E-4</v>
      </c>
      <c r="N12" s="252"/>
      <c r="O12" s="252"/>
    </row>
    <row r="13" spans="2:15" ht="15.75" customHeight="1">
      <c r="B13" s="293" t="s">
        <v>189</v>
      </c>
      <c r="C13" s="292" t="s">
        <v>261</v>
      </c>
      <c r="D13" s="260">
        <v>0.92400000000000004</v>
      </c>
      <c r="E13" s="291">
        <f t="shared" si="1"/>
        <v>92.4</v>
      </c>
      <c r="F13" s="290">
        <v>16</v>
      </c>
      <c r="G13" s="298">
        <v>-116.7</v>
      </c>
      <c r="H13" s="298">
        <v>666.4</v>
      </c>
      <c r="I13" s="298">
        <v>1.0800000000000001E-2</v>
      </c>
      <c r="J13" s="281">
        <f t="shared" si="0"/>
        <v>14.784000000000001</v>
      </c>
      <c r="K13" s="281">
        <f t="shared" si="2"/>
        <v>-107.83080000000001</v>
      </c>
      <c r="L13" s="281">
        <f t="shared" si="3"/>
        <v>615.75360000000001</v>
      </c>
      <c r="M13" s="275">
        <f t="shared" si="4"/>
        <v>9.9792000000000006E-3</v>
      </c>
      <c r="N13" s="252"/>
      <c r="O13" s="252"/>
    </row>
    <row r="14" spans="2:15" ht="15.75" customHeight="1">
      <c r="B14" s="293" t="s">
        <v>190</v>
      </c>
      <c r="C14" s="292" t="s">
        <v>262</v>
      </c>
      <c r="D14" s="260">
        <v>3.5000000000000003E-2</v>
      </c>
      <c r="E14" s="291">
        <f t="shared" si="1"/>
        <v>3.5000000000000004</v>
      </c>
      <c r="F14" s="290">
        <v>30.07</v>
      </c>
      <c r="G14" s="298">
        <v>89.9</v>
      </c>
      <c r="H14" s="298">
        <v>706.5</v>
      </c>
      <c r="I14" s="298">
        <v>9.9000000000000005E-2</v>
      </c>
      <c r="J14" s="281">
        <f t="shared" si="0"/>
        <v>1.0524500000000001</v>
      </c>
      <c r="K14" s="281">
        <f t="shared" si="2"/>
        <v>3.1465000000000005</v>
      </c>
      <c r="L14" s="281">
        <f t="shared" si="3"/>
        <v>24.727500000000003</v>
      </c>
      <c r="M14" s="275">
        <f t="shared" si="4"/>
        <v>3.4650000000000006E-3</v>
      </c>
      <c r="N14" s="252"/>
      <c r="O14" s="252"/>
    </row>
    <row r="15" spans="2:15" ht="15.75" customHeight="1">
      <c r="B15" s="293" t="s">
        <v>191</v>
      </c>
      <c r="C15" s="292" t="s">
        <v>192</v>
      </c>
      <c r="D15" s="260">
        <v>3.0000000000000001E-3</v>
      </c>
      <c r="E15" s="291">
        <f t="shared" si="1"/>
        <v>0.3</v>
      </c>
      <c r="F15" s="290">
        <v>44.1</v>
      </c>
      <c r="G15" s="298">
        <v>206.1</v>
      </c>
      <c r="H15" s="298">
        <v>616</v>
      </c>
      <c r="I15" s="298">
        <v>0.1517</v>
      </c>
      <c r="J15" s="281">
        <f t="shared" si="0"/>
        <v>0.1323</v>
      </c>
      <c r="K15" s="281">
        <f t="shared" si="2"/>
        <v>0.61829999999999996</v>
      </c>
      <c r="L15" s="281">
        <f t="shared" si="3"/>
        <v>1.8480000000000001</v>
      </c>
      <c r="M15" s="275">
        <f t="shared" si="4"/>
        <v>4.551E-4</v>
      </c>
      <c r="N15" s="252"/>
      <c r="O15" s="252"/>
    </row>
    <row r="16" spans="2:15" ht="15.75" customHeight="1">
      <c r="B16" s="293" t="s">
        <v>193</v>
      </c>
      <c r="C16" s="292" t="s">
        <v>194</v>
      </c>
      <c r="D16" s="260">
        <v>2E-3</v>
      </c>
      <c r="E16" s="291">
        <f t="shared" si="1"/>
        <v>0.2</v>
      </c>
      <c r="F16" s="290">
        <v>58.1</v>
      </c>
      <c r="G16" s="298">
        <v>305.60000000000002</v>
      </c>
      <c r="H16" s="298">
        <v>550.6</v>
      </c>
      <c r="I16" s="298">
        <v>0.19309999999999999</v>
      </c>
      <c r="J16" s="281">
        <f t="shared" si="0"/>
        <v>0.11620000000000001</v>
      </c>
      <c r="K16" s="281">
        <f t="shared" si="2"/>
        <v>0.61120000000000008</v>
      </c>
      <c r="L16" s="281">
        <f t="shared" si="3"/>
        <v>1.1012000000000002</v>
      </c>
      <c r="M16" s="275">
        <f t="shared" si="4"/>
        <v>3.8620000000000001E-4</v>
      </c>
      <c r="N16" s="252"/>
      <c r="O16" s="252"/>
    </row>
    <row r="17" spans="2:15" ht="15.75" customHeight="1">
      <c r="B17" s="293" t="s">
        <v>195</v>
      </c>
      <c r="C17" s="292" t="s">
        <v>194</v>
      </c>
      <c r="D17" s="260">
        <v>1E-3</v>
      </c>
      <c r="E17" s="291">
        <f t="shared" si="1"/>
        <v>0.1</v>
      </c>
      <c r="F17" s="290">
        <v>58.1</v>
      </c>
      <c r="G17" s="298">
        <v>274.5</v>
      </c>
      <c r="H17" s="298">
        <v>527.9</v>
      </c>
      <c r="I17" s="298">
        <v>0.17699999999999999</v>
      </c>
      <c r="J17" s="281">
        <f t="shared" si="0"/>
        <v>5.8100000000000006E-2</v>
      </c>
      <c r="K17" s="281">
        <f t="shared" si="2"/>
        <v>0.27450000000000002</v>
      </c>
      <c r="L17" s="281">
        <f t="shared" si="3"/>
        <v>0.52790000000000004</v>
      </c>
      <c r="M17" s="275">
        <f t="shared" si="4"/>
        <v>1.7699999999999999E-4</v>
      </c>
      <c r="N17" s="252"/>
      <c r="O17" s="252"/>
    </row>
    <row r="18" spans="2:15" ht="15.75" customHeight="1">
      <c r="B18" s="293" t="s">
        <v>196</v>
      </c>
      <c r="C18" s="292" t="s">
        <v>197</v>
      </c>
      <c r="D18" s="260">
        <v>1E-3</v>
      </c>
      <c r="E18" s="291">
        <f t="shared" si="1"/>
        <v>0.1</v>
      </c>
      <c r="F18" s="290">
        <v>72.2</v>
      </c>
      <c r="G18" s="298">
        <v>385.8</v>
      </c>
      <c r="H18" s="298">
        <v>488.6</v>
      </c>
      <c r="I18" s="298">
        <v>0.24859999999999999</v>
      </c>
      <c r="J18" s="281">
        <f t="shared" si="0"/>
        <v>7.22E-2</v>
      </c>
      <c r="K18" s="281">
        <f t="shared" si="2"/>
        <v>0.38580000000000003</v>
      </c>
      <c r="L18" s="281">
        <f t="shared" si="3"/>
        <v>0.48860000000000003</v>
      </c>
      <c r="M18" s="275">
        <f t="shared" si="4"/>
        <v>2.4859999999999997E-4</v>
      </c>
      <c r="N18" s="252"/>
      <c r="O18" s="252"/>
    </row>
    <row r="19" spans="2:15" ht="15.75" customHeight="1">
      <c r="B19" s="293" t="s">
        <v>198</v>
      </c>
      <c r="C19" s="292" t="s">
        <v>197</v>
      </c>
      <c r="D19" s="260">
        <v>0</v>
      </c>
      <c r="E19" s="291">
        <f t="shared" si="1"/>
        <v>0</v>
      </c>
      <c r="F19" s="290">
        <v>72.2</v>
      </c>
      <c r="G19" s="298">
        <v>369.1</v>
      </c>
      <c r="H19" s="298">
        <v>490.4</v>
      </c>
      <c r="I19" s="298">
        <v>0.22750000000000001</v>
      </c>
      <c r="J19" s="281">
        <f t="shared" si="0"/>
        <v>0</v>
      </c>
      <c r="K19" s="281">
        <f t="shared" si="2"/>
        <v>0</v>
      </c>
      <c r="L19" s="281">
        <f t="shared" si="3"/>
        <v>0</v>
      </c>
      <c r="M19" s="275">
        <f t="shared" si="4"/>
        <v>0</v>
      </c>
      <c r="N19" s="252"/>
      <c r="O19" s="252"/>
    </row>
    <row r="20" spans="2:15" ht="15.75" customHeight="1">
      <c r="B20" s="293" t="s">
        <v>199</v>
      </c>
      <c r="C20" s="292" t="s">
        <v>200</v>
      </c>
      <c r="D20" s="260">
        <v>1E-3</v>
      </c>
      <c r="E20" s="291">
        <f t="shared" si="1"/>
        <v>0.1</v>
      </c>
      <c r="F20" s="290">
        <v>86.2</v>
      </c>
      <c r="G20" s="298">
        <v>453.6</v>
      </c>
      <c r="H20" s="298">
        <v>436.9</v>
      </c>
      <c r="I20" s="298">
        <v>0.30470000000000003</v>
      </c>
      <c r="J20" s="281">
        <f t="shared" si="0"/>
        <v>8.6199999999999999E-2</v>
      </c>
      <c r="K20" s="281">
        <f t="shared" si="2"/>
        <v>0.45360000000000006</v>
      </c>
      <c r="L20" s="281">
        <f t="shared" si="3"/>
        <v>0.43690000000000001</v>
      </c>
      <c r="M20" s="275">
        <f t="shared" si="4"/>
        <v>3.0470000000000003E-4</v>
      </c>
      <c r="N20" s="252"/>
      <c r="O20" s="252"/>
    </row>
    <row r="21" spans="2:15" ht="15.75" customHeight="1">
      <c r="B21" s="293" t="s">
        <v>201</v>
      </c>
      <c r="C21" s="292" t="s">
        <v>202</v>
      </c>
      <c r="D21" s="260">
        <v>4.0000000000000001E-3</v>
      </c>
      <c r="E21" s="291">
        <f t="shared" si="1"/>
        <v>0.4</v>
      </c>
      <c r="F21" s="290">
        <v>100.2</v>
      </c>
      <c r="G21" s="298">
        <v>512.70000000000005</v>
      </c>
      <c r="H21" s="298">
        <v>396.8</v>
      </c>
      <c r="I21" s="298">
        <v>0.34939999999999999</v>
      </c>
      <c r="J21" s="281">
        <f t="shared" si="0"/>
        <v>0.40080000000000005</v>
      </c>
      <c r="K21" s="281">
        <f t="shared" si="2"/>
        <v>2.0508000000000002</v>
      </c>
      <c r="L21" s="281">
        <f t="shared" si="3"/>
        <v>1.5872000000000002</v>
      </c>
      <c r="M21" s="275">
        <f t="shared" si="4"/>
        <v>1.3975999999999999E-3</v>
      </c>
      <c r="N21" s="252"/>
      <c r="O21" s="252"/>
    </row>
    <row r="22" spans="2:15" ht="15.75" customHeight="1">
      <c r="B22" s="293" t="s">
        <v>203</v>
      </c>
      <c r="C22" s="292" t="s">
        <v>204</v>
      </c>
      <c r="D22" s="260"/>
      <c r="E22" s="291">
        <f t="shared" si="1"/>
        <v>0</v>
      </c>
      <c r="F22" s="290">
        <v>114.2</v>
      </c>
      <c r="G22" s="298">
        <v>564.20000000000005</v>
      </c>
      <c r="H22" s="298">
        <v>360.7</v>
      </c>
      <c r="I22" s="298">
        <v>0.3962</v>
      </c>
      <c r="J22" s="281">
        <f t="shared" si="0"/>
        <v>0</v>
      </c>
      <c r="K22" s="281">
        <f t="shared" si="2"/>
        <v>0</v>
      </c>
      <c r="L22" s="281">
        <f t="shared" si="3"/>
        <v>0</v>
      </c>
      <c r="M22" s="275">
        <f t="shared" si="4"/>
        <v>0</v>
      </c>
      <c r="N22" s="252"/>
      <c r="O22" s="252"/>
    </row>
    <row r="23" spans="2:15" ht="15.75" customHeight="1">
      <c r="B23" s="293" t="s">
        <v>205</v>
      </c>
      <c r="C23" s="292" t="s">
        <v>206</v>
      </c>
      <c r="D23" s="260"/>
      <c r="E23" s="291">
        <f t="shared" si="1"/>
        <v>0</v>
      </c>
      <c r="F23" s="290">
        <v>128.30000000000001</v>
      </c>
      <c r="G23" s="298">
        <v>610.70000000000005</v>
      </c>
      <c r="H23" s="298">
        <v>331.8</v>
      </c>
      <c r="I23" s="298">
        <v>0.43680000000000002</v>
      </c>
      <c r="J23" s="281">
        <f t="shared" si="0"/>
        <v>0</v>
      </c>
      <c r="K23" s="281">
        <f t="shared" si="2"/>
        <v>0</v>
      </c>
      <c r="L23" s="281">
        <f t="shared" si="3"/>
        <v>0</v>
      </c>
      <c r="M23" s="275">
        <f t="shared" si="4"/>
        <v>0</v>
      </c>
      <c r="N23" s="252"/>
      <c r="O23" s="252"/>
    </row>
    <row r="24" spans="2:15" ht="15.75" customHeight="1">
      <c r="B24" s="267" t="s">
        <v>207</v>
      </c>
      <c r="C24" s="268" t="s">
        <v>208</v>
      </c>
      <c r="D24" s="270"/>
      <c r="E24" s="280">
        <f t="shared" si="1"/>
        <v>0</v>
      </c>
      <c r="F24" s="274">
        <v>142.30000000000001</v>
      </c>
      <c r="G24" s="299">
        <v>652</v>
      </c>
      <c r="H24" s="299">
        <v>305.2</v>
      </c>
      <c r="I24" s="299">
        <v>0.48420000000000002</v>
      </c>
      <c r="J24" s="269">
        <f t="shared" si="0"/>
        <v>0</v>
      </c>
      <c r="K24" s="269">
        <f t="shared" si="2"/>
        <v>0</v>
      </c>
      <c r="L24" s="269">
        <f t="shared" si="3"/>
        <v>0</v>
      </c>
      <c r="M24" s="261">
        <f t="shared" si="4"/>
        <v>0</v>
      </c>
      <c r="N24" s="252"/>
      <c r="O24" s="252"/>
    </row>
    <row r="25" spans="2:15" ht="15.75" customHeight="1">
      <c r="D25" s="278">
        <f>+SUM(D10:D24)</f>
        <v>1</v>
      </c>
      <c r="E25" s="257">
        <f>+SUM(E10:E24)</f>
        <v>100</v>
      </c>
      <c r="F25" s="252"/>
      <c r="G25" s="252"/>
      <c r="H25" s="252"/>
      <c r="I25" s="252"/>
      <c r="J25" s="362">
        <f>+SUM(J10:J24)</f>
        <v>17.770250000000001</v>
      </c>
      <c r="K25" s="271">
        <f>+SUM(K10:K24)</f>
        <v>-101.90620000000001</v>
      </c>
      <c r="L25" s="271">
        <f>+SUM(L10:L24)</f>
        <v>670.0172</v>
      </c>
      <c r="M25" s="279">
        <f>+SUM(M10:M24)</f>
        <v>2.0578900000000001E-2</v>
      </c>
      <c r="N25" s="252"/>
      <c r="O25" s="252"/>
    </row>
    <row r="26" spans="2:15" ht="16.5" customHeight="1">
      <c r="J26" s="363">
        <f>+J25/29</f>
        <v>0.61276724137931038</v>
      </c>
    </row>
    <row r="27" spans="2:15">
      <c r="B27" s="305" t="s">
        <v>224</v>
      </c>
      <c r="C27" s="305"/>
      <c r="D27" s="305"/>
      <c r="E27" s="305"/>
      <c r="F27" s="305"/>
      <c r="G27" s="305"/>
    </row>
    <row r="28" spans="2:15">
      <c r="B28" s="309" t="s">
        <v>179</v>
      </c>
      <c r="C28" s="310">
        <f>+D10+D11</f>
        <v>1.6E-2</v>
      </c>
      <c r="D28" s="303"/>
      <c r="E28" s="303"/>
      <c r="F28" s="303"/>
      <c r="G28" s="303"/>
    </row>
    <row r="29" spans="2:15">
      <c r="B29" s="311" t="s">
        <v>184</v>
      </c>
      <c r="C29" s="312">
        <f>+D11</f>
        <v>0</v>
      </c>
      <c r="D29" s="306"/>
      <c r="E29" s="306"/>
      <c r="F29" s="303"/>
      <c r="G29" s="303"/>
    </row>
    <row r="30" spans="2:15" ht="13.8">
      <c r="B30" s="313" t="s">
        <v>225</v>
      </c>
      <c r="C30" s="314">
        <f>120*(C28^0.9-C28^1.6)+15*(C29^0.5-C29^4)</f>
        <v>2.7426718242409089</v>
      </c>
      <c r="D30" s="258"/>
      <c r="E30" s="306"/>
      <c r="F30" s="303"/>
      <c r="G30" s="303"/>
      <c r="I30" s="251" t="s">
        <v>293</v>
      </c>
      <c r="J30" s="364">
        <f>+'Pore Pressure'!D10</f>
        <v>8328.3482939632559</v>
      </c>
      <c r="K30" s="251" t="s">
        <v>294</v>
      </c>
      <c r="L30" s="251" t="s">
        <v>296</v>
      </c>
    </row>
    <row r="31" spans="2:15">
      <c r="B31" s="303"/>
      <c r="C31" s="306"/>
      <c r="D31" s="273"/>
      <c r="E31" s="306"/>
      <c r="F31" s="303"/>
      <c r="G31" s="303"/>
      <c r="I31" s="251" t="s">
        <v>293</v>
      </c>
      <c r="J31" s="364">
        <f>+MAX(I40:I5000)</f>
        <v>11676.4</v>
      </c>
      <c r="K31" s="251" t="s">
        <v>294</v>
      </c>
      <c r="L31" s="251" t="s">
        <v>295</v>
      </c>
    </row>
    <row r="32" spans="2:15" ht="12.6" thickBot="1">
      <c r="B32" s="315" t="s">
        <v>227</v>
      </c>
      <c r="C32" s="315"/>
      <c r="D32" s="259"/>
      <c r="E32" s="315"/>
      <c r="F32" s="315"/>
      <c r="G32" s="315"/>
    </row>
    <row r="33" spans="2:17">
      <c r="B33" s="316" t="s">
        <v>228</v>
      </c>
      <c r="C33" s="317">
        <f>+K25+460</f>
        <v>358.09379999999999</v>
      </c>
      <c r="D33" s="258" t="s">
        <v>226</v>
      </c>
      <c r="E33" s="303"/>
      <c r="F33" s="303"/>
      <c r="G33" s="303"/>
    </row>
    <row r="34" spans="2:17">
      <c r="B34" s="316" t="s">
        <v>229</v>
      </c>
      <c r="C34" s="317">
        <f>+L25</f>
        <v>670.0172</v>
      </c>
      <c r="D34" s="258" t="s">
        <v>230</v>
      </c>
      <c r="E34" s="303"/>
      <c r="F34" s="303"/>
      <c r="G34" s="303"/>
    </row>
    <row r="35" spans="2:17">
      <c r="B35" s="303"/>
      <c r="C35" s="303"/>
      <c r="D35" s="266"/>
      <c r="E35" s="303"/>
      <c r="F35" s="303"/>
      <c r="G35" s="303"/>
      <c r="J35" s="287" t="s">
        <v>258</v>
      </c>
      <c r="K35" s="344">
        <f>+C41-460</f>
        <v>240.05938242280286</v>
      </c>
      <c r="L35" s="345" t="s">
        <v>214</v>
      </c>
    </row>
    <row r="36" spans="2:17" ht="12.6" thickBot="1">
      <c r="B36" s="315" t="s">
        <v>231</v>
      </c>
      <c r="C36" s="315"/>
      <c r="D36" s="259"/>
      <c r="E36" s="315"/>
      <c r="F36" s="315"/>
      <c r="G36" s="315"/>
    </row>
    <row r="37" spans="2:17">
      <c r="B37" s="318" t="s">
        <v>232</v>
      </c>
      <c r="C37" s="319">
        <f>+C33-C30</f>
        <v>355.35112817575907</v>
      </c>
      <c r="D37" s="258" t="s">
        <v>226</v>
      </c>
      <c r="E37" s="308"/>
      <c r="F37" s="308"/>
      <c r="G37" s="308"/>
      <c r="I37" s="253"/>
      <c r="J37" s="253"/>
      <c r="K37" s="272" t="s">
        <v>30</v>
      </c>
      <c r="L37" s="272"/>
      <c r="M37" s="272" t="s">
        <v>30</v>
      </c>
    </row>
    <row r="38" spans="2:17">
      <c r="B38" s="320" t="s">
        <v>233</v>
      </c>
      <c r="C38" s="319">
        <f>(C34*C37)/(C33+C29*(1-C29)*C30)</f>
        <v>664.88547949493466</v>
      </c>
      <c r="D38" s="258" t="s">
        <v>230</v>
      </c>
      <c r="E38" s="308"/>
      <c r="F38" s="308"/>
      <c r="G38" s="308"/>
      <c r="I38" s="343" t="s">
        <v>234</v>
      </c>
      <c r="J38" s="343" t="s">
        <v>245</v>
      </c>
      <c r="K38" s="343" t="s">
        <v>259</v>
      </c>
      <c r="L38" s="343" t="s">
        <v>249</v>
      </c>
      <c r="M38" s="343" t="s">
        <v>260</v>
      </c>
    </row>
    <row r="39" spans="2:17" ht="12.6" thickBot="1">
      <c r="I39" s="342" t="s">
        <v>215</v>
      </c>
      <c r="J39" s="342"/>
      <c r="K39" s="342" t="s">
        <v>257</v>
      </c>
      <c r="L39" s="342" t="s">
        <v>145</v>
      </c>
      <c r="M39" s="342" t="s">
        <v>253</v>
      </c>
    </row>
    <row r="40" spans="2:17">
      <c r="B40" s="251" t="s">
        <v>234</v>
      </c>
      <c r="C40" s="364">
        <v>9102.6265091863534</v>
      </c>
      <c r="D40" s="251" t="s">
        <v>230</v>
      </c>
      <c r="I40" s="252">
        <v>100</v>
      </c>
      <c r="J40" s="360">
        <v>0.99369627009143446</v>
      </c>
      <c r="K40" s="360">
        <v>0.23803505820188972</v>
      </c>
      <c r="L40" s="360">
        <v>0.19679836575544718</v>
      </c>
      <c r="M40" s="360">
        <v>1.4348258409377325E-2</v>
      </c>
    </row>
    <row r="41" spans="2:17">
      <c r="B41" s="251" t="s">
        <v>235</v>
      </c>
      <c r="C41" s="364">
        <v>700.05938242280286</v>
      </c>
      <c r="D41" s="251" t="s">
        <v>226</v>
      </c>
      <c r="E41" s="364">
        <f>+C41-460</f>
        <v>240.05938242280286</v>
      </c>
      <c r="F41" s="251" t="s">
        <v>286</v>
      </c>
      <c r="I41" s="286">
        <v>183.3</v>
      </c>
      <c r="J41" s="361">
        <v>0.98866551102949451</v>
      </c>
      <c r="K41" s="361">
        <v>0.43849892184715938</v>
      </c>
      <c r="L41" s="361">
        <v>0.10683016106243161</v>
      </c>
      <c r="M41" s="361">
        <v>1.4404103728345321E-2</v>
      </c>
      <c r="P41" s="251" t="s">
        <v>234</v>
      </c>
      <c r="Q41" s="251" t="s">
        <v>249</v>
      </c>
    </row>
    <row r="42" spans="2:17">
      <c r="I42" s="252">
        <v>266.60000000000002</v>
      </c>
      <c r="J42" s="360">
        <v>0.98383732269731827</v>
      </c>
      <c r="K42" s="360">
        <v>0.64088132994683722</v>
      </c>
      <c r="L42" s="360">
        <v>7.3094515720282485E-2</v>
      </c>
      <c r="M42" s="360">
        <v>1.4470196356100086E-2</v>
      </c>
      <c r="P42" s="367">
        <f>+'Pore Pressure'!D12</f>
        <v>8323.4270341207375</v>
      </c>
      <c r="Q42" s="383">
        <v>1E-3</v>
      </c>
    </row>
    <row r="43" spans="2:17">
      <c r="B43" s="321" t="s">
        <v>255</v>
      </c>
      <c r="C43" s="325">
        <f>+C40/C38</f>
        <v>13.690517825868238</v>
      </c>
      <c r="D43" s="322">
        <v>17.561526742137055</v>
      </c>
      <c r="I43" s="286">
        <v>349.9</v>
      </c>
      <c r="J43" s="361">
        <v>0.9792145825387264</v>
      </c>
      <c r="K43" s="361">
        <v>0.84508257714447887</v>
      </c>
      <c r="L43" s="361">
        <v>5.5432346747607657E-2</v>
      </c>
      <c r="M43" s="361">
        <v>1.454463481434568E-2</v>
      </c>
      <c r="P43" s="367">
        <f>+P42</f>
        <v>8323.4270341207375</v>
      </c>
      <c r="Q43" s="383">
        <f>+'Pore Pressure'!D13</f>
        <v>2.7983028996160938E-3</v>
      </c>
    </row>
    <row r="44" spans="2:17">
      <c r="B44" s="323" t="s">
        <v>256</v>
      </c>
      <c r="C44" s="326">
        <f>+C41/C37</f>
        <v>1.9700496970887589</v>
      </c>
      <c r="D44" s="324">
        <v>1.9700496970887589</v>
      </c>
      <c r="I44" s="252">
        <v>433.1</v>
      </c>
      <c r="J44" s="360">
        <v>0.97479988977568</v>
      </c>
      <c r="K44" s="360">
        <v>1.0509966249511276</v>
      </c>
      <c r="L44" s="360">
        <v>4.4571894271128593E-2</v>
      </c>
      <c r="M44" s="360">
        <v>1.4626382243759554E-2</v>
      </c>
      <c r="P44" s="367">
        <v>0</v>
      </c>
      <c r="Q44" s="383">
        <f>+Q43</f>
        <v>2.7983028996160938E-3</v>
      </c>
    </row>
    <row r="45" spans="2:17">
      <c r="B45" s="304"/>
      <c r="C45" s="304"/>
      <c r="D45" s="304"/>
      <c r="I45" s="286">
        <v>516.4</v>
      </c>
      <c r="J45" s="361">
        <v>0.97059554558949745</v>
      </c>
      <c r="K45" s="361">
        <v>1.2585114478170931</v>
      </c>
      <c r="L45" s="361">
        <v>3.7222474636911612E-2</v>
      </c>
      <c r="M45" s="361">
        <v>1.4714777178865867E-2</v>
      </c>
    </row>
    <row r="46" spans="2:17" ht="13.8">
      <c r="B46" s="327" t="s">
        <v>216</v>
      </c>
      <c r="C46" s="328">
        <f>+M25</f>
        <v>2.0578900000000001E-2</v>
      </c>
      <c r="D46" s="329"/>
      <c r="I46" s="252">
        <v>599.70000000000005</v>
      </c>
      <c r="J46" s="360">
        <v>0.96660353505020369</v>
      </c>
      <c r="K46" s="360">
        <v>1.4675094442093823</v>
      </c>
      <c r="L46" s="360">
        <v>3.1921368977541574E-2</v>
      </c>
      <c r="M46" s="360">
        <v>1.4809356608591898E-2</v>
      </c>
    </row>
    <row r="47" spans="2:17">
      <c r="B47" s="304"/>
      <c r="C47" s="304"/>
      <c r="D47" s="304"/>
      <c r="I47" s="286">
        <v>683</v>
      </c>
      <c r="J47" s="361">
        <v>0.96282551110468417</v>
      </c>
      <c r="K47" s="361">
        <v>1.6778679096345539</v>
      </c>
      <c r="L47" s="361">
        <v>2.7919307698564697E-2</v>
      </c>
      <c r="M47" s="361">
        <v>1.4909774670692636E-2</v>
      </c>
      <c r="P47" s="376" t="s">
        <v>234</v>
      </c>
      <c r="Q47" s="376" t="s">
        <v>245</v>
      </c>
    </row>
    <row r="48" spans="2:17" ht="13.8">
      <c r="B48" s="327" t="s">
        <v>236</v>
      </c>
      <c r="C48" s="328">
        <f>0.37464+1.54226*C46-0.26993*C46^2</f>
        <v>0.40626370135457207</v>
      </c>
      <c r="D48" s="329"/>
      <c r="I48" s="252">
        <v>766.3</v>
      </c>
      <c r="J48" s="360">
        <v>0.95926278090848438</v>
      </c>
      <c r="K48" s="360">
        <v>1.8894595671805194</v>
      </c>
      <c r="L48" s="360">
        <v>2.4792756225282635E-2</v>
      </c>
      <c r="M48" s="360">
        <v>1.5015759600342935E-2</v>
      </c>
      <c r="P48" s="367">
        <f>+P42</f>
        <v>8323.4270341207375</v>
      </c>
      <c r="Q48" s="382">
        <v>0.7</v>
      </c>
    </row>
    <row r="49" spans="2:17">
      <c r="B49" s="304"/>
      <c r="C49" s="304"/>
      <c r="D49" s="304"/>
      <c r="I49" s="286">
        <v>849.6</v>
      </c>
      <c r="J49" s="361">
        <v>0.95591629475149631</v>
      </c>
      <c r="K49" s="361">
        <v>2.1021531498401833</v>
      </c>
      <c r="L49" s="361">
        <v>2.2284251958614928E-2</v>
      </c>
      <c r="M49" s="361">
        <v>1.5127088658794467E-2</v>
      </c>
      <c r="P49" s="367">
        <f>+P48</f>
        <v>8323.4270341207375</v>
      </c>
      <c r="Q49" s="382">
        <f>+'Pore Pressure'!D15</f>
        <v>1.1888000000000001</v>
      </c>
    </row>
    <row r="50" spans="2:17" ht="13.8">
      <c r="B50" s="327" t="s">
        <v>237</v>
      </c>
      <c r="C50" s="328">
        <f>(1+C48*(1-C44^0.5))^2</f>
        <v>0.69895992413553176</v>
      </c>
      <c r="D50" s="329"/>
      <c r="I50" s="252">
        <v>932.8</v>
      </c>
      <c r="J50" s="360">
        <v>0.9527866377851324</v>
      </c>
      <c r="K50" s="360">
        <v>2.3158140276739454</v>
      </c>
      <c r="L50" s="360">
        <v>2.0228269579007044E-2</v>
      </c>
      <c r="M50" s="360">
        <v>1.5243572504470868E-2</v>
      </c>
      <c r="P50" s="367">
        <v>0</v>
      </c>
      <c r="Q50" s="382">
        <f>+Q49</f>
        <v>1.1888000000000001</v>
      </c>
    </row>
    <row r="51" spans="2:17">
      <c r="B51" s="304"/>
      <c r="C51" s="304"/>
      <c r="D51" s="304"/>
      <c r="I51" s="286">
        <v>1016.1</v>
      </c>
      <c r="J51" s="361">
        <v>0.94987402470912674</v>
      </c>
      <c r="K51" s="361">
        <v>2.5303048718137027</v>
      </c>
      <c r="L51" s="361">
        <v>1.8513543948186995E-2</v>
      </c>
      <c r="M51" s="361">
        <v>1.5365044948207996E-2</v>
      </c>
    </row>
    <row r="52" spans="2:17">
      <c r="B52" s="330" t="s">
        <v>254</v>
      </c>
      <c r="C52" s="331">
        <v>10.731590000000001</v>
      </c>
      <c r="D52" s="329"/>
      <c r="I52" s="252">
        <v>1099.4000000000001</v>
      </c>
      <c r="J52" s="360">
        <v>0.94717829752127836</v>
      </c>
      <c r="K52" s="360">
        <v>2.7454863464500594</v>
      </c>
      <c r="L52" s="360">
        <v>1.7062518087990343E-2</v>
      </c>
      <c r="M52" s="360">
        <v>1.5491355982283199E-2</v>
      </c>
    </row>
    <row r="53" spans="2:17">
      <c r="B53" s="304"/>
      <c r="C53" s="304"/>
      <c r="D53" s="304"/>
      <c r="I53" s="286">
        <v>1182.7</v>
      </c>
      <c r="J53" s="361">
        <v>0.94469892637510977</v>
      </c>
      <c r="K53" s="361">
        <v>2.961217819311238</v>
      </c>
      <c r="L53" s="361">
        <v>1.581947472460182E-2</v>
      </c>
      <c r="M53" s="361">
        <v>1.5622366906306464E-2</v>
      </c>
    </row>
    <row r="54" spans="2:17" ht="13.8">
      <c r="B54" s="332" t="s">
        <v>237</v>
      </c>
      <c r="C54" s="333">
        <f>0.457235*(C52^2)*(C37^2)/C38</f>
        <v>10000.832647449339</v>
      </c>
      <c r="D54" s="329"/>
      <c r="I54" s="252">
        <v>1266</v>
      </c>
      <c r="J54" s="360">
        <v>0.94243501353048198</v>
      </c>
      <c r="K54" s="360">
        <v>3.1773580807617217</v>
      </c>
      <c r="L54" s="360">
        <v>1.4743352576554522E-2</v>
      </c>
      <c r="M54" s="360">
        <v>1.5757946855341935E-2</v>
      </c>
    </row>
    <row r="55" spans="2:17">
      <c r="B55" s="304"/>
      <c r="C55" s="304"/>
      <c r="D55" s="304"/>
      <c r="I55" s="286">
        <v>1349.3</v>
      </c>
      <c r="J55" s="361">
        <v>0.94038530032280643</v>
      </c>
      <c r="K55" s="361">
        <v>3.3937660615345839</v>
      </c>
      <c r="L55" s="361">
        <v>1.3803223203149259E-2</v>
      </c>
      <c r="M55" s="361">
        <v>1.5897970300326428E-2</v>
      </c>
    </row>
    <row r="56" spans="2:17">
      <c r="B56" s="304"/>
      <c r="C56" s="304"/>
      <c r="D56" s="304"/>
      <c r="I56" s="252">
        <v>1432.5</v>
      </c>
      <c r="J56" s="360">
        <v>0.93854817701961046</v>
      </c>
      <c r="K56" s="360">
        <v>3.6103015392660409</v>
      </c>
      <c r="L56" s="360">
        <v>1.2975345670477714E-2</v>
      </c>
      <c r="M56" s="360">
        <v>1.6042315243499351E-2</v>
      </c>
    </row>
    <row r="57" spans="2:17" ht="13.8">
      <c r="B57" s="332" t="s">
        <v>44</v>
      </c>
      <c r="C57" s="334">
        <f>0.077796*C52*C37/C38</f>
        <v>0.44620269589060557</v>
      </c>
      <c r="D57" s="329"/>
      <c r="I57" s="286">
        <v>1515.8</v>
      </c>
      <c r="J57" s="361">
        <v>0.93692169538079506</v>
      </c>
      <c r="K57" s="361">
        <v>3.8268258244139477</v>
      </c>
      <c r="L57" s="361">
        <v>1.2241192203674079E-2</v>
      </c>
      <c r="M57" s="361">
        <v>1.619086192331886E-2</v>
      </c>
    </row>
    <row r="58" spans="2:17">
      <c r="B58" s="304"/>
      <c r="C58" s="304"/>
      <c r="D58" s="304"/>
      <c r="I58" s="252">
        <v>1599.1</v>
      </c>
      <c r="J58" s="360">
        <v>0.93550358369259246</v>
      </c>
      <c r="K58" s="360">
        <v>4.0432024167932257</v>
      </c>
      <c r="L58" s="360">
        <v>1.1586090830393952E-2</v>
      </c>
      <c r="M58" s="360">
        <v>1.6343491900501893E-2</v>
      </c>
    </row>
    <row r="59" spans="2:17">
      <c r="B59" s="304"/>
      <c r="C59" s="304"/>
      <c r="D59" s="304"/>
      <c r="I59" s="286">
        <v>1682.4</v>
      </c>
      <c r="J59" s="361">
        <v>0.93429126400639606</v>
      </c>
      <c r="K59" s="361">
        <v>4.2592976248197685</v>
      </c>
      <c r="L59" s="361">
        <v>1.0998271211117088E-2</v>
      </c>
      <c r="M59" s="361">
        <v>1.6500087433574694E-2</v>
      </c>
    </row>
    <row r="60" spans="2:17" ht="13.8">
      <c r="B60" s="332" t="s">
        <v>179</v>
      </c>
      <c r="C60" s="334">
        <f>C54*C50*C40/(C52*C41)^2</f>
        <v>1.1273460661192718</v>
      </c>
      <c r="D60" s="329"/>
      <c r="I60" s="252">
        <v>1765.7</v>
      </c>
      <c r="J60" s="360">
        <v>0.93328187128320661</v>
      </c>
      <c r="K60" s="360">
        <v>4.4749811405826039</v>
      </c>
      <c r="L60" s="360">
        <v>1.0468180529702937E-2</v>
      </c>
      <c r="M60" s="360">
        <v>1.6660531076638958E-2</v>
      </c>
    </row>
    <row r="61" spans="2:17">
      <c r="B61" s="304"/>
      <c r="C61" s="310"/>
      <c r="D61" s="304"/>
      <c r="I61" s="286">
        <v>1849</v>
      </c>
      <c r="J61" s="361">
        <v>0.93247227412305855</v>
      </c>
      <c r="K61" s="361">
        <v>4.6901265650184039</v>
      </c>
      <c r="L61" s="361">
        <v>9.9879842893857672E-3</v>
      </c>
      <c r="M61" s="361">
        <v>1.6824705448599958E-2</v>
      </c>
    </row>
    <row r="62" spans="2:17">
      <c r="B62" s="304"/>
      <c r="C62" s="310"/>
      <c r="D62" s="304"/>
      <c r="I62" s="252">
        <v>1932.2</v>
      </c>
      <c r="J62" s="360">
        <v>0.93185909674657608</v>
      </c>
      <c r="K62" s="360">
        <v>4.9046118786972732</v>
      </c>
      <c r="L62" s="360">
        <v>9.551196222090717E-3</v>
      </c>
      <c r="M62" s="360">
        <v>1.6992493134666435E-2</v>
      </c>
    </row>
    <row r="63" spans="2:17" ht="13.8">
      <c r="B63" s="332" t="s">
        <v>184</v>
      </c>
      <c r="C63" s="334">
        <f>C57*C40/(C52*C41)</f>
        <v>0.54062977515498678</v>
      </c>
      <c r="D63" s="329"/>
      <c r="I63" s="286">
        <v>2015.5</v>
      </c>
      <c r="J63" s="361">
        <v>0.93143874189255693</v>
      </c>
      <c r="K63" s="361">
        <v>5.1183198549980267</v>
      </c>
      <c r="L63" s="361">
        <v>9.1523999620482313E-3</v>
      </c>
      <c r="M63" s="361">
        <v>1.7163776689243366E-2</v>
      </c>
    </row>
    <row r="64" spans="2:17">
      <c r="B64" s="304"/>
      <c r="C64" s="304"/>
      <c r="D64" s="304"/>
      <c r="I64" s="252">
        <v>2098.8000000000002</v>
      </c>
      <c r="J64" s="360">
        <v>0.93120741430062637</v>
      </c>
      <c r="K64" s="360">
        <v>5.3311384137111961</v>
      </c>
      <c r="L64" s="360">
        <v>8.7870369912275894E-3</v>
      </c>
      <c r="M64" s="360">
        <v>1.7338438715485849E-2</v>
      </c>
    </row>
    <row r="65" spans="2:13">
      <c r="B65" s="304"/>
      <c r="C65" s="304"/>
      <c r="D65" s="304"/>
      <c r="I65" s="286">
        <v>2182.1</v>
      </c>
      <c r="J65" s="361">
        <v>0.93116114446069664</v>
      </c>
      <c r="K65" s="361">
        <v>5.542960914319262</v>
      </c>
      <c r="L65" s="361">
        <v>8.4512431479751345E-3</v>
      </c>
      <c r="M65" s="361">
        <v>1.7516362001462477E-2</v>
      </c>
    </row>
    <row r="66" spans="2:13" ht="12.6" thickBot="1">
      <c r="B66" s="315" t="s">
        <v>239</v>
      </c>
      <c r="C66" s="315"/>
      <c r="D66" s="315"/>
      <c r="I66" s="252">
        <v>2265.4</v>
      </c>
      <c r="J66" s="360">
        <v>0.93129581233011272</v>
      </c>
      <c r="K66" s="360">
        <v>5.7536863893324988</v>
      </c>
      <c r="L66" s="360">
        <v>8.1417211986886326E-3</v>
      </c>
      <c r="M66" s="360">
        <v>1.7697429696542314E-2</v>
      </c>
    </row>
    <row r="67" spans="2:13">
      <c r="B67" s="335" t="s">
        <v>148</v>
      </c>
      <c r="C67" s="336">
        <f>-(1-C63)</f>
        <v>-0.45937022484501322</v>
      </c>
      <c r="D67" s="304"/>
      <c r="I67" s="286">
        <v>2348.6999999999998</v>
      </c>
      <c r="J67" s="361">
        <v>0.93160717074380672</v>
      </c>
      <c r="K67" s="361">
        <v>5.9632197190778689</v>
      </c>
      <c r="L67" s="361">
        <v>7.8556405186221423E-3</v>
      </c>
      <c r="M67" s="361">
        <v>1.7881525514567748E-2</v>
      </c>
    </row>
    <row r="68" spans="2:13">
      <c r="B68" s="335" t="s">
        <v>46</v>
      </c>
      <c r="C68" s="336">
        <f>C60-2*C63-3*C63^2</f>
        <v>-0.83075514554309637</v>
      </c>
      <c r="D68" s="304"/>
      <c r="I68" s="252">
        <v>2431.9</v>
      </c>
      <c r="J68" s="360">
        <v>0.93209086827118703</v>
      </c>
      <c r="K68" s="360">
        <v>6.1714717502284087</v>
      </c>
      <c r="L68" s="360">
        <v>7.5905573812115245E-3</v>
      </c>
      <c r="M68" s="360">
        <v>1.8068533952801655E-2</v>
      </c>
    </row>
    <row r="69" spans="2:13">
      <c r="B69" s="335" t="s">
        <v>240</v>
      </c>
      <c r="C69" s="336">
        <f>-(C60*C63-C63^2-C63^3)</f>
        <v>-0.15918072638929917</v>
      </c>
      <c r="D69" s="304"/>
      <c r="I69" s="286">
        <v>2515.1999999999998</v>
      </c>
      <c r="J69" s="361">
        <v>0.93274247130462107</v>
      </c>
      <c r="K69" s="361">
        <v>6.378359361108374</v>
      </c>
      <c r="L69" s="361">
        <v>7.3443510775307533E-3</v>
      </c>
      <c r="M69" s="361">
        <v>1.8258340517672184E-2</v>
      </c>
    </row>
    <row r="70" spans="2:13">
      <c r="B70" s="304"/>
      <c r="C70" s="304"/>
      <c r="D70" s="304"/>
      <c r="I70" s="252">
        <v>2598.5</v>
      </c>
      <c r="J70" s="360">
        <v>0.93355748519700432</v>
      </c>
      <c r="K70" s="360">
        <v>6.5838054774097161</v>
      </c>
      <c r="L70" s="360">
        <v>7.1151723129379233E-3</v>
      </c>
      <c r="M70" s="360">
        <v>1.845083195006814E-2</v>
      </c>
    </row>
    <row r="71" spans="2:13">
      <c r="B71" s="304"/>
      <c r="C71" s="304"/>
      <c r="D71" s="304"/>
      <c r="I71" s="286">
        <v>2681.8</v>
      </c>
      <c r="J71" s="361">
        <v>0.93453137429891608</v>
      </c>
      <c r="K71" s="361">
        <v>6.787739042408651</v>
      </c>
      <c r="L71" s="361">
        <v>6.9014012109121373E-3</v>
      </c>
      <c r="M71" s="361">
        <v>1.8645896444421751E-2</v>
      </c>
    </row>
    <row r="72" spans="2:13" ht="12.6" thickBot="1">
      <c r="B72" s="337" t="s">
        <v>241</v>
      </c>
      <c r="C72" s="307"/>
      <c r="D72" s="307"/>
      <c r="I72" s="252">
        <v>2765.1</v>
      </c>
      <c r="J72" s="360">
        <v>0.93565958077829281</v>
      </c>
      <c r="K72" s="360">
        <v>6.9900949460827553</v>
      </c>
      <c r="L72" s="360">
        <v>6.701612897674087E-3</v>
      </c>
      <c r="M72" s="360">
        <v>1.8843423857093446E-2</v>
      </c>
    </row>
    <row r="73" spans="2:13">
      <c r="B73" s="338" t="s">
        <v>242</v>
      </c>
      <c r="C73" s="339">
        <v>1.3951100000000001</v>
      </c>
      <c r="D73" s="304"/>
      <c r="I73" s="286">
        <v>2848.4</v>
      </c>
      <c r="J73" s="361">
        <v>0.9369375421365751</v>
      </c>
      <c r="K73" s="361">
        <v>7.1908139177092094</v>
      </c>
      <c r="L73" s="361">
        <v>6.5145491154022413E-3</v>
      </c>
      <c r="M73" s="361">
        <v>1.9043305900673716E-2</v>
      </c>
    </row>
    <row r="74" spans="2:13">
      <c r="B74" s="338" t="s">
        <v>243</v>
      </c>
      <c r="C74" s="340">
        <v>1.3951100000000001</v>
      </c>
      <c r="D74" s="304"/>
      <c r="I74" s="252">
        <v>2931.6</v>
      </c>
      <c r="J74" s="360">
        <v>0.93836070736426103</v>
      </c>
      <c r="K74" s="360">
        <v>7.3898423865864187</v>
      </c>
      <c r="L74" s="360">
        <v>6.3390946648151257E-3</v>
      </c>
      <c r="M74" s="360">
        <v>1.9245436321761615E-2</v>
      </c>
    </row>
    <row r="75" spans="2:13">
      <c r="B75" s="338" t="s">
        <v>244</v>
      </c>
      <c r="C75" s="341">
        <v>1.3951100000000001</v>
      </c>
      <c r="D75" s="304"/>
      <c r="I75" s="286">
        <v>3014.9</v>
      </c>
      <c r="J75" s="361">
        <v>0.93992455170524591</v>
      </c>
      <c r="K75" s="361">
        <v>7.5871323154793577</v>
      </c>
      <c r="L75" s="361">
        <v>6.1742577430818112E-3</v>
      </c>
      <c r="M75" s="361">
        <v>1.9449711060584057E-2</v>
      </c>
    </row>
    <row r="76" spans="2:13">
      <c r="B76" s="304"/>
      <c r="C76" s="304"/>
      <c r="D76" s="304"/>
      <c r="I76" s="252">
        <v>3098.2</v>
      </c>
      <c r="J76" s="360">
        <v>0.94162459002293741</v>
      </c>
      <c r="K76" s="360">
        <v>7.7826410112595887</v>
      </c>
      <c r="L76" s="360">
        <v>6.0191534440380149E-3</v>
      </c>
      <c r="M76" s="360">
        <v>1.9656028391499207E-2</v>
      </c>
    </row>
    <row r="77" spans="2:13">
      <c r="B77" s="346" t="s">
        <v>234</v>
      </c>
      <c r="C77" s="347">
        <f>C40</f>
        <v>9102.6265091863534</v>
      </c>
      <c r="D77" s="348" t="s">
        <v>230</v>
      </c>
      <c r="I77" s="286">
        <v>3181.5</v>
      </c>
      <c r="J77" s="361">
        <v>0.94345638878171023</v>
      </c>
      <c r="K77" s="361">
        <v>7.976330917010567</v>
      </c>
      <c r="L77" s="361">
        <v>5.8729898413231278E-3</v>
      </c>
      <c r="M77" s="361">
        <v>1.986428904399299E-2</v>
      </c>
    </row>
    <row r="78" spans="2:13">
      <c r="B78" s="349" t="s">
        <v>235</v>
      </c>
      <c r="C78" s="350">
        <f>C41</f>
        <v>700.05938242280286</v>
      </c>
      <c r="D78" s="351" t="s">
        <v>226</v>
      </c>
      <c r="I78" s="252">
        <v>3264.8</v>
      </c>
      <c r="J78" s="360">
        <v>0.94541557667476828</v>
      </c>
      <c r="K78" s="360">
        <v>8.1681693896132348</v>
      </c>
      <c r="L78" s="360">
        <v>5.7350561933991392E-3</v>
      </c>
      <c r="M78" s="360">
        <v>2.0074396304241352E-2</v>
      </c>
    </row>
    <row r="79" spans="2:13">
      <c r="B79" s="349" t="s">
        <v>238</v>
      </c>
      <c r="C79" s="306">
        <f>C52</f>
        <v>10.731590000000001</v>
      </c>
      <c r="D79" s="351"/>
      <c r="I79" s="286">
        <v>3348.1</v>
      </c>
      <c r="J79" s="361">
        <v>0.94749785394396979</v>
      </c>
      <c r="K79" s="361">
        <v>8.3581284665309461</v>
      </c>
      <c r="L79" s="361">
        <v>5.6047129012456662E-3</v>
      </c>
      <c r="M79" s="361">
        <v>2.0286256097683402E-2</v>
      </c>
    </row>
    <row r="80" spans="2:13">
      <c r="B80" s="349" t="s">
        <v>245</v>
      </c>
      <c r="C80" s="306">
        <f>C73</f>
        <v>1.3951100000000001</v>
      </c>
      <c r="D80" s="351"/>
      <c r="I80" s="252">
        <v>3431.3</v>
      </c>
      <c r="J80" s="360">
        <v>0.94969900044875</v>
      </c>
      <c r="K80" s="360">
        <v>8.5461846251903637</v>
      </c>
      <c r="L80" s="360">
        <v>5.4813829212812257E-3</v>
      </c>
      <c r="M80" s="360">
        <v>2.049977705334249E-2</v>
      </c>
    </row>
    <row r="81" spans="2:13">
      <c r="B81" s="349" t="s">
        <v>129</v>
      </c>
      <c r="C81" s="352">
        <f>C80*C79*C78/C77</f>
        <v>1.1514383255814666</v>
      </c>
      <c r="D81" s="351" t="s">
        <v>246</v>
      </c>
      <c r="I81" s="286">
        <v>3514.6</v>
      </c>
      <c r="J81" s="361">
        <v>0.95201488255018529</v>
      </c>
      <c r="K81" s="361">
        <v>8.7323185380174113</v>
      </c>
      <c r="L81" s="361">
        <v>5.3645443924988032E-3</v>
      </c>
      <c r="M81" s="361">
        <v>2.0714870550852464E-2</v>
      </c>
    </row>
    <row r="82" spans="2:13">
      <c r="B82" s="349" t="s">
        <v>183</v>
      </c>
      <c r="C82" s="353">
        <f>+J25</f>
        <v>17.770250000000001</v>
      </c>
      <c r="D82" s="354"/>
      <c r="I82" s="252">
        <v>3597.9</v>
      </c>
      <c r="J82" s="360">
        <v>0.95444145888267995</v>
      </c>
      <c r="K82" s="360">
        <v>8.9165148258456224</v>
      </c>
      <c r="L82" s="360">
        <v>5.2537242814702529E-3</v>
      </c>
      <c r="M82" s="360">
        <v>2.0931450751306101E-2</v>
      </c>
    </row>
    <row r="83" spans="2:13">
      <c r="B83" s="349" t="s">
        <v>247</v>
      </c>
      <c r="C83" s="355">
        <f>C82*C77/(C79*C78*C80)</f>
        <v>15.433088863900874</v>
      </c>
      <c r="D83" s="351" t="s">
        <v>248</v>
      </c>
      <c r="I83" s="286">
        <v>3681.2</v>
      </c>
      <c r="J83" s="361">
        <v>0.95697478509000122</v>
      </c>
      <c r="K83" s="361">
        <v>9.098761812076301</v>
      </c>
      <c r="L83" s="361">
        <v>5.148492884434001E-3</v>
      </c>
      <c r="M83" s="361">
        <v>2.1149434613148881E-2</v>
      </c>
    </row>
    <row r="84" spans="2:13">
      <c r="B84" s="293"/>
      <c r="C84" s="292"/>
      <c r="D84" s="354"/>
      <c r="I84" s="252">
        <v>3764.5</v>
      </c>
      <c r="J84" s="360">
        <v>0.95961101760473866</v>
      </c>
      <c r="K84" s="360">
        <v>9.2790512796427347</v>
      </c>
      <c r="L84" s="360">
        <v>5.0484590541500151E-3</v>
      </c>
      <c r="M84" s="360">
        <v>2.1368741894403499E-2</v>
      </c>
    </row>
    <row r="85" spans="2:13">
      <c r="B85" s="349" t="s">
        <v>249</v>
      </c>
      <c r="C85" s="356">
        <f>0.00504*C80*(C78)/C77</f>
        <v>5.4076321970282059E-4</v>
      </c>
      <c r="D85" s="351" t="s">
        <v>250</v>
      </c>
      <c r="I85" s="286">
        <v>3847.8</v>
      </c>
      <c r="J85" s="361">
        <v>0.96234641655094677</v>
      </c>
      <c r="K85" s="361">
        <v>9.4573782325196429</v>
      </c>
      <c r="L85" s="361">
        <v>4.9532660421210814E-3</v>
      </c>
      <c r="M85" s="361">
        <v>2.1589295142536047E-2</v>
      </c>
    </row>
    <row r="86" spans="2:13">
      <c r="B86" s="349" t="s">
        <v>249</v>
      </c>
      <c r="C86" s="356">
        <f>0.02829*C80*(C78)/C77</f>
        <v>3.0353554534509504E-3</v>
      </c>
      <c r="D86" s="351" t="s">
        <v>251</v>
      </c>
      <c r="I86" s="252">
        <v>3931</v>
      </c>
      <c r="J86" s="360">
        <v>0.96517734784906528</v>
      </c>
      <c r="K86" s="360">
        <v>9.6337406632277904</v>
      </c>
      <c r="L86" s="360">
        <v>4.8625878653182708E-3</v>
      </c>
      <c r="M86" s="360">
        <v>2.1811019673270021E-2</v>
      </c>
    </row>
    <row r="87" spans="2:13">
      <c r="B87" s="357" t="s">
        <v>252</v>
      </c>
      <c r="C87" s="358"/>
      <c r="D87" s="359" t="s">
        <v>253</v>
      </c>
      <c r="I87" s="286">
        <v>4014.3</v>
      </c>
      <c r="J87" s="361">
        <v>0.96810028460041142</v>
      </c>
      <c r="K87" s="361">
        <v>9.8081393275148177</v>
      </c>
      <c r="L87" s="361">
        <v>4.7761261216202758E-3</v>
      </c>
      <c r="M87" s="361">
        <v>2.2033843539626174E-2</v>
      </c>
    </row>
    <row r="88" spans="2:13">
      <c r="B88" s="304"/>
      <c r="C88" s="304"/>
      <c r="D88" s="304"/>
      <c r="I88" s="252">
        <v>4097.6000000000004</v>
      </c>
      <c r="J88" s="360">
        <v>0.97111180782586093</v>
      </c>
      <c r="K88" s="360">
        <v>9.9805775271484301</v>
      </c>
      <c r="L88" s="360">
        <v>4.6936071904867815E-3</v>
      </c>
      <c r="M88" s="360">
        <v>2.2257697492419338E-2</v>
      </c>
    </row>
    <row r="89" spans="2:13">
      <c r="D89" s="304"/>
      <c r="I89" s="286">
        <v>4180.8999999999996</v>
      </c>
      <c r="J89" s="361">
        <v>0.97420860662996389</v>
      </c>
      <c r="K89" s="361">
        <v>10.151060901537715</v>
      </c>
      <c r="L89" s="361">
        <v>4.6147797654862302E-3</v>
      </c>
      <c r="M89" s="361">
        <v>2.2482514933383015E-2</v>
      </c>
    </row>
    <row r="90" spans="2:13">
      <c r="B90" s="304"/>
      <c r="C90" s="304"/>
      <c r="D90" s="304"/>
      <c r="I90" s="252">
        <v>4264.2</v>
      </c>
      <c r="J90" s="360">
        <v>0.9773874778578866</v>
      </c>
      <c r="K90" s="360">
        <v>10.319597228702374</v>
      </c>
      <c r="L90" s="360">
        <v>4.5394126736208974E-3</v>
      </c>
      <c r="M90" s="360">
        <v>2.2708231862022463E-2</v>
      </c>
    </row>
    <row r="91" spans="2:13">
      <c r="I91" s="286">
        <v>4347.5</v>
      </c>
      <c r="J91" s="361">
        <v>0.980645325308379</v>
      </c>
      <c r="K91" s="361">
        <v>10.486196235937408</v>
      </c>
      <c r="L91" s="361">
        <v>4.4672929432782995E-3</v>
      </c>
      <c r="M91" s="361">
        <v>2.2934786817220304E-2</v>
      </c>
    </row>
    <row r="92" spans="2:13">
      <c r="B92" s="304"/>
      <c r="C92" s="304"/>
      <c r="D92" s="304"/>
      <c r="I92" s="252">
        <v>4430.7</v>
      </c>
      <c r="J92" s="360">
        <v>0.98397915856155616</v>
      </c>
      <c r="K92" s="360">
        <v>10.650869420371368</v>
      </c>
      <c r="L92" s="360">
        <v>4.3982240883581594E-3</v>
      </c>
      <c r="M92" s="360">
        <v>2.316212081453908E-2</v>
      </c>
    </row>
    <row r="93" spans="2:13">
      <c r="B93" s="304"/>
      <c r="C93" s="304"/>
      <c r="D93" s="304"/>
      <c r="I93" s="286">
        <v>4514</v>
      </c>
      <c r="J93" s="361">
        <v>0.98738609147581646</v>
      </c>
      <c r="K93" s="361">
        <v>10.813629879487953</v>
      </c>
      <c r="L93" s="361">
        <v>4.3320245808942783E-3</v>
      </c>
      <c r="M93" s="361">
        <v>2.3390177280083656E-2</v>
      </c>
    </row>
    <row r="94" spans="2:13">
      <c r="I94" s="252">
        <v>4597.3</v>
      </c>
      <c r="J94" s="360">
        <v>0.99086334040372759</v>
      </c>
      <c r="K94" s="360">
        <v>10.974492151572283</v>
      </c>
      <c r="L94" s="360">
        <v>4.2685264884829606E-3</v>
      </c>
      <c r="M94" s="360">
        <v>2.361890198170593E-2</v>
      </c>
    </row>
    <row r="95" spans="2:13">
      <c r="I95" s="286">
        <v>4680.6000000000004</v>
      </c>
      <c r="J95" s="361">
        <v>0.99440822217232083</v>
      </c>
      <c r="K95" s="361">
        <v>11.133472065952571</v>
      </c>
      <c r="L95" s="361">
        <v>4.2075742561830049E-3</v>
      </c>
      <c r="M95" s="361">
        <v>2.3848242958255491E-2</v>
      </c>
    </row>
    <row r="96" spans="2:13">
      <c r="B96" s="304"/>
      <c r="C96" s="304"/>
      <c r="D96" s="304"/>
      <c r="I96" s="252">
        <v>4763.8999999999996</v>
      </c>
      <c r="J96" s="360">
        <v>0.9980181518689718</v>
      </c>
      <c r="K96" s="360">
        <v>11.29058660283382</v>
      </c>
      <c r="L96" s="360">
        <v>4.14902361537859E-3</v>
      </c>
      <c r="M96" s="360">
        <v>2.4078150447504498E-2</v>
      </c>
    </row>
    <row r="97" spans="9:13">
      <c r="I97" s="286">
        <v>4847.2</v>
      </c>
      <c r="J97" s="361">
        <v>1.0016906404699728</v>
      </c>
      <c r="K97" s="361">
        <v>11.445853762460265</v>
      </c>
      <c r="L97" s="361">
        <v>4.0927406044864081E-3</v>
      </c>
      <c r="M97" s="361">
        <v>2.4308576813302851E-2</v>
      </c>
    </row>
    <row r="98" spans="9:13">
      <c r="I98" s="252">
        <v>4930.3999999999996</v>
      </c>
      <c r="J98" s="360">
        <v>1.0054232923450297</v>
      </c>
      <c r="K98" s="360">
        <v>11.599292443296669</v>
      </c>
      <c r="L98" s="360">
        <v>4.0386006884158467E-3</v>
      </c>
      <c r="M98" s="360">
        <v>2.453947647245272E-2</v>
      </c>
    </row>
    <row r="99" spans="9:13">
      <c r="I99" s="286">
        <v>5013.7</v>
      </c>
      <c r="J99" s="361">
        <v>1.0092138026672921</v>
      </c>
      <c r="K99" s="361">
        <v>11.750922328882844</v>
      </c>
      <c r="L99" s="361">
        <v>3.9864879654164295E-3</v>
      </c>
      <c r="M99" s="361">
        <v>2.4770805821728456E-2</v>
      </c>
    </row>
    <row r="100" spans="9:13">
      <c r="I100" s="252">
        <v>5097</v>
      </c>
      <c r="J100" s="360">
        <v>1.0130599547551384</v>
      </c>
      <c r="K100" s="360">
        <v>11.900763782990095</v>
      </c>
      <c r="L100" s="360">
        <v>3.9362944514192135E-3</v>
      </c>
      <c r="M100" s="360">
        <v>2.5002523165409924E-2</v>
      </c>
    </row>
    <row r="101" spans="9:13">
      <c r="I101" s="286">
        <v>5180.3</v>
      </c>
      <c r="J101" s="361">
        <v>1.0169596173688007</v>
      </c>
      <c r="K101" s="361">
        <v>12.048837752690828</v>
      </c>
      <c r="L101" s="361">
        <v>3.8879194332393533E-3</v>
      </c>
      <c r="M101" s="361">
        <v>2.5234588643644314E-2</v>
      </c>
    </row>
    <row r="102" spans="9:13">
      <c r="I102" s="252">
        <v>5263.6</v>
      </c>
      <c r="J102" s="360">
        <v>1.0209107419820356</v>
      </c>
      <c r="K102" s="360">
        <v>12.195165678942374</v>
      </c>
      <c r="L102" s="360">
        <v>3.8412688830888669E-3</v>
      </c>
      <c r="M102" s="360">
        <v>2.5466964161903149E-2</v>
      </c>
    </row>
    <row r="103" spans="9:13">
      <c r="I103" s="286">
        <v>5346.9</v>
      </c>
      <c r="J103" s="361">
        <v>1.0249113600464113</v>
      </c>
      <c r="K103" s="361">
        <v>12.339769414281736</v>
      </c>
      <c r="L103" s="361">
        <v>3.7962549277798935E-3</v>
      </c>
      <c r="M103" s="361">
        <v>2.5699613321757436E-2</v>
      </c>
    </row>
    <row r="104" spans="9:13">
      <c r="I104" s="252">
        <v>5430.1</v>
      </c>
      <c r="J104" s="360">
        <v>1.0289595802633722</v>
      </c>
      <c r="K104" s="360">
        <v>12.482671147228837</v>
      </c>
      <c r="L104" s="360">
        <v>3.7527953668021019E-3</v>
      </c>
      <c r="M104" s="360">
        <v>2.5932501353154794E-2</v>
      </c>
    </row>
    <row r="105" spans="9:13">
      <c r="I105" s="286">
        <v>5513.4</v>
      </c>
      <c r="J105" s="361">
        <v>1.0330535858770888</v>
      </c>
      <c r="K105" s="361">
        <v>12.623893333000439</v>
      </c>
      <c r="L105" s="361">
        <v>3.7108132341530627E-3</v>
      </c>
      <c r="M105" s="361">
        <v>2.6165595048347114E-2</v>
      </c>
    </row>
    <row r="106" spans="9:13">
      <c r="I106" s="252">
        <v>5596.7</v>
      </c>
      <c r="J106" s="360">
        <v>1.0371916319991268</v>
      </c>
      <c r="K106" s="360">
        <v>12.763458630145228</v>
      </c>
      <c r="L106" s="360">
        <v>3.6702363994031008E-3</v>
      </c>
      <c r="M106" s="360">
        <v>2.6398862697586459E-2</v>
      </c>
    </row>
    <row r="107" spans="9:13">
      <c r="I107" s="286">
        <v>5680</v>
      </c>
      <c r="J107" s="361">
        <v>1.0413720429742264</v>
      </c>
      <c r="K107" s="361">
        <v>12.901389842721054</v>
      </c>
      <c r="L107" s="361">
        <v>3.630997204000039E-3</v>
      </c>
      <c r="M107" s="361">
        <v>2.6632274026679125E-2</v>
      </c>
    </row>
    <row r="108" spans="9:13">
      <c r="I108" s="252">
        <v>5763.3</v>
      </c>
      <c r="J108" s="360">
        <v>1.0455932097949143</v>
      </c>
      <c r="K108" s="360">
        <v>13.03770986764814</v>
      </c>
      <c r="L108" s="360">
        <v>3.5930321292757042E-3</v>
      </c>
      <c r="M108" s="360">
        <v>2.6865800136463912E-2</v>
      </c>
    </row>
    <row r="109" spans="9:13">
      <c r="I109" s="286">
        <v>5846.6</v>
      </c>
      <c r="J109" s="361">
        <v>1.0498535875712787</v>
      </c>
      <c r="K109" s="361">
        <v>13.172441646886138</v>
      </c>
      <c r="L109" s="361">
        <v>3.556281493014503E-3</v>
      </c>
      <c r="M109" s="361">
        <v>2.7099413444259295E-2</v>
      </c>
    </row>
    <row r="110" spans="9:13">
      <c r="I110" s="252">
        <v>5929.8</v>
      </c>
      <c r="J110" s="360">
        <v>1.0541516930610044</v>
      </c>
      <c r="K110" s="360">
        <v>13.305608124098248</v>
      </c>
      <c r="L110" s="360">
        <v>3.5206891717930737E-3</v>
      </c>
      <c r="M110" s="360">
        <v>2.7333087627306171E-2</v>
      </c>
    </row>
    <row r="111" spans="9:13">
      <c r="I111" s="286">
        <v>6013.1</v>
      </c>
      <c r="J111" s="361">
        <v>1.058486102263686</v>
      </c>
      <c r="K111" s="361">
        <v>13.437232205481427</v>
      </c>
      <c r="L111" s="361">
        <v>3.4862023466056711E-3</v>
      </c>
      <c r="M111" s="361">
        <v>2.7566797568216918E-2</v>
      </c>
    </row>
    <row r="112" spans="9:13">
      <c r="I112" s="252">
        <v>6096.4</v>
      </c>
      <c r="J112" s="360">
        <v>1.0628554480824743</v>
      </c>
      <c r="K112" s="360">
        <v>13.567336724458171</v>
      </c>
      <c r="L112" s="360">
        <v>3.4527712695584666E-3</v>
      </c>
      <c r="M112" s="360">
        <v>2.7800519302428224E-2</v>
      </c>
    </row>
    <row r="113" spans="9:13">
      <c r="I113" s="286">
        <v>6179.7</v>
      </c>
      <c r="J113" s="361">
        <v>1.0672584180552962</v>
      </c>
      <c r="K113" s="361">
        <v>13.695944409941543</v>
      </c>
      <c r="L113" s="361">
        <v>3.4203490496523266E-3</v>
      </c>
      <c r="M113" s="361">
        <v>2.8034229967643334E-2</v>
      </c>
    </row>
    <row r="114" spans="9:13">
      <c r="I114" s="378">
        <v>6263</v>
      </c>
      <c r="J114" s="360">
        <v>1.0716937521571448</v>
      </c>
      <c r="K114" s="360">
        <v>13.823077857901847</v>
      </c>
      <c r="L114" s="360">
        <v>3.3888914558819587E-3</v>
      </c>
      <c r="M114" s="360">
        <v>2.8267907755240448E-2</v>
      </c>
    </row>
    <row r="115" spans="9:13">
      <c r="I115" s="286">
        <v>6346.3</v>
      </c>
      <c r="J115" s="361">
        <v>1.0761602406743391</v>
      </c>
      <c r="K115" s="361">
        <v>13.948759505979028</v>
      </c>
      <c r="L115" s="361">
        <v>3.3583567360635151E-3</v>
      </c>
      <c r="M115" s="361">
        <v>2.8501531863614957E-2</v>
      </c>
    </row>
    <row r="116" spans="9:13">
      <c r="I116" s="378">
        <v>6429.5</v>
      </c>
      <c r="J116" s="360">
        <v>1.0806567221510874</v>
      </c>
      <c r="K116" s="360">
        <v>14.073011610901078</v>
      </c>
      <c r="L116" s="360">
        <v>3.328705449965534E-3</v>
      </c>
      <c r="M116" s="360">
        <v>2.8735082453417864E-2</v>
      </c>
    </row>
    <row r="117" spans="9:13">
      <c r="I117" s="286">
        <v>6512.8</v>
      </c>
      <c r="J117" s="361">
        <v>1.0851820814082573</v>
      </c>
      <c r="K117" s="361">
        <v>14.195856228483633</v>
      </c>
      <c r="L117" s="361">
        <v>3.2999003154625854E-3</v>
      </c>
      <c r="M117" s="361">
        <v>2.8968540604646244E-2</v>
      </c>
    </row>
    <row r="118" spans="9:13">
      <c r="I118" s="378">
        <v>6596.1</v>
      </c>
      <c r="J118" s="360">
        <v>1.0897352476338478</v>
      </c>
      <c r="K118" s="360">
        <v>14.317315196000935</v>
      </c>
      <c r="L118" s="360">
        <v>3.2719060665591278E-3</v>
      </c>
      <c r="M118" s="360">
        <v>2.9201888275538199E-2</v>
      </c>
    </row>
    <row r="119" spans="9:13">
      <c r="I119" s="286">
        <v>6679.4</v>
      </c>
      <c r="J119" s="361">
        <v>1.0943151925443413</v>
      </c>
      <c r="K119" s="361">
        <v>14.437410116732384</v>
      </c>
      <c r="L119" s="361">
        <v>3.244689322245079E-3</v>
      </c>
      <c r="M119" s="361">
        <v>2.9435108263221203E-2</v>
      </c>
    </row>
    <row r="120" spans="9:13">
      <c r="I120" s="378">
        <v>6762.7</v>
      </c>
      <c r="J120" s="360">
        <v>1.0989209286158423</v>
      </c>
      <c r="K120" s="360">
        <v>14.55616234650234</v>
      </c>
      <c r="L120" s="360">
        <v>3.2182184652461568E-3</v>
      </c>
      <c r="M120" s="360">
        <v>2.9668184166060207E-2</v>
      </c>
    </row>
    <row r="121" spans="9:13">
      <c r="I121" s="286">
        <v>6846</v>
      </c>
      <c r="J121" s="361">
        <v>1.1035515073836832</v>
      </c>
      <c r="K121" s="361">
        <v>14.673592982043735</v>
      </c>
      <c r="L121" s="361">
        <v>3.1924635298225448E-3</v>
      </c>
      <c r="M121" s="361">
        <v>2.9901100347650245E-2</v>
      </c>
    </row>
    <row r="122" spans="9:13">
      <c r="I122" s="378">
        <v>6929.2</v>
      </c>
      <c r="J122" s="360">
        <v>1.1082060178089919</v>
      </c>
      <c r="K122" s="360">
        <v>14.789722851028268</v>
      </c>
      <c r="L122" s="360">
        <v>3.1673960978503206E-3</v>
      </c>
      <c r="M122" s="360">
        <v>3.013384190239745E-2</v>
      </c>
    </row>
    <row r="123" spans="9:13">
      <c r="I123" s="286">
        <v>7012.5</v>
      </c>
      <c r="J123" s="361">
        <v>1.1128835847105836</v>
      </c>
      <c r="K123" s="361">
        <v>14.904572503617262</v>
      </c>
      <c r="L123" s="361">
        <v>3.1429892024924331E-3</v>
      </c>
      <c r="M123" s="361">
        <v>3.0366394622631229E-2</v>
      </c>
    </row>
    <row r="124" spans="9:13">
      <c r="I124" s="378">
        <v>7095.8</v>
      </c>
      <c r="J124" s="360">
        <v>1.1175833672604112</v>
      </c>
      <c r="K124" s="360">
        <v>15.018162205398289</v>
      </c>
      <c r="L124" s="360">
        <v>3.1192172388307417E-3</v>
      </c>
      <c r="M124" s="360">
        <v>3.059874496719096E-2</v>
      </c>
    </row>
    <row r="125" spans="9:13">
      <c r="I125" s="286">
        <v>7179.1</v>
      </c>
      <c r="J125" s="361">
        <v>1.1223045575407353</v>
      </c>
      <c r="K125" s="361">
        <v>15.130511931582712</v>
      </c>
      <c r="L125" s="361">
        <v>3.0960558808887893E-3</v>
      </c>
      <c r="M125" s="361">
        <v>3.0830880031430193E-2</v>
      </c>
    </row>
    <row r="126" spans="9:13">
      <c r="I126" s="378">
        <v>7262.4</v>
      </c>
      <c r="J126" s="360">
        <v>1.1270463791611109</v>
      </c>
      <c r="K126" s="360">
        <v>15.241641362348803</v>
      </c>
      <c r="L126" s="360">
        <v>3.0734820045270803E-3</v>
      </c>
      <c r="M126" s="360">
        <v>3.1062787518582307E-2</v>
      </c>
    </row>
    <row r="127" spans="9:13">
      <c r="I127" s="286">
        <v>7345.7</v>
      </c>
      <c r="J127" s="361">
        <v>1.1318080859332458</v>
      </c>
      <c r="K127" s="361">
        <v>15.35156987922413</v>
      </c>
      <c r="L127" s="361">
        <v>3.0514736157395655E-3</v>
      </c>
      <c r="M127" s="361">
        <v>3.1294455712432272E-2</v>
      </c>
    </row>
    <row r="128" spans="9:13">
      <c r="I128" s="378">
        <v>7428.9</v>
      </c>
      <c r="J128" s="360">
        <v>1.136588960601763</v>
      </c>
      <c r="K128" s="360">
        <v>15.460316562409135</v>
      </c>
      <c r="L128" s="360">
        <v>3.0300097839222355E-3</v>
      </c>
      <c r="M128" s="360">
        <v>3.1525873451240354E-2</v>
      </c>
    </row>
    <row r="129" spans="9:13">
      <c r="I129" s="286">
        <v>7512.2</v>
      </c>
      <c r="J129" s="361">
        <v>1.1413883136289005</v>
      </c>
      <c r="K129" s="361">
        <v>15.567900188951597</v>
      </c>
      <c r="L129" s="361">
        <v>3.0090705797227607E-3</v>
      </c>
      <c r="M129" s="361">
        <v>3.1757030102864486E-2</v>
      </c>
    </row>
    <row r="130" spans="9:13">
      <c r="I130" s="378">
        <v>7595.5</v>
      </c>
      <c r="J130" s="360">
        <v>1.1462054820311751</v>
      </c>
      <c r="K130" s="360">
        <v>15.674339231688954</v>
      </c>
      <c r="L130" s="360">
        <v>2.9886370171144359E-3</v>
      </c>
      <c r="M130" s="360">
        <v>3.19879155410299E-2</v>
      </c>
    </row>
    <row r="131" spans="9:13">
      <c r="I131" s="286">
        <v>7678.8</v>
      </c>
      <c r="J131" s="361">
        <v>1.151039828266063</v>
      </c>
      <c r="K131" s="361">
        <v>15.779651858882074</v>
      </c>
      <c r="L131" s="361">
        <v>2.9686909993686915E-3</v>
      </c>
      <c r="M131" s="361">
        <v>3.2218520122695521E-2</v>
      </c>
    </row>
    <row r="132" spans="9:13">
      <c r="I132" s="378">
        <v>7762.1</v>
      </c>
      <c r="J132" s="360">
        <v>1.155890739166771</v>
      </c>
      <c r="K132" s="360">
        <v>15.883855934470468</v>
      </c>
      <c r="L132" s="360">
        <v>2.9492152686284327E-3</v>
      </c>
      <c r="M132" s="360">
        <v>3.2448834666468793E-2</v>
      </c>
    </row>
    <row r="133" spans="9:13">
      <c r="I133" s="286">
        <v>7845.4</v>
      </c>
      <c r="J133" s="361">
        <v>1.1607576249232072</v>
      </c>
      <c r="K133" s="361">
        <v>15.986969018884494</v>
      </c>
      <c r="L133" s="361">
        <v>2.9301933588098805E-3</v>
      </c>
      <c r="M133" s="361">
        <v>3.2678850432021567E-2</v>
      </c>
    </row>
    <row r="134" spans="9:13">
      <c r="I134" s="378">
        <v>7928.6</v>
      </c>
      <c r="J134" s="360">
        <v>1.1656399181072941</v>
      </c>
      <c r="K134" s="360">
        <v>16.089008370355668</v>
      </c>
      <c r="L134" s="360">
        <v>2.9116095515835127E-3</v>
      </c>
      <c r="M134" s="360">
        <v>3.2908559100461747E-2</v>
      </c>
    </row>
    <row r="135" spans="9:13">
      <c r="I135" s="286">
        <v>8011.9</v>
      </c>
      <c r="J135" s="361">
        <v>1.1705370727408171</v>
      </c>
      <c r="K135" s="361">
        <v>16.189990946671031</v>
      </c>
      <c r="L135" s="361">
        <v>2.8934488352056094E-3</v>
      </c>
      <c r="M135" s="361">
        <v>3.3137952755617046E-2</v>
      </c>
    </row>
    <row r="136" spans="9:13">
      <c r="I136" s="378">
        <v>8095.2</v>
      </c>
      <c r="J136" s="360">
        <v>1.1754485634040455</v>
      </c>
      <c r="K136" s="360">
        <v>16.289933407322096</v>
      </c>
      <c r="L136" s="360">
        <v>2.8756968659907796E-3</v>
      </c>
      <c r="M136" s="360">
        <v>3.3367023866188457E-2</v>
      </c>
    </row>
    <row r="137" spans="9:13">
      <c r="I137" s="286">
        <v>8178.5</v>
      </c>
      <c r="J137" s="361">
        <v>1.1803738843834095</v>
      </c>
      <c r="K137" s="361">
        <v>16.388852116003246</v>
      </c>
      <c r="L137" s="361">
        <v>2.8583399322330777E-3</v>
      </c>
      <c r="M137" s="361">
        <v>3.3595765268733355E-2</v>
      </c>
    </row>
    <row r="138" spans="9:13">
      <c r="I138" s="378">
        <v>8261.7999999999993</v>
      </c>
      <c r="J138" s="360">
        <v>1.1853125488565768</v>
      </c>
      <c r="K138" s="360">
        <v>16.486763143418209</v>
      </c>
      <c r="L138" s="360">
        <v>2.8413649203989397E-3</v>
      </c>
      <c r="M138" s="360">
        <v>3.382417015143907E-2</v>
      </c>
    </row>
    <row r="139" spans="9:13">
      <c r="I139" s="286">
        <v>8345.1</v>
      </c>
      <c r="J139" s="361">
        <v>1.1902640881133206</v>
      </c>
      <c r="K139" s="361">
        <v>16.583682270356892</v>
      </c>
      <c r="L139" s="361">
        <v>2.8247592834294284E-3</v>
      </c>
      <c r="M139" s="361">
        <v>3.4052232038649939E-2</v>
      </c>
    </row>
    <row r="140" spans="9:13">
      <c r="I140" s="378">
        <v>8428.2999999999993</v>
      </c>
      <c r="J140" s="360">
        <v>1.1952280508106259</v>
      </c>
      <c r="K140" s="360">
        <v>16.679624991008325</v>
      </c>
      <c r="L140" s="360">
        <v>2.8085110110022183E-3</v>
      </c>
      <c r="M140" s="360">
        <v>3.4279944776112264E-2</v>
      </c>
    </row>
    <row r="141" spans="9:13">
      <c r="I141" s="286">
        <v>8511.6</v>
      </c>
      <c r="J141" s="361">
        <v>1.2002040022605398</v>
      </c>
      <c r="K141" s="361">
        <v>16.774606516478116</v>
      </c>
      <c r="L141" s="361">
        <v>2.7926086016156456E-3</v>
      </c>
      <c r="M141" s="361">
        <v>3.4507302516902712E-2</v>
      </c>
    </row>
    <row r="142" spans="9:13">
      <c r="I142" s="378">
        <v>8594.9</v>
      </c>
      <c r="J142" s="360">
        <v>1.2051915237493196</v>
      </c>
      <c r="K142" s="360">
        <v>16.86864177848225</v>
      </c>
      <c r="L142" s="360">
        <v>2.7770410363678671E-3</v>
      </c>
      <c r="M142" s="360">
        <v>3.473429970800837E-2</v>
      </c>
    </row>
    <row r="143" spans="9:13">
      <c r="I143" s="286">
        <v>8678.2000000000007</v>
      </c>
      <c r="J143" s="361">
        <v>1.2101902118864958</v>
      </c>
      <c r="K143" s="361">
        <v>16.961745433190941</v>
      </c>
      <c r="L143" s="361">
        <v>2.7617977543141279E-3</v>
      </c>
      <c r="M143" s="361">
        <v>3.4960931077526382E-2</v>
      </c>
    </row>
    <row r="144" spans="9:13">
      <c r="I144" s="378">
        <v>8761.5</v>
      </c>
      <c r="J144" s="360">
        <v>1.2151996779825147</v>
      </c>
      <c r="K144" s="360">
        <v>17.053931865199218</v>
      </c>
      <c r="L144" s="360">
        <v>2.7468686292940947E-3</v>
      </c>
      <c r="M144" s="360">
        <v>3.5187191622454268E-2</v>
      </c>
    </row>
    <row r="145" spans="9:13">
      <c r="I145" s="286">
        <v>8844.7999999999993</v>
      </c>
      <c r="J145" s="361">
        <v>1.2202195474536797</v>
      </c>
      <c r="K145" s="361">
        <v>17.145215191602801</v>
      </c>
      <c r="L145" s="361">
        <v>2.732243948129496E-3</v>
      </c>
      <c r="M145" s="361">
        <v>3.5413076597042271E-2</v>
      </c>
    </row>
    <row r="146" spans="9:13">
      <c r="I146" s="378">
        <v>8928</v>
      </c>
      <c r="J146" s="360">
        <v>1.2252494592531658</v>
      </c>
      <c r="K146" s="360">
        <v>17.235609266159852</v>
      </c>
      <c r="L146" s="360">
        <v>2.717914390099877E-3</v>
      </c>
      <c r="M146" s="360">
        <v>3.5638581501680686E-2</v>
      </c>
    </row>
    <row r="147" spans="9:13">
      <c r="I147" s="286">
        <v>9011.2999999999993</v>
      </c>
      <c r="J147" s="361">
        <v>1.2302890653269305</v>
      </c>
      <c r="K147" s="361">
        <v>17.325127683521099</v>
      </c>
      <c r="L147" s="361">
        <v>2.7038710076111865E-3</v>
      </c>
      <c r="M147" s="361">
        <v>3.5863702072296569E-2</v>
      </c>
    </row>
    <row r="148" spans="9:13">
      <c r="I148" s="378">
        <v>9094.6</v>
      </c>
      <c r="J148" s="360">
        <v>1.2353380300933905</v>
      </c>
      <c r="K148" s="360">
        <v>17.413783783512525</v>
      </c>
      <c r="L148" s="360">
        <v>2.6901052079782743E-3</v>
      </c>
      <c r="M148" s="360">
        <v>3.6088434270235344E-2</v>
      </c>
    </row>
    <row r="149" spans="9:13">
      <c r="I149" s="286">
        <v>9177.9</v>
      </c>
      <c r="J149" s="361">
        <v>1.2403960299457917</v>
      </c>
      <c r="K149" s="361">
        <v>17.50159065545623</v>
      </c>
      <c r="L149" s="361">
        <v>2.6766087362482364E-3</v>
      </c>
      <c r="M149" s="361">
        <v>3.6312774272603772E-2</v>
      </c>
    </row>
    <row r="150" spans="9:13">
      <c r="I150" s="378">
        <v>9261.2000000000007</v>
      </c>
      <c r="J150" s="360">
        <v>1.2454627527762356</v>
      </c>
      <c r="K150" s="360">
        <v>17.588561142516689</v>
      </c>
      <c r="L150" s="360">
        <v>2.6633736589968598E-3</v>
      </c>
      <c r="M150" s="360">
        <v>3.6536718463052356E-2</v>
      </c>
    </row>
    <row r="151" spans="9:13">
      <c r="I151" s="286">
        <v>9344.5</v>
      </c>
      <c r="J151" s="361">
        <v>1.2505378975203782</v>
      </c>
      <c r="K151" s="361">
        <v>17.674707846060677</v>
      </c>
      <c r="L151" s="361">
        <v>2.6503923490353702E-3</v>
      </c>
      <c r="M151" s="361">
        <v>3.6760263422975656E-2</v>
      </c>
    </row>
    <row r="152" spans="9:13">
      <c r="I152" s="378">
        <v>9427.7999999999993</v>
      </c>
      <c r="J152" s="360">
        <v>1.255621173721857</v>
      </c>
      <c r="K152" s="360">
        <v>17.760043130020662</v>
      </c>
      <c r="L152" s="360">
        <v>2.6376574709692248E-3</v>
      </c>
      <c r="M152" s="360">
        <v>3.6983405923110932E-2</v>
      </c>
    </row>
    <row r="153" spans="9:13">
      <c r="I153" s="286">
        <v>9511</v>
      </c>
      <c r="J153" s="361">
        <v>1.2607123011155486</v>
      </c>
      <c r="K153" s="361">
        <v>17.844579125252078</v>
      </c>
      <c r="L153" s="361">
        <v>2.6251619675548327E-3</v>
      </c>
      <c r="M153" s="361">
        <v>3.7206142915515369E-2</v>
      </c>
    </row>
    <row r="154" spans="9:13">
      <c r="I154" s="378">
        <v>9594.2999999999993</v>
      </c>
      <c r="J154" s="360">
        <v>1.2658110092287931</v>
      </c>
      <c r="K154" s="360">
        <v>17.928327733876458</v>
      </c>
      <c r="L154" s="360">
        <v>2.6128990468039515E-3</v>
      </c>
      <c r="M154" s="360">
        <v>3.7428471525904297E-2</v>
      </c>
    </row>
    <row r="155" spans="9:13">
      <c r="I155" s="286">
        <v>9677.6</v>
      </c>
      <c r="J155" s="361">
        <v>1.2709170369997689</v>
      </c>
      <c r="K155" s="361">
        <v>18.011300633602705</v>
      </c>
      <c r="L155" s="361">
        <v>2.6008621697890407E-3</v>
      </c>
      <c r="M155" s="361">
        <v>3.7650389046332555E-2</v>
      </c>
    </row>
    <row r="156" spans="9:13">
      <c r="I156" s="378">
        <v>9760.9</v>
      </c>
      <c r="J156" s="360">
        <v>1.2760301324122312</v>
      </c>
      <c r="K156" s="360">
        <v>18.093509282020143</v>
      </c>
      <c r="L156" s="360">
        <v>2.5890450391061123E-3</v>
      </c>
      <c r="M156" s="360">
        <v>3.7871892928202998E-2</v>
      </c>
    </row>
    <row r="157" spans="9:13">
      <c r="I157" s="286">
        <v>9844.2000000000007</v>
      </c>
      <c r="J157" s="361">
        <v>1.2811500521458679</v>
      </c>
      <c r="K157" s="361">
        <v>18.174964920857409</v>
      </c>
      <c r="L157" s="361">
        <v>2.5774415879546435E-3</v>
      </c>
      <c r="M157" s="361">
        <v>3.809298077558633E-2</v>
      </c>
    </row>
    <row r="158" spans="9:13">
      <c r="I158" s="378">
        <v>9927.5</v>
      </c>
      <c r="J158" s="360">
        <v>1.2862765612415643</v>
      </c>
      <c r="K158" s="360">
        <v>18.25567858020197</v>
      </c>
      <c r="L158" s="360">
        <v>2.5660459697968885E-3</v>
      </c>
      <c r="M158" s="360">
        <v>3.8313650338837192E-2</v>
      </c>
    </row>
    <row r="159" spans="9:13">
      <c r="I159" s="286">
        <v>10010.700000000001</v>
      </c>
      <c r="J159" s="361">
        <v>1.291409432780888</v>
      </c>
      <c r="K159" s="361">
        <v>18.335661082675955</v>
      </c>
      <c r="L159" s="361">
        <v>2.5548525485615038E-3</v>
      </c>
      <c r="M159" s="361">
        <v>3.8533899508493043E-2</v>
      </c>
    </row>
    <row r="160" spans="9:13">
      <c r="I160" s="378">
        <v>10094</v>
      </c>
      <c r="J160" s="360">
        <v>1.2965484475791591</v>
      </c>
      <c r="K160" s="360">
        <v>18.414923047564056</v>
      </c>
      <c r="L160" s="360">
        <v>2.5438558893587852E-3</v>
      </c>
      <c r="M160" s="360">
        <v>3.8753726309441433E-2</v>
      </c>
    </row>
    <row r="161" spans="9:13">
      <c r="I161" s="286">
        <v>10177.299999999999</v>
      </c>
      <c r="J161" s="361">
        <v>1.3016933938914741</v>
      </c>
      <c r="K161" s="361">
        <v>18.493474894890308</v>
      </c>
      <c r="L161" s="361">
        <v>2.5330507496769982E-3</v>
      </c>
      <c r="M161" s="361">
        <v>3.8973128895343837E-2</v>
      </c>
    </row>
    <row r="162" spans="9:13">
      <c r="I162" s="378">
        <v>10260.6</v>
      </c>
      <c r="J162" s="360">
        <v>1.3068440671311043</v>
      </c>
      <c r="K162" s="360">
        <v>18.571326849440752</v>
      </c>
      <c r="L162" s="360">
        <v>2.5224320710313338E-3</v>
      </c>
      <c r="M162" s="360">
        <v>3.919210554330356E-2</v>
      </c>
    </row>
    <row r="163" spans="9:13">
      <c r="I163" s="286">
        <v>10343.9</v>
      </c>
      <c r="J163" s="361">
        <v>1.3120002695997079</v>
      </c>
      <c r="K163" s="361">
        <v>18.648488944729227</v>
      </c>
      <c r="L163" s="361">
        <v>2.5119949710389168E-3</v>
      </c>
      <c r="M163" s="361">
        <v>3.9410654648765871E-2</v>
      </c>
    </row>
    <row r="164" spans="9:13">
      <c r="I164" s="378">
        <v>10427.200000000001</v>
      </c>
      <c r="J164" s="360">
        <v>1.317161810228813</v>
      </c>
      <c r="K164" s="360">
        <v>18.724971026904502</v>
      </c>
      <c r="L164" s="360">
        <v>2.5017347358950105E-3</v>
      </c>
      <c r="M164" s="360">
        <v>3.9628774720640067E-2</v>
      </c>
    </row>
    <row r="165" spans="9:13">
      <c r="I165" s="286">
        <v>10510.4</v>
      </c>
      <c r="J165" s="361">
        <v>1.3223285043320709</v>
      </c>
      <c r="K165" s="361">
        <v>18.800782758596654</v>
      </c>
      <c r="L165" s="361">
        <v>2.4916468132272222E-3</v>
      </c>
      <c r="M165" s="361">
        <v>3.984646437663257E-2</v>
      </c>
    </row>
    <row r="166" spans="9:13">
      <c r="I166" s="378">
        <v>10593.7</v>
      </c>
      <c r="J166" s="360">
        <v>1.3275001733677889</v>
      </c>
      <c r="K166" s="360">
        <v>18.875933622701396</v>
      </c>
      <c r="L166" s="360">
        <v>2.4817268053059895E-3</v>
      </c>
      <c r="M166" s="360">
        <v>4.0063722338781353E-2</v>
      </c>
    </row>
    <row r="167" spans="9:13">
      <c r="I167" s="286">
        <v>10677</v>
      </c>
      <c r="J167" s="361">
        <v>1.3326766447112848</v>
      </c>
      <c r="K167" s="361">
        <v>18.950432926101104</v>
      </c>
      <c r="L167" s="361">
        <v>2.4719704625910414E-3</v>
      </c>
      <c r="M167" s="361">
        <v>4.0280547429182349E-2</v>
      </c>
    </row>
    <row r="168" spans="9:13">
      <c r="I168" s="378">
        <v>10760.3</v>
      </c>
      <c r="J168" s="360">
        <v>1.3378577514366123</v>
      </c>
      <c r="K168" s="360">
        <v>19.02428980332164</v>
      </c>
      <c r="L168" s="360">
        <v>2.4623736775948152E-3</v>
      </c>
      <c r="M168" s="360">
        <v>4.0496938565898748E-2</v>
      </c>
    </row>
    <row r="169" spans="9:13">
      <c r="I169" s="286">
        <v>10843.6</v>
      </c>
      <c r="J169" s="361">
        <v>1.3430433321072559</v>
      </c>
      <c r="K169" s="361">
        <v>19.097513220124256</v>
      </c>
      <c r="L169" s="361">
        <v>2.4529324790450312E-3</v>
      </c>
      <c r="M169" s="361">
        <v>4.0712894759044813E-2</v>
      </c>
    </row>
    <row r="170" spans="9:13">
      <c r="I170" s="378">
        <v>10926.9</v>
      </c>
      <c r="J170" s="360">
        <v>1.3482332305753713</v>
      </c>
      <c r="K170" s="360">
        <v>19.170111977032196</v>
      </c>
      <c r="L170" s="360">
        <v>2.4436430263297237E-3</v>
      </c>
      <c r="M170" s="360">
        <v>4.0928415107036216E-2</v>
      </c>
    </row>
    <row r="171" spans="9:13">
      <c r="I171" s="286">
        <v>11010.1</v>
      </c>
      <c r="J171" s="361">
        <v>1.3534272957892111</v>
      </c>
      <c r="K171" s="361">
        <v>19.242094712791609</v>
      </c>
      <c r="L171" s="361">
        <v>2.434501604209102E-3</v>
      </c>
      <c r="M171" s="361">
        <v>4.1143498792999125E-2</v>
      </c>
    </row>
    <row r="172" spans="9:13">
      <c r="I172" s="378">
        <v>11093.4</v>
      </c>
      <c r="J172" s="360">
        <v>1.3586253816083615</v>
      </c>
      <c r="K172" s="360">
        <v>19.313469907766681</v>
      </c>
      <c r="L172" s="360">
        <v>2.4255046177795595E-3</v>
      </c>
      <c r="M172" s="360">
        <v>4.1358145081330476E-2</v>
      </c>
    </row>
    <row r="173" spans="9:13">
      <c r="I173" s="286">
        <v>11176.7</v>
      </c>
      <c r="J173" s="361">
        <v>1.3638273466264452</v>
      </c>
      <c r="K173" s="361">
        <v>19.384245887269106</v>
      </c>
      <c r="L173" s="361">
        <v>2.4166485876760757E-3</v>
      </c>
      <c r="M173" s="361">
        <v>4.157235331440326E-2</v>
      </c>
    </row>
    <row r="174" spans="9:13">
      <c r="I174" s="378">
        <v>11260</v>
      </c>
      <c r="J174" s="360">
        <v>1.369033054000963</v>
      </c>
      <c r="K174" s="360">
        <v>19.454430824821969</v>
      </c>
      <c r="L174" s="360">
        <v>2.407930145500072E-3</v>
      </c>
      <c r="M174" s="360">
        <v>4.1786122909409265E-2</v>
      </c>
    </row>
    <row r="175" spans="9:13">
      <c r="I175" s="286">
        <v>11343.3</v>
      </c>
      <c r="J175" s="361">
        <v>1.3742423712899585</v>
      </c>
      <c r="K175" s="361">
        <v>19.52403274535844</v>
      </c>
      <c r="L175" s="361">
        <v>2.3993460294606072E-3</v>
      </c>
      <c r="M175" s="361">
        <v>4.1999453355333838E-2</v>
      </c>
    </row>
    <row r="176" spans="9:13">
      <c r="I176" s="378">
        <v>11426.6</v>
      </c>
      <c r="J176" s="360">
        <v>1.3794551702952065</v>
      </c>
      <c r="K176" s="360">
        <v>19.593059528355585</v>
      </c>
      <c r="L176" s="360">
        <v>2.3908930802174866E-3</v>
      </c>
      <c r="M176" s="360">
        <v>4.2212344210056145E-2</v>
      </c>
    </row>
    <row r="177" spans="9:13">
      <c r="I177" s="286">
        <v>11509.8</v>
      </c>
      <c r="J177" s="361">
        <v>1.384671326911638</v>
      </c>
      <c r="K177" s="361">
        <v>19.661518910903894</v>
      </c>
      <c r="L177" s="361">
        <v>2.3825682369155816E-3</v>
      </c>
      <c r="M177" s="361">
        <v>4.2424795097569447E-2</v>
      </c>
    </row>
    <row r="178" spans="9:13">
      <c r="I178" s="378">
        <v>11593.1</v>
      </c>
      <c r="J178" s="360">
        <v>1.3898907209827334</v>
      </c>
      <c r="K178" s="360">
        <v>19.729418490713062</v>
      </c>
      <c r="L178" s="360">
        <v>2.3743685334002757E-3</v>
      </c>
      <c r="M178" s="360">
        <v>4.2636805705316159E-2</v>
      </c>
    </row>
    <row r="179" spans="9:13">
      <c r="I179" s="286">
        <v>11676.4</v>
      </c>
      <c r="J179" s="361">
        <v>1.3951132361616216</v>
      </c>
      <c r="K179" s="361">
        <v>19.796765729054663</v>
      </c>
      <c r="L179" s="361">
        <v>2.3662910946045529E-3</v>
      </c>
      <c r="M179" s="361">
        <v>4.2848375781632107E-2</v>
      </c>
    </row>
  </sheetData>
  <pageMargins left="0.7" right="0.7" top="0.75" bottom="0.75" header="0.3" footer="0.3"/>
  <pageSetup orientation="portrait" horizontalDpi="300" verticalDpi="0" copies="0" r:id="rId1"/>
  <drawing r:id="rId2"/>
  <legacyDrawing r:id="rId3"/>
  <controls>
    <mc:AlternateContent xmlns:mc="http://schemas.openxmlformats.org/markup-compatibility/2006">
      <mc:Choice Requires="x14">
        <control shapeId="8195" r:id="rId4" name="CommandButton1">
          <controlPr defaultSize="0" autoLine="0" r:id="rId5">
            <anchor moveWithCells="1">
              <from>
                <xdr:col>10</xdr:col>
                <xdr:colOff>99060</xdr:colOff>
                <xdr:row>1</xdr:row>
                <xdr:rowOff>30480</xdr:rowOff>
              </from>
              <to>
                <xdr:col>12</xdr:col>
                <xdr:colOff>495300</xdr:colOff>
                <xdr:row>4</xdr:row>
                <xdr:rowOff>129540</xdr:rowOff>
              </to>
            </anchor>
          </controlPr>
        </control>
      </mc:Choice>
      <mc:Fallback>
        <control shapeId="8195" r:id="rId4" name="CommandButton1"/>
      </mc:Fallback>
    </mc:AlternateContent>
    <mc:AlternateContent xmlns:mc="http://schemas.openxmlformats.org/markup-compatibility/2006">
      <mc:Choice Requires="x14">
        <control shapeId="8196" r:id="rId6" name="CommandButton2">
          <controlPr defaultSize="0" autoLine="0" r:id="rId7">
            <anchor moveWithCells="1">
              <from>
                <xdr:col>1</xdr:col>
                <xdr:colOff>1013460</xdr:colOff>
                <xdr:row>88</xdr:row>
                <xdr:rowOff>144780</xdr:rowOff>
              </from>
              <to>
                <xdr:col>3</xdr:col>
                <xdr:colOff>297180</xdr:colOff>
                <xdr:row>92</xdr:row>
                <xdr:rowOff>60960</xdr:rowOff>
              </to>
            </anchor>
          </controlPr>
        </control>
      </mc:Choice>
      <mc:Fallback>
        <control shapeId="8196"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B2:AC41"/>
  <sheetViews>
    <sheetView showGridLines="0" workbookViewId="0">
      <selection activeCell="U26" sqref="U26"/>
    </sheetView>
  </sheetViews>
  <sheetFormatPr defaultColWidth="9.109375" defaultRowHeight="12"/>
  <cols>
    <col min="1" max="1" width="1.5546875" style="251" customWidth="1"/>
    <col min="2" max="2" width="24.44140625" style="251" customWidth="1"/>
    <col min="3" max="3" width="2.6640625" style="251" customWidth="1"/>
    <col min="4" max="4" width="9.109375" style="251"/>
    <col min="5" max="5" width="8.44140625" style="251" customWidth="1"/>
    <col min="6" max="6" width="6.88671875" style="251" customWidth="1"/>
    <col min="7" max="7" width="3.109375" style="251" customWidth="1"/>
    <col min="8" max="22" width="9.109375" style="251"/>
    <col min="23" max="29" width="9.5546875" style="251" bestFit="1" customWidth="1"/>
    <col min="30" max="16384" width="9.109375" style="251"/>
  </cols>
  <sheetData>
    <row r="2" spans="2:29">
      <c r="B2" s="513" t="s">
        <v>285</v>
      </c>
      <c r="C2" s="514" t="s">
        <v>263</v>
      </c>
      <c r="D2" s="391">
        <v>4500</v>
      </c>
      <c r="E2" s="513" t="s">
        <v>147</v>
      </c>
      <c r="F2" s="515">
        <f>+D2/0.3048</f>
        <v>14763.779527559054</v>
      </c>
      <c r="G2" s="513" t="s">
        <v>264</v>
      </c>
      <c r="T2" s="459" t="s">
        <v>130</v>
      </c>
      <c r="U2" s="366"/>
      <c r="V2" s="265"/>
      <c r="W2" s="445" t="s">
        <v>266</v>
      </c>
      <c r="X2" s="446">
        <v>9</v>
      </c>
      <c r="Y2" s="447">
        <v>10</v>
      </c>
      <c r="Z2" s="447">
        <v>11</v>
      </c>
      <c r="AA2" s="447">
        <v>12</v>
      </c>
      <c r="AB2" s="447">
        <v>13</v>
      </c>
      <c r="AC2" s="448">
        <v>14</v>
      </c>
    </row>
    <row r="3" spans="2:29">
      <c r="B3" s="513" t="s">
        <v>327</v>
      </c>
      <c r="C3" s="514" t="s">
        <v>263</v>
      </c>
      <c r="D3" s="391">
        <v>5000</v>
      </c>
      <c r="E3" s="513" t="s">
        <v>147</v>
      </c>
      <c r="F3" s="515">
        <f>+D3/0.3048</f>
        <v>16404.199475065616</v>
      </c>
      <c r="G3" s="513" t="s">
        <v>264</v>
      </c>
      <c r="T3" s="460">
        <v>0.45500000000000002</v>
      </c>
      <c r="U3" s="365" t="s">
        <v>265</v>
      </c>
      <c r="V3" s="369" t="s">
        <v>265</v>
      </c>
      <c r="W3" s="449">
        <v>1</v>
      </c>
      <c r="X3" s="450">
        <f>+X2*0.052</f>
        <v>0.46799999999999997</v>
      </c>
      <c r="Y3" s="451">
        <f t="shared" ref="Y3:AC3" si="0">+Y2*0.052</f>
        <v>0.52</v>
      </c>
      <c r="Z3" s="451">
        <f t="shared" si="0"/>
        <v>0.57199999999999995</v>
      </c>
      <c r="AA3" s="451">
        <f t="shared" si="0"/>
        <v>0.624</v>
      </c>
      <c r="AB3" s="451">
        <f t="shared" si="0"/>
        <v>0.67599999999999993</v>
      </c>
      <c r="AC3" s="452">
        <f t="shared" si="0"/>
        <v>0.72799999999999998</v>
      </c>
    </row>
    <row r="4" spans="2:29">
      <c r="B4" s="513" t="s">
        <v>328</v>
      </c>
      <c r="C4" s="514" t="s">
        <v>263</v>
      </c>
      <c r="D4" s="515">
        <v>4525</v>
      </c>
      <c r="E4" s="513" t="s">
        <v>147</v>
      </c>
      <c r="F4" s="515">
        <f>+D4/0.3048</f>
        <v>14845.800524934382</v>
      </c>
      <c r="G4" s="513" t="s">
        <v>264</v>
      </c>
      <c r="T4" s="461" t="s">
        <v>230</v>
      </c>
      <c r="U4" s="368" t="s">
        <v>264</v>
      </c>
      <c r="V4" s="285" t="s">
        <v>147</v>
      </c>
      <c r="W4" s="558" t="s">
        <v>310</v>
      </c>
      <c r="X4" s="559"/>
      <c r="Y4" s="559"/>
      <c r="Z4" s="559"/>
      <c r="AA4" s="559"/>
      <c r="AB4" s="559"/>
      <c r="AC4" s="560"/>
    </row>
    <row r="5" spans="2:29">
      <c r="B5" s="513" t="s">
        <v>279</v>
      </c>
      <c r="C5" s="514" t="s">
        <v>263</v>
      </c>
      <c r="D5" s="516">
        <v>0.56000000000000005</v>
      </c>
      <c r="E5" s="513" t="s">
        <v>273</v>
      </c>
      <c r="F5" s="513"/>
      <c r="G5" s="513"/>
      <c r="T5" s="456">
        <f t="shared" ref="T5:T14" si="1">+U5*$T$3</f>
        <v>0</v>
      </c>
      <c r="U5" s="439">
        <f>+V5/0.3048</f>
        <v>0</v>
      </c>
      <c r="V5" s="439">
        <v>0</v>
      </c>
      <c r="W5" s="453">
        <f t="shared" ref="W5:W14" si="2">+U5*$W$3</f>
        <v>0</v>
      </c>
      <c r="X5" s="439">
        <f t="shared" ref="X5:X14" si="3">+$X$3*U5</f>
        <v>0</v>
      </c>
      <c r="Y5" s="439">
        <f t="shared" ref="Y5:Y14" si="4">+$Y$3*U5</f>
        <v>0</v>
      </c>
      <c r="Z5" s="439">
        <f t="shared" ref="Z5:Z14" si="5">+$Z$3*U5</f>
        <v>0</v>
      </c>
      <c r="AA5" s="439">
        <f t="shared" ref="AA5:AA14" si="6">+$AA$3*U5</f>
        <v>0</v>
      </c>
      <c r="AB5" s="439">
        <f t="shared" ref="AB5:AB14" si="7">+$AB$3*U5</f>
        <v>0</v>
      </c>
      <c r="AC5" s="440">
        <f t="shared" ref="AC5:AC14" si="8">+$AC$3*U5</f>
        <v>0</v>
      </c>
    </row>
    <row r="6" spans="2:29">
      <c r="B6" s="530" t="s">
        <v>338</v>
      </c>
      <c r="C6" s="514" t="s">
        <v>263</v>
      </c>
      <c r="D6" s="379">
        <v>0.12</v>
      </c>
      <c r="E6" s="513" t="s">
        <v>273</v>
      </c>
      <c r="T6" s="457">
        <f t="shared" si="1"/>
        <v>1492.7821522309712</v>
      </c>
      <c r="U6" s="441">
        <f t="shared" ref="U6:U14" si="9">+V6/0.3048</f>
        <v>3280.8398950131232</v>
      </c>
      <c r="V6" s="441">
        <v>1000</v>
      </c>
      <c r="W6" s="454">
        <f t="shared" si="2"/>
        <v>3280.8398950131232</v>
      </c>
      <c r="X6" s="441">
        <f t="shared" si="3"/>
        <v>1535.4330708661416</v>
      </c>
      <c r="Y6" s="441">
        <f t="shared" si="4"/>
        <v>1706.0367454068241</v>
      </c>
      <c r="Z6" s="441">
        <f t="shared" si="5"/>
        <v>1876.6404199475062</v>
      </c>
      <c r="AA6" s="441">
        <f t="shared" si="6"/>
        <v>2047.2440944881889</v>
      </c>
      <c r="AB6" s="441">
        <f t="shared" si="7"/>
        <v>2217.847769028871</v>
      </c>
      <c r="AC6" s="442">
        <f t="shared" si="8"/>
        <v>2388.4514435695537</v>
      </c>
    </row>
    <row r="7" spans="2:29">
      <c r="T7" s="457">
        <f t="shared" si="1"/>
        <v>2985.5643044619424</v>
      </c>
      <c r="U7" s="441">
        <f t="shared" si="9"/>
        <v>6561.6797900262463</v>
      </c>
      <c r="V7" s="441">
        <v>2000</v>
      </c>
      <c r="W7" s="454">
        <f t="shared" si="2"/>
        <v>6561.6797900262463</v>
      </c>
      <c r="X7" s="441">
        <f t="shared" si="3"/>
        <v>3070.8661417322833</v>
      </c>
      <c r="Y7" s="441">
        <f t="shared" si="4"/>
        <v>3412.0734908136483</v>
      </c>
      <c r="Z7" s="441">
        <f t="shared" si="5"/>
        <v>3753.2808398950124</v>
      </c>
      <c r="AA7" s="441">
        <f t="shared" si="6"/>
        <v>4094.4881889763778</v>
      </c>
      <c r="AB7" s="441">
        <f t="shared" si="7"/>
        <v>4435.6955380577419</v>
      </c>
      <c r="AC7" s="442">
        <f t="shared" si="8"/>
        <v>4776.9028871391074</v>
      </c>
    </row>
    <row r="8" spans="2:29">
      <c r="B8" s="254" t="s">
        <v>7</v>
      </c>
      <c r="C8" s="373"/>
      <c r="D8" s="377" t="s">
        <v>272</v>
      </c>
      <c r="E8" s="377" t="s">
        <v>271</v>
      </c>
      <c r="F8" s="254" t="s">
        <v>277</v>
      </c>
      <c r="T8" s="457">
        <f t="shared" si="1"/>
        <v>4478.3464566929133</v>
      </c>
      <c r="U8" s="441">
        <f t="shared" si="9"/>
        <v>9842.5196850393695</v>
      </c>
      <c r="V8" s="441">
        <v>3000</v>
      </c>
      <c r="W8" s="454">
        <f t="shared" si="2"/>
        <v>9842.5196850393695</v>
      </c>
      <c r="X8" s="441">
        <f t="shared" si="3"/>
        <v>4606.2992125984247</v>
      </c>
      <c r="Y8" s="441">
        <f t="shared" si="4"/>
        <v>5118.110236220472</v>
      </c>
      <c r="Z8" s="441">
        <f t="shared" si="5"/>
        <v>5629.9212598425192</v>
      </c>
      <c r="AA8" s="441">
        <f t="shared" si="6"/>
        <v>6141.7322834645665</v>
      </c>
      <c r="AB8" s="441">
        <f t="shared" si="7"/>
        <v>6653.5433070866129</v>
      </c>
      <c r="AC8" s="442">
        <f t="shared" si="8"/>
        <v>7165.3543307086611</v>
      </c>
    </row>
    <row r="9" spans="2:29" ht="15" customHeight="1">
      <c r="B9" s="387" t="s">
        <v>278</v>
      </c>
      <c r="C9" s="388" t="s">
        <v>263</v>
      </c>
      <c r="D9" s="389">
        <f>+D4</f>
        <v>4525</v>
      </c>
      <c r="E9" s="389">
        <f>+D3</f>
        <v>5000</v>
      </c>
      <c r="F9" s="387" t="s">
        <v>147</v>
      </c>
      <c r="O9" s="378"/>
      <c r="P9" s="378"/>
      <c r="T9" s="457">
        <f t="shared" si="1"/>
        <v>5971.1286089238847</v>
      </c>
      <c r="U9" s="441">
        <f t="shared" si="9"/>
        <v>13123.359580052493</v>
      </c>
      <c r="V9" s="441">
        <v>4000</v>
      </c>
      <c r="W9" s="454">
        <f t="shared" si="2"/>
        <v>13123.359580052493</v>
      </c>
      <c r="X9" s="441">
        <f t="shared" si="3"/>
        <v>6141.7322834645665</v>
      </c>
      <c r="Y9" s="441">
        <f t="shared" si="4"/>
        <v>6824.1469816272966</v>
      </c>
      <c r="Z9" s="441">
        <f t="shared" si="5"/>
        <v>7506.5616797900248</v>
      </c>
      <c r="AA9" s="441">
        <f t="shared" si="6"/>
        <v>8188.9763779527557</v>
      </c>
      <c r="AB9" s="441">
        <f t="shared" si="7"/>
        <v>8871.3910761154839</v>
      </c>
      <c r="AC9" s="442">
        <f t="shared" si="8"/>
        <v>9553.8057742782148</v>
      </c>
    </row>
    <row r="10" spans="2:29" ht="15" customHeight="1">
      <c r="B10" s="251" t="s">
        <v>274</v>
      </c>
      <c r="C10" s="374" t="s">
        <v>263</v>
      </c>
      <c r="D10" s="375">
        <f>14.7+(D9*$D$5/0.3048)</f>
        <v>8328.3482939632559</v>
      </c>
      <c r="E10" s="375">
        <f>14.7+(E9*$D$5/0.3048)</f>
        <v>9201.0517060367474</v>
      </c>
      <c r="F10" s="251" t="s">
        <v>230</v>
      </c>
      <c r="O10" s="378"/>
      <c r="P10" s="378"/>
      <c r="T10" s="457">
        <f t="shared" si="1"/>
        <v>7463.9107611548552</v>
      </c>
      <c r="U10" s="441">
        <f t="shared" si="9"/>
        <v>16404.199475065616</v>
      </c>
      <c r="V10" s="441">
        <v>5000</v>
      </c>
      <c r="W10" s="454">
        <f t="shared" si="2"/>
        <v>16404.199475065616</v>
      </c>
      <c r="X10" s="441">
        <f t="shared" si="3"/>
        <v>7677.1653543307075</v>
      </c>
      <c r="Y10" s="441">
        <f t="shared" si="4"/>
        <v>8530.1837270341202</v>
      </c>
      <c r="Z10" s="441">
        <f t="shared" si="5"/>
        <v>9383.2020997375312</v>
      </c>
      <c r="AA10" s="441">
        <f t="shared" si="6"/>
        <v>10236.220472440944</v>
      </c>
      <c r="AB10" s="441">
        <f t="shared" si="7"/>
        <v>11089.238845144355</v>
      </c>
      <c r="AC10" s="442">
        <f t="shared" si="8"/>
        <v>11942.257217847768</v>
      </c>
    </row>
    <row r="11" spans="2:29" ht="15" customHeight="1">
      <c r="B11" s="251" t="s">
        <v>275</v>
      </c>
      <c r="C11" s="374" t="s">
        <v>263</v>
      </c>
      <c r="D11" s="375">
        <f>+D10-$D$6*(D9-D2)/0.3048</f>
        <v>8318.5057742782174</v>
      </c>
      <c r="E11" s="375">
        <f>+E10-$D$6*(E9-D2)/0.3048</f>
        <v>9004.2013123359593</v>
      </c>
      <c r="F11" s="251" t="s">
        <v>230</v>
      </c>
      <c r="O11" s="378"/>
      <c r="P11" s="378"/>
      <c r="T11" s="457">
        <f t="shared" si="1"/>
        <v>8956.6929133858266</v>
      </c>
      <c r="U11" s="441">
        <f t="shared" si="9"/>
        <v>19685.039370078739</v>
      </c>
      <c r="V11" s="441">
        <v>6000</v>
      </c>
      <c r="W11" s="454">
        <f t="shared" si="2"/>
        <v>19685.039370078739</v>
      </c>
      <c r="X11" s="441">
        <f t="shared" si="3"/>
        <v>9212.5984251968493</v>
      </c>
      <c r="Y11" s="441">
        <f t="shared" si="4"/>
        <v>10236.220472440944</v>
      </c>
      <c r="Z11" s="441">
        <f t="shared" si="5"/>
        <v>11259.842519685038</v>
      </c>
      <c r="AA11" s="441">
        <f t="shared" si="6"/>
        <v>12283.464566929133</v>
      </c>
      <c r="AB11" s="441">
        <f t="shared" si="7"/>
        <v>13307.086614173226</v>
      </c>
      <c r="AC11" s="442">
        <f t="shared" si="8"/>
        <v>14330.708661417322</v>
      </c>
    </row>
    <row r="12" spans="2:29" ht="15" customHeight="1">
      <c r="B12" s="251" t="s">
        <v>276</v>
      </c>
      <c r="C12" s="374" t="s">
        <v>263</v>
      </c>
      <c r="D12" s="367">
        <f>+(D11+D10)/2</f>
        <v>8323.4270341207375</v>
      </c>
      <c r="E12" s="367">
        <f>+(E11+E10)/2</f>
        <v>9102.6265091863534</v>
      </c>
      <c r="F12" s="251" t="s">
        <v>230</v>
      </c>
      <c r="O12" s="378"/>
      <c r="P12" s="378"/>
      <c r="T12" s="457">
        <f t="shared" si="1"/>
        <v>10449.475065616798</v>
      </c>
      <c r="U12" s="441">
        <f t="shared" si="9"/>
        <v>22965.879265091862</v>
      </c>
      <c r="V12" s="441">
        <v>7000</v>
      </c>
      <c r="W12" s="454">
        <f t="shared" si="2"/>
        <v>22965.879265091862</v>
      </c>
      <c r="X12" s="441">
        <f t="shared" si="3"/>
        <v>10748.031496062991</v>
      </c>
      <c r="Y12" s="441">
        <f t="shared" si="4"/>
        <v>11942.257217847769</v>
      </c>
      <c r="Z12" s="441">
        <f t="shared" si="5"/>
        <v>13136.482939632544</v>
      </c>
      <c r="AA12" s="441">
        <f t="shared" si="6"/>
        <v>14330.708661417322</v>
      </c>
      <c r="AB12" s="441">
        <f t="shared" si="7"/>
        <v>15524.934383202097</v>
      </c>
      <c r="AC12" s="442">
        <f t="shared" si="8"/>
        <v>16719.160104986877</v>
      </c>
    </row>
    <row r="13" spans="2:29" ht="15" customHeight="1">
      <c r="B13" s="384" t="s">
        <v>142</v>
      </c>
      <c r="C13" s="385" t="s">
        <v>263</v>
      </c>
      <c r="D13" s="394">
        <v>2.7983028996160938E-3</v>
      </c>
      <c r="E13" s="394">
        <v>2.6887865304411501E-3</v>
      </c>
      <c r="F13" s="384" t="s">
        <v>251</v>
      </c>
      <c r="O13" s="378"/>
      <c r="P13" s="378"/>
      <c r="T13" s="457">
        <f t="shared" si="1"/>
        <v>11942.257217847769</v>
      </c>
      <c r="U13" s="441">
        <f t="shared" si="9"/>
        <v>26246.719160104985</v>
      </c>
      <c r="V13" s="441">
        <v>8000</v>
      </c>
      <c r="W13" s="454">
        <f t="shared" si="2"/>
        <v>26246.719160104985</v>
      </c>
      <c r="X13" s="441">
        <f t="shared" si="3"/>
        <v>12283.464566929133</v>
      </c>
      <c r="Y13" s="441">
        <f t="shared" si="4"/>
        <v>13648.293963254593</v>
      </c>
      <c r="Z13" s="441">
        <f t="shared" si="5"/>
        <v>15013.12335958005</v>
      </c>
      <c r="AA13" s="441">
        <f t="shared" si="6"/>
        <v>16377.952755905511</v>
      </c>
      <c r="AB13" s="441">
        <f t="shared" si="7"/>
        <v>17742.782152230968</v>
      </c>
      <c r="AC13" s="442">
        <f t="shared" si="8"/>
        <v>19107.61154855643</v>
      </c>
    </row>
    <row r="14" spans="2:29" ht="15" customHeight="1">
      <c r="B14" s="384" t="s">
        <v>38</v>
      </c>
      <c r="C14" s="385" t="s">
        <v>263</v>
      </c>
      <c r="D14" s="386">
        <f>1/D13</f>
        <v>357.35945531028557</v>
      </c>
      <c r="E14" s="386">
        <f>1/E13</f>
        <v>371.914984205135</v>
      </c>
      <c r="F14" s="384" t="s">
        <v>280</v>
      </c>
      <c r="O14" s="378"/>
      <c r="P14" s="378"/>
      <c r="T14" s="458">
        <f t="shared" si="1"/>
        <v>13435.039370078739</v>
      </c>
      <c r="U14" s="443">
        <f t="shared" si="9"/>
        <v>29527.559055118109</v>
      </c>
      <c r="V14" s="443">
        <v>9000</v>
      </c>
      <c r="W14" s="455">
        <f t="shared" si="2"/>
        <v>29527.559055118109</v>
      </c>
      <c r="X14" s="443">
        <f t="shared" si="3"/>
        <v>13818.897637795273</v>
      </c>
      <c r="Y14" s="443">
        <f t="shared" si="4"/>
        <v>15354.330708661417</v>
      </c>
      <c r="Z14" s="443">
        <f t="shared" si="5"/>
        <v>16889.763779527555</v>
      </c>
      <c r="AA14" s="443">
        <f t="shared" si="6"/>
        <v>18425.196850393699</v>
      </c>
      <c r="AB14" s="443">
        <f t="shared" si="7"/>
        <v>19960.629921259839</v>
      </c>
      <c r="AC14" s="444">
        <f t="shared" si="8"/>
        <v>21496.062992125982</v>
      </c>
    </row>
    <row r="15" spans="2:29" ht="15" customHeight="1">
      <c r="B15" s="251" t="s">
        <v>245</v>
      </c>
      <c r="C15" s="374" t="s">
        <v>263</v>
      </c>
      <c r="D15" s="251">
        <v>1.1888000000000001</v>
      </c>
      <c r="E15" s="251">
        <v>1.2358199999999999</v>
      </c>
    </row>
    <row r="17" spans="2:23">
      <c r="O17" s="251" t="s">
        <v>270</v>
      </c>
      <c r="T17" s="254" t="s">
        <v>281</v>
      </c>
      <c r="U17" s="254"/>
      <c r="V17" s="254"/>
      <c r="W17" s="254"/>
    </row>
    <row r="18" spans="2:23">
      <c r="B18" s="372" t="s">
        <v>267</v>
      </c>
      <c r="C18" s="376"/>
      <c r="D18" s="371" t="s">
        <v>268</v>
      </c>
      <c r="T18" s="251" t="s">
        <v>282</v>
      </c>
      <c r="V18" s="367">
        <v>10000</v>
      </c>
      <c r="W18" s="251" t="s">
        <v>230</v>
      </c>
    </row>
    <row r="19" spans="2:23">
      <c r="B19" s="254" t="s">
        <v>269</v>
      </c>
      <c r="C19" s="268"/>
      <c r="D19" s="370" t="s">
        <v>147</v>
      </c>
      <c r="T19" s="251" t="s">
        <v>284</v>
      </c>
      <c r="V19" s="367">
        <v>5000</v>
      </c>
      <c r="W19" s="251" t="s">
        <v>147</v>
      </c>
    </row>
    <row r="20" spans="2:23">
      <c r="B20" s="538" t="s">
        <v>335</v>
      </c>
      <c r="C20" s="276" t="s">
        <v>263</v>
      </c>
      <c r="D20" s="440">
        <f>+D2</f>
        <v>4500</v>
      </c>
    </row>
    <row r="21" spans="2:23">
      <c r="B21" s="539"/>
      <c r="C21" s="292" t="s">
        <v>263</v>
      </c>
      <c r="D21" s="442"/>
    </row>
    <row r="22" spans="2:23">
      <c r="B22" s="293"/>
      <c r="C22" s="292" t="s">
        <v>263</v>
      </c>
      <c r="D22" s="442"/>
    </row>
    <row r="23" spans="2:23">
      <c r="B23" s="267"/>
      <c r="C23" s="268" t="s">
        <v>263</v>
      </c>
      <c r="D23" s="444"/>
    </row>
    <row r="31" spans="2:23">
      <c r="B31" s="376"/>
      <c r="C31" s="376"/>
      <c r="D31" s="376"/>
      <c r="E31" s="376"/>
      <c r="F31" s="376"/>
    </row>
    <row r="32" spans="2:23">
      <c r="B32" s="376" t="s">
        <v>285</v>
      </c>
      <c r="C32" s="374" t="s">
        <v>263</v>
      </c>
      <c r="D32" s="391">
        <f>+D2</f>
        <v>4500</v>
      </c>
      <c r="E32" s="376" t="s">
        <v>147</v>
      </c>
      <c r="F32" s="376"/>
    </row>
    <row r="33" spans="2:6">
      <c r="B33" s="376" t="s">
        <v>290</v>
      </c>
      <c r="C33" s="376" t="s">
        <v>263</v>
      </c>
      <c r="D33" s="376">
        <v>90</v>
      </c>
      <c r="E33" s="376" t="s">
        <v>286</v>
      </c>
      <c r="F33" s="536">
        <f>+(D33-32)*5/9</f>
        <v>32.222222222222221</v>
      </c>
    </row>
    <row r="34" spans="2:6">
      <c r="B34" s="376" t="s">
        <v>287</v>
      </c>
      <c r="C34" s="374" t="s">
        <v>263</v>
      </c>
      <c r="D34" s="537">
        <v>0.9629073634204276</v>
      </c>
      <c r="E34" s="376" t="s">
        <v>291</v>
      </c>
      <c r="F34" s="376"/>
    </row>
    <row r="35" spans="2:6">
      <c r="B35" s="376"/>
      <c r="C35" s="376"/>
      <c r="D35" s="376"/>
      <c r="E35" s="376"/>
      <c r="F35" s="376"/>
    </row>
    <row r="36" spans="2:6">
      <c r="B36" s="376"/>
      <c r="C36" s="374"/>
      <c r="D36" s="376"/>
      <c r="E36" s="376"/>
      <c r="F36" s="376"/>
    </row>
    <row r="37" spans="2:6">
      <c r="B37" s="254" t="s">
        <v>7</v>
      </c>
      <c r="C37" s="373"/>
      <c r="D37" s="377" t="s">
        <v>271</v>
      </c>
      <c r="E37" s="377" t="s">
        <v>272</v>
      </c>
      <c r="F37" s="254" t="s">
        <v>277</v>
      </c>
    </row>
    <row r="38" spans="2:6">
      <c r="B38" s="387" t="s">
        <v>278</v>
      </c>
      <c r="C38" s="388" t="s">
        <v>263</v>
      </c>
      <c r="D38" s="389">
        <f>+D9</f>
        <v>4525</v>
      </c>
      <c r="E38" s="389">
        <f>+E9</f>
        <v>5000</v>
      </c>
      <c r="F38" s="387" t="s">
        <v>147</v>
      </c>
    </row>
    <row r="39" spans="2:6">
      <c r="B39" s="376" t="s">
        <v>288</v>
      </c>
      <c r="C39" s="374" t="s">
        <v>263</v>
      </c>
      <c r="D39" s="375">
        <f>+D33+(D38/0.3048)*(D34/100)</f>
        <v>232.95130641330167</v>
      </c>
      <c r="E39" s="375">
        <f>+D33+(E38/0.3048)*(D34/100)</f>
        <v>247.95724465558195</v>
      </c>
      <c r="F39" s="376" t="s">
        <v>286</v>
      </c>
    </row>
    <row r="40" spans="2:6">
      <c r="B40" s="376" t="s">
        <v>289</v>
      </c>
      <c r="C40" s="374" t="s">
        <v>263</v>
      </c>
      <c r="D40" s="375">
        <f>+D33+(D32/0.3048)*(D34/100)</f>
        <v>232.16152019002377</v>
      </c>
      <c r="E40" s="375">
        <f>+D33+(D32/0.3048)*(D34/100)</f>
        <v>232.16152019002377</v>
      </c>
      <c r="F40" s="376" t="s">
        <v>286</v>
      </c>
    </row>
    <row r="41" spans="2:6">
      <c r="B41" s="384" t="s">
        <v>292</v>
      </c>
      <c r="C41" s="384" t="s">
        <v>263</v>
      </c>
      <c r="D41" s="392">
        <f>+(D40+D39)/2</f>
        <v>232.5564133016627</v>
      </c>
      <c r="E41" s="392">
        <f>+(E40+E39)/2</f>
        <v>240.05938242280286</v>
      </c>
      <c r="F41" s="384" t="s">
        <v>286</v>
      </c>
    </row>
  </sheetData>
  <mergeCells count="1">
    <mergeCell ref="W4:AC4"/>
  </mergeCells>
  <pageMargins left="0.7" right="0.7" top="0.75" bottom="0.75" header="0.3" footer="0.3"/>
  <pageSetup orientation="portrait" horizontalDpi="300" verticalDpi="0" copies="0" r:id="rId1"/>
  <drawing r:id="rId2"/>
  <legacyDrawing r:id="rId3"/>
  <controls>
    <mc:AlternateContent xmlns:mc="http://schemas.openxmlformats.org/markup-compatibility/2006">
      <mc:Choice Requires="x14">
        <control shapeId="10241" r:id="rId4" name="CommandButton1">
          <controlPr defaultSize="0" autoLine="0" r:id="rId5">
            <anchor moveWithCells="1">
              <from>
                <xdr:col>1</xdr:col>
                <xdr:colOff>30480</xdr:colOff>
                <xdr:row>24</xdr:row>
                <xdr:rowOff>121920</xdr:rowOff>
              </from>
              <to>
                <xdr:col>5</xdr:col>
                <xdr:colOff>53340</xdr:colOff>
                <xdr:row>28</xdr:row>
                <xdr:rowOff>76200</xdr:rowOff>
              </to>
            </anchor>
          </controlPr>
        </control>
      </mc:Choice>
      <mc:Fallback>
        <control shapeId="10241" r:id="rId4" name="CommandButton1"/>
      </mc:Fallback>
    </mc:AlternateContent>
    <mc:AlternateContent xmlns:mc="http://schemas.openxmlformats.org/markup-compatibility/2006">
      <mc:Choice Requires="x14">
        <control shapeId="10242" r:id="rId6" name="CommandButton2">
          <controlPr defaultSize="0" autoLine="0" r:id="rId7">
            <anchor moveWithCells="1">
              <from>
                <xdr:col>23</xdr:col>
                <xdr:colOff>342900</xdr:colOff>
                <xdr:row>17</xdr:row>
                <xdr:rowOff>60960</xdr:rowOff>
              </from>
              <to>
                <xdr:col>26</xdr:col>
                <xdr:colOff>556260</xdr:colOff>
                <xdr:row>21</xdr:row>
                <xdr:rowOff>106680</xdr:rowOff>
              </to>
            </anchor>
          </controlPr>
        </control>
      </mc:Choice>
      <mc:Fallback>
        <control shapeId="10242" r:id="rId6"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Input_Data</vt:lpstr>
      <vt:lpstr>Probability_Scale_Data_HIDE</vt:lpstr>
      <vt:lpstr>CB_DATA_</vt:lpstr>
      <vt:lpstr>Poro vs Sw Corr</vt:lpstr>
      <vt:lpstr>Forecast_Variables_CB</vt:lpstr>
      <vt:lpstr>Charts</vt:lpstr>
      <vt:lpstr>Fluid Properties</vt:lpstr>
      <vt:lpstr>Pore Pressure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dc:creator>
  <cp:lastModifiedBy>Franco</cp:lastModifiedBy>
  <cp:lastPrinted>2017-01-19T13:37:28Z</cp:lastPrinted>
  <dcterms:created xsi:type="dcterms:W3CDTF">2016-03-02T13:12:55Z</dcterms:created>
  <dcterms:modified xsi:type="dcterms:W3CDTF">2020-07-01T18:16:28Z</dcterms:modified>
</cp:coreProperties>
</file>