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80" windowHeight="7547"/>
  </bookViews>
  <sheets>
    <sheet name="各地区数据（月度）" sheetId="1" r:id="rId1"/>
  </sheets>
  <definedNames>
    <definedName name="_xlnm.Print_Area" localSheetId="0">'各地区数据（月度）'!$A$1:$H$49</definedName>
  </definedNames>
  <calcPr calcId="144525"/>
</workbook>
</file>

<file path=xl/sharedStrings.xml><?xml version="1.0" encoding="utf-8"?>
<sst xmlns="http://schemas.openxmlformats.org/spreadsheetml/2006/main" count="54">
  <si>
    <t xml:space="preserve"> </t>
  </si>
  <si>
    <t>2021年06月全国各地区原保险保费收入情况表</t>
  </si>
  <si>
    <t/>
  </si>
  <si>
    <t xml:space="preserve">                  </t>
  </si>
  <si>
    <t>单位：亿元</t>
  </si>
  <si>
    <t>地区</t>
  </si>
  <si>
    <t>合计</t>
  </si>
  <si>
    <t>财产保险</t>
  </si>
  <si>
    <t>寿险</t>
  </si>
  <si>
    <t>意外险</t>
  </si>
  <si>
    <t>健康险</t>
  </si>
  <si>
    <t>全国合计</t>
  </si>
  <si>
    <t>集团、总公司本级</t>
  </si>
  <si>
    <t>北   京</t>
  </si>
  <si>
    <t>天   津</t>
  </si>
  <si>
    <t>河   北</t>
  </si>
  <si>
    <t>辽   宁</t>
  </si>
  <si>
    <t>大   连</t>
  </si>
  <si>
    <t>上   海</t>
  </si>
  <si>
    <t>江   苏</t>
  </si>
  <si>
    <t>浙   江</t>
  </si>
  <si>
    <t>宁   波</t>
  </si>
  <si>
    <t>福   建</t>
  </si>
  <si>
    <t>厦   门</t>
  </si>
  <si>
    <t>山   东</t>
  </si>
  <si>
    <t>青   岛</t>
  </si>
  <si>
    <t>广   东</t>
  </si>
  <si>
    <t>深   圳</t>
  </si>
  <si>
    <t>海   南</t>
  </si>
  <si>
    <t>山   西</t>
  </si>
  <si>
    <t>吉   林</t>
  </si>
  <si>
    <t>黑龙江</t>
  </si>
  <si>
    <t>安   徽</t>
  </si>
  <si>
    <t>江   西</t>
  </si>
  <si>
    <t>河   南</t>
  </si>
  <si>
    <t>湖   北</t>
  </si>
  <si>
    <t>湖   南</t>
  </si>
  <si>
    <t>重   庆</t>
  </si>
  <si>
    <t>四   川</t>
  </si>
  <si>
    <t>贵   州</t>
  </si>
  <si>
    <t>云   南</t>
  </si>
  <si>
    <t>西   藏</t>
  </si>
  <si>
    <t>陕   西</t>
  </si>
  <si>
    <t>甘   肃</t>
  </si>
  <si>
    <t>青   海</t>
  </si>
  <si>
    <t>宁   夏</t>
  </si>
  <si>
    <t>新   疆</t>
  </si>
  <si>
    <t>内蒙古</t>
  </si>
  <si>
    <t>广   西</t>
  </si>
  <si>
    <t>注：1、本表数据是保险业执行《关于印发&lt;保险合同相关会计处理规定〉的通知》（财会[2009]15号）后，各保险公司按照相关口径要求报送的数据。</t>
  </si>
  <si>
    <t xml:space="preserve">    2、集团、总公司本级是指集团、总公司开展的业务，不计入任何地区。</t>
  </si>
  <si>
    <t xml:space="preserve">    3、上述数据来源于各公司报送的保险数据，未经审计。</t>
  </si>
  <si>
    <t xml:space="preserve">    4、由于计算的四舍五入及单位换算原因，各地区之和与合计略有差异。</t>
  </si>
  <si>
    <t xml:space="preserve">     5、因部分机构目前处于风险处置阶段，从2021年6月起，各地区汇总数据口径暂不包含这部分机构。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</si>
</sst>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.00_);[Red]\(0.00\)"/>
  </numFmts>
  <fonts count="6">
    <font>
      <sz val="11"/>
      <color indexed="8"/>
      <name val="宋体"/>
      <charset val="134"/>
    </font>
    <font>
      <sz val="16"/>
      <name val="仿宋_GB2312"/>
      <charset val="134"/>
    </font>
    <font>
      <b/>
      <sz val="16"/>
      <name val="仿宋_GB2312"/>
      <charset val="134"/>
    </font>
    <font>
      <sz val="16"/>
      <color indexed="8"/>
      <name val="仿宋_GB2312"/>
      <charset val="134"/>
    </font>
    <font>
      <sz val="9"/>
      <color indexed="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horizontal="left" vertical="center"/>
    </xf>
    <xf numFmtId="0" fontId="5" fillId="0" borderId="0">
      <alignment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</cellStyleXfs>
  <cellXfs count="19">
    <xf numFmtId="0" fontId="0" fillId="0" borderId="0" xfId="0">
      <alignment vertical="center"/>
    </xf>
    <xf numFmtId="177" fontId="1" fillId="0" borderId="0" xfId="10" applyNumberFormat="1" applyFont="1" applyFill="1" applyAlignment="1">
      <alignment horizontal="center" vertical="center"/>
    </xf>
    <xf numFmtId="177" fontId="1" fillId="0" borderId="0" xfId="10" applyNumberFormat="1" applyFont="1" applyFill="1" applyAlignment="1">
      <alignment horizontal="left" vertical="center"/>
    </xf>
    <xf numFmtId="177" fontId="1" fillId="0" borderId="0" xfId="10" applyNumberFormat="1" applyFont="1" applyFill="1">
      <alignment horizontal="left" vertical="center"/>
    </xf>
    <xf numFmtId="177" fontId="1" fillId="0" borderId="0" xfId="10" applyNumberFormat="1" applyFont="1" applyFill="1" applyAlignment="1">
      <alignment horizontal="right" vertical="center"/>
    </xf>
    <xf numFmtId="177" fontId="2" fillId="0" borderId="0" xfId="0" applyNumberFormat="1" applyFont="1" applyFill="1" applyAlignment="1">
      <alignment horizontal="center" wrapText="1"/>
    </xf>
    <xf numFmtId="177" fontId="2" fillId="0" borderId="0" xfId="0" applyNumberFormat="1" applyFont="1" applyFill="1" applyBorder="1" applyAlignment="1">
      <alignment horizontal="center" wrapText="1"/>
    </xf>
    <xf numFmtId="177" fontId="1" fillId="0" borderId="0" xfId="10" applyNumberFormat="1" applyFont="1" applyFill="1" applyAlignment="1">
      <alignment vertical="center"/>
    </xf>
    <xf numFmtId="177" fontId="1" fillId="0" borderId="0" xfId="10" applyNumberFormat="1" applyFont="1" applyFill="1" applyAlignment="1">
      <alignment vertical="center" wrapText="1"/>
    </xf>
    <xf numFmtId="177" fontId="1" fillId="0" borderId="0" xfId="10" applyNumberFormat="1" applyFont="1" applyFill="1" applyAlignment="1">
      <alignment horizontal="center" vertical="center" wrapText="1"/>
    </xf>
    <xf numFmtId="0" fontId="1" fillId="0" borderId="0" xfId="10" applyNumberFormat="1" applyFont="1" applyFill="1" applyAlignment="1">
      <alignment horizontal="right" vertical="center" wrapText="1"/>
    </xf>
    <xf numFmtId="0" fontId="3" fillId="0" borderId="0" xfId="9" applyNumberFormat="1" applyFont="1" applyFill="1" applyAlignment="1">
      <alignment horizontal="right" vertical="center"/>
    </xf>
    <xf numFmtId="177" fontId="1" fillId="0" borderId="0" xfId="10" applyNumberFormat="1" applyFont="1" applyFill="1" applyAlignment="1">
      <alignment horizontal="right" vertical="center" wrapText="1"/>
    </xf>
    <xf numFmtId="177" fontId="3" fillId="0" borderId="1" xfId="6" applyNumberFormat="1" applyFont="1" applyFill="1" applyBorder="1" applyAlignment="1">
      <alignment horizontal="center" vertical="center" wrapText="1"/>
    </xf>
    <xf numFmtId="0" fontId="3" fillId="0" borderId="1" xfId="8" applyFont="1" applyFill="1" applyBorder="1" applyAlignment="1">
      <alignment horizontal="left" vertical="center" wrapText="1"/>
    </xf>
    <xf numFmtId="176" fontId="3" fillId="0" borderId="2" xfId="9" applyNumberFormat="1" applyFont="1" applyFill="1" applyBorder="1" applyAlignment="1">
      <alignment horizontal="right" vertical="center"/>
    </xf>
    <xf numFmtId="177" fontId="3" fillId="0" borderId="0" xfId="6" applyNumberFormat="1" applyFont="1" applyFill="1" applyBorder="1" applyAlignment="1">
      <alignment horizontal="center" vertical="center" wrapText="1"/>
    </xf>
    <xf numFmtId="177" fontId="3" fillId="0" borderId="0" xfId="6" applyNumberFormat="1" applyFont="1" applyFill="1" applyBorder="1" applyAlignment="1">
      <alignment horizontal="right" vertical="center" wrapText="1"/>
    </xf>
    <xf numFmtId="0" fontId="3" fillId="0" borderId="0" xfId="7" applyFont="1" applyFill="1" applyAlignment="1">
      <alignment horizontal="left" wrapText="1"/>
    </xf>
  </cellXfs>
  <cellStyles count="11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lvxiaoli_1.1101保监会－以集团本..况表(按业务分）(2007" xfId="6"/>
    <cellStyle name="常规 2" xfId="7"/>
    <cellStyle name="常规 2 4" xfId="8"/>
    <cellStyle name="常规_lvxiaoli_1.1006保监会－产险.险保费收入情况表（2007" xfId="9"/>
    <cellStyle name="常规_lvxiaoli_1.1006保监会－以集团本..况表(按业务分）(2007" xfId="1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showGridLines="0" tabSelected="1" view="pageBreakPreview" zoomScale="70" zoomScaleNormal="100" zoomScaleSheetLayoutView="70" workbookViewId="0">
      <selection activeCell="Q13" sqref="Q13"/>
    </sheetView>
  </sheetViews>
  <sheetFormatPr defaultColWidth="8" defaultRowHeight="20.4" outlineLevelCol="7"/>
  <cols>
    <col min="1" max="1" width="0.75" style="3" customWidth="1"/>
    <col min="2" max="2" width="2.12962962962963" style="3" customWidth="1"/>
    <col min="3" max="3" width="28.5" style="1" customWidth="1"/>
    <col min="4" max="4" width="13.3796296296296" style="4" customWidth="1"/>
    <col min="5" max="5" width="14.8796296296296" style="4" customWidth="1"/>
    <col min="6" max="6" width="14.1296296296296" style="4" customWidth="1"/>
    <col min="7" max="7" width="14.6296296296296" style="4" customWidth="1"/>
    <col min="8" max="8" width="14.9907407407407" style="4" customWidth="1"/>
    <col min="9" max="16384" width="8" style="3"/>
  </cols>
  <sheetData>
    <row r="1" ht="24" customHeight="1" spans="1:8">
      <c r="A1" s="3" t="s">
        <v>0</v>
      </c>
      <c r="C1" s="5" t="s">
        <v>1</v>
      </c>
      <c r="D1" s="5"/>
      <c r="E1" s="5"/>
      <c r="F1" s="5"/>
      <c r="G1" s="5"/>
      <c r="H1" s="6"/>
    </row>
    <row r="2" ht="6.95" customHeight="1" spans="2:8">
      <c r="B2" s="7" t="s">
        <v>2</v>
      </c>
      <c r="C2" s="1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</row>
    <row r="3" ht="21.75" customHeight="1" spans="2:8">
      <c r="B3" s="8"/>
      <c r="C3" s="9"/>
      <c r="D3" s="10"/>
      <c r="E3" s="11" t="s">
        <v>3</v>
      </c>
      <c r="F3" s="4" t="s">
        <v>2</v>
      </c>
      <c r="G3" s="12" t="s">
        <v>4</v>
      </c>
      <c r="H3" s="12"/>
    </row>
    <row r="4" ht="1.5" customHeight="1" spans="2:8">
      <c r="B4" s="7" t="s">
        <v>2</v>
      </c>
      <c r="C4" s="1" t="s">
        <v>2</v>
      </c>
      <c r="E4" s="4" t="s">
        <v>2</v>
      </c>
      <c r="F4" s="4" t="s">
        <v>2</v>
      </c>
      <c r="G4" s="4" t="s">
        <v>2</v>
      </c>
      <c r="H4" s="4" t="s">
        <v>2</v>
      </c>
    </row>
    <row r="5" s="1" customFormat="1" ht="18.95" customHeight="1" spans="3:8"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</row>
    <row r="6" ht="18.95" customHeight="1" spans="3:8">
      <c r="C6" s="14" t="s">
        <v>11</v>
      </c>
      <c r="D6" s="15">
        <f>28588.97-(1090.28+319.85+79.59+0.36)</f>
        <v>27098.89</v>
      </c>
      <c r="E6" s="15">
        <f>6099.85-(0+0+71.07+0.08)</f>
        <v>6028.7</v>
      </c>
      <c r="F6" s="15">
        <f>16528.29-(952.94+274.42+0+0)</f>
        <v>15300.93</v>
      </c>
      <c r="G6" s="15">
        <f>642.3-(3.68+0.15+4.98+0.27)</f>
        <v>633.22</v>
      </c>
      <c r="H6" s="15">
        <f>5318.54-(133.66+45.29+3.54+0.01)</f>
        <v>5136.04</v>
      </c>
    </row>
    <row r="7" ht="18.95" customHeight="1" spans="3:8">
      <c r="C7" s="14" t="s">
        <v>12</v>
      </c>
      <c r="D7" s="15">
        <f>20.73-(0+0+0+0)</f>
        <v>20.73</v>
      </c>
      <c r="E7" s="15">
        <f>14.51-(0+0+0+0)</f>
        <v>14.51</v>
      </c>
      <c r="F7" s="15">
        <f>0.02-(0+0+0+0)</f>
        <v>0.02</v>
      </c>
      <c r="G7" s="15">
        <f>1.54-(0+0+0+0)</f>
        <v>1.54</v>
      </c>
      <c r="H7" s="15">
        <f>4.66-(0+0+0+0)</f>
        <v>4.66</v>
      </c>
    </row>
    <row r="8" ht="18.95" customHeight="1" spans="3:8">
      <c r="C8" s="14" t="s">
        <v>13</v>
      </c>
      <c r="D8" s="15">
        <f>1463.04-(59.19+21.03+1.38+0.01)</f>
        <v>1381.43</v>
      </c>
      <c r="E8" s="15">
        <f>229-(0+0+1.12+0.05)</f>
        <v>227.83</v>
      </c>
      <c r="F8" s="15">
        <f>882.25-(53.26+17.9+0+0)</f>
        <v>811.09</v>
      </c>
      <c r="G8" s="15">
        <f>38.36-(0.31+0+0.2+0.09)</f>
        <v>37.76</v>
      </c>
      <c r="H8" s="15">
        <f>313.43-(5.62+3.12+0.05+-0.12)</f>
        <v>304.76</v>
      </c>
    </row>
    <row r="9" ht="18.95" customHeight="1" spans="3:8">
      <c r="C9" s="14" t="s">
        <v>14</v>
      </c>
      <c r="D9" s="15">
        <f>413.53-(17.9+0+0.84+0)</f>
        <v>394.79</v>
      </c>
      <c r="E9" s="15">
        <f>83.15-(0+0+0.8+0)</f>
        <v>82.35</v>
      </c>
      <c r="F9" s="15">
        <f>247.91-(13.82+0+0+0)</f>
        <v>234.09</v>
      </c>
      <c r="G9" s="15">
        <f>10.02-(0.04+0+0.02+0)</f>
        <v>9.96</v>
      </c>
      <c r="H9" s="15">
        <f>72.45-(4.04+0+0.02+0)</f>
        <v>68.39</v>
      </c>
    </row>
    <row r="10" ht="18.95" customHeight="1" spans="3:8">
      <c r="C10" s="14" t="s">
        <v>15</v>
      </c>
      <c r="D10" s="15">
        <f>1295.39-(38.39+59.38+1.72+0)</f>
        <v>1195.9</v>
      </c>
      <c r="E10" s="15">
        <f>278.7-(0+0+1.61+0)</f>
        <v>277.09</v>
      </c>
      <c r="F10" s="15">
        <f>752.08-(33.94+51.48+0+0)</f>
        <v>666.66</v>
      </c>
      <c r="G10" s="15">
        <f>21.62-(0.19+0.03+0.05+0)</f>
        <v>21.35</v>
      </c>
      <c r="H10" s="15">
        <f>242.99-(4.25+7.87+0.05+0)</f>
        <v>230.82</v>
      </c>
    </row>
    <row r="11" ht="18.95" customHeight="1" spans="3:8">
      <c r="C11" s="14" t="s">
        <v>16</v>
      </c>
      <c r="D11" s="15">
        <f>594.6-(0+0+1.18+0)</f>
        <v>593.42</v>
      </c>
      <c r="E11" s="15">
        <f>148.53-(0+0+1.09+0)</f>
        <v>147.44</v>
      </c>
      <c r="F11" s="15">
        <f>326.37-(0+0+0+0)</f>
        <v>326.37</v>
      </c>
      <c r="G11" s="15">
        <f>10.83-(0+0+0.05+0)</f>
        <v>10.78</v>
      </c>
      <c r="H11" s="15">
        <f>108.87-(0+0+0.04+0)</f>
        <v>108.83</v>
      </c>
    </row>
    <row r="12" ht="18.95" customHeight="1" spans="3:8">
      <c r="C12" s="14" t="s">
        <v>17</v>
      </c>
      <c r="D12" s="15">
        <f>221.78-(0+0+0.47+0)</f>
        <v>221.31</v>
      </c>
      <c r="E12" s="15">
        <f>43.94-(0+0+0.43+0)</f>
        <v>43.51</v>
      </c>
      <c r="F12" s="15">
        <f>141.59-(0+0+0+0)</f>
        <v>141.59</v>
      </c>
      <c r="G12" s="15">
        <f>3.65-(0+0+0.02+0)</f>
        <v>3.63</v>
      </c>
      <c r="H12" s="15">
        <f>32.6-(0+0+0.01+0)</f>
        <v>32.59</v>
      </c>
    </row>
    <row r="13" ht="18.95" customHeight="1" spans="3:8">
      <c r="C13" s="14" t="s">
        <v>18</v>
      </c>
      <c r="D13" s="15">
        <f>1130.75-(27.94+16.88+2.16+0)</f>
        <v>1083.77</v>
      </c>
      <c r="E13" s="15">
        <f>279.5-(0+0+1.51+0)</f>
        <v>277.99</v>
      </c>
      <c r="F13" s="15">
        <f>630.29-(25.43+15.28+0+0)</f>
        <v>589.58</v>
      </c>
      <c r="G13" s="15">
        <f>42.53-(0.04+0+0.39+0)</f>
        <v>42.1</v>
      </c>
      <c r="H13" s="15">
        <f>178.43-(2.48+1.6+0.27+0)</f>
        <v>174.08</v>
      </c>
    </row>
    <row r="14" ht="18.95" customHeight="1" spans="3:8">
      <c r="C14" s="14" t="s">
        <v>19</v>
      </c>
      <c r="D14" s="15">
        <f>2667.77-(86.52+23.83+8.12+0)</f>
        <v>2549.3</v>
      </c>
      <c r="E14" s="15">
        <f>518.9-(0+0+7+0)</f>
        <v>511.9</v>
      </c>
      <c r="F14" s="15">
        <f>1715.55-(74.68+21.53+0+0)</f>
        <v>1619.34</v>
      </c>
      <c r="G14" s="15">
        <f>52.01-(0.25+0+0.85+0)</f>
        <v>50.91</v>
      </c>
      <c r="H14" s="15">
        <f>381.32-(11.58+2.29+0.27+0)</f>
        <v>367.18</v>
      </c>
    </row>
    <row r="15" ht="18.95" customHeight="1" spans="3:8">
      <c r="C15" s="14" t="s">
        <v>20</v>
      </c>
      <c r="D15" s="15">
        <f>1516-(34.92+0+12.5+0)</f>
        <v>1468.58</v>
      </c>
      <c r="E15" s="15">
        <f>372.74-(0+0+11.58+0)</f>
        <v>361.16</v>
      </c>
      <c r="F15" s="15">
        <f>875.98-(30.02+0+0+0)</f>
        <v>845.96</v>
      </c>
      <c r="G15" s="15">
        <f>32.73-(0.11+0+0.7+0)</f>
        <v>31.92</v>
      </c>
      <c r="H15" s="15">
        <f>234.55-(4.78+0+0.22+0)</f>
        <v>229.55</v>
      </c>
    </row>
    <row r="16" ht="18.95" customHeight="1" spans="3:8">
      <c r="C16" s="14" t="s">
        <v>21</v>
      </c>
      <c r="D16" s="15">
        <f>230.11-(13.36+0+1.16+0)</f>
        <v>215.59</v>
      </c>
      <c r="E16" s="15">
        <f>88.49-(0+0+1.09+0)</f>
        <v>87.4</v>
      </c>
      <c r="F16" s="15">
        <f>110.48-(11.64+0+0+0)</f>
        <v>98.84</v>
      </c>
      <c r="G16" s="15">
        <f>5.85-(0.01+0+0.05+0)</f>
        <v>5.79</v>
      </c>
      <c r="H16" s="15">
        <f>25.29-(1.7+0+0.02+0)</f>
        <v>23.57</v>
      </c>
    </row>
    <row r="17" ht="18.95" customHeight="1" spans="3:8">
      <c r="C17" s="14" t="s">
        <v>22</v>
      </c>
      <c r="D17" s="15">
        <f>641.16-(0+0+2.61+0)</f>
        <v>638.55</v>
      </c>
      <c r="E17" s="15">
        <f>132.98-(0+0+2.45+0)</f>
        <v>130.53</v>
      </c>
      <c r="F17" s="15">
        <f>364.32-(0+0+0+0)</f>
        <v>364.32</v>
      </c>
      <c r="G17" s="15">
        <f>15.12-(0+0+0.1+0)</f>
        <v>15.02</v>
      </c>
      <c r="H17" s="15">
        <f>128.74-(0+0+0.06+0)</f>
        <v>128.68</v>
      </c>
    </row>
    <row r="18" ht="18.95" customHeight="1" spans="3:8">
      <c r="C18" s="14" t="s">
        <v>23</v>
      </c>
      <c r="D18" s="15">
        <f>145.13-(0+0+0.55+0)</f>
        <v>144.58</v>
      </c>
      <c r="E18" s="15">
        <f>36.58-(0+0+0.51+0)</f>
        <v>36.07</v>
      </c>
      <c r="F18" s="15">
        <f>78.57-(0+0+0+0)</f>
        <v>78.57</v>
      </c>
      <c r="G18" s="15">
        <f>3.77-(0+0+0.03+0)</f>
        <v>3.74</v>
      </c>
      <c r="H18" s="15">
        <f>26.21-(0+0+0.01+0)</f>
        <v>26.2</v>
      </c>
    </row>
    <row r="19" ht="18.95" customHeight="1" spans="3:8">
      <c r="C19" s="14" t="s">
        <v>24</v>
      </c>
      <c r="D19" s="15">
        <f>1874.74-(95.6+64.22+4.61+0)</f>
        <v>1710.31</v>
      </c>
      <c r="E19" s="15">
        <f>344.84-(0+0+4.2+0)</f>
        <v>340.64</v>
      </c>
      <c r="F19" s="15">
        <f>1093.47-(80.08+51.9+0+0)</f>
        <v>961.49</v>
      </c>
      <c r="G19" s="15">
        <f>36.19-(0.3+0.06+0.22+0)</f>
        <v>35.61</v>
      </c>
      <c r="H19" s="15">
        <f>400.24-(15.21+12.26+0.18+0)</f>
        <v>372.59</v>
      </c>
    </row>
    <row r="20" ht="18.95" customHeight="1" spans="3:8">
      <c r="C20" s="14" t="s">
        <v>25</v>
      </c>
      <c r="D20" s="15">
        <f>319.42-(38.27+10.7+0.75+0)</f>
        <v>269.7</v>
      </c>
      <c r="E20" s="15">
        <f>74.72-(0+0+0.68+0)</f>
        <v>74.04</v>
      </c>
      <c r="F20" s="15">
        <f>170.17-(31.16+8.83+0+0)</f>
        <v>130.18</v>
      </c>
      <c r="G20" s="15">
        <f>5.68-(0.16+0+0.04+0)</f>
        <v>5.48</v>
      </c>
      <c r="H20" s="15">
        <f>68.85-(6.95+1.87+0.04+0)</f>
        <v>59.99</v>
      </c>
    </row>
    <row r="21" ht="18.95" customHeight="1" spans="3:8">
      <c r="C21" s="14" t="s">
        <v>26</v>
      </c>
      <c r="D21" s="15">
        <f>2541.01-(98.54+21.71+5.57+0)</f>
        <v>2415.19</v>
      </c>
      <c r="E21" s="15">
        <f>507.12-(0+0+5.08+0)</f>
        <v>502.04</v>
      </c>
      <c r="F21" s="15">
        <f>1526.99-(90.63+19.09+0+0)</f>
        <v>1417.27</v>
      </c>
      <c r="G21" s="15">
        <f>73.38-(0.64+0+0.28+0)</f>
        <v>72.46</v>
      </c>
      <c r="H21" s="15">
        <f>433.52-(7.27+2.62+0.21+0)</f>
        <v>423.42</v>
      </c>
    </row>
    <row r="22" ht="18.95" customHeight="1" spans="3:8">
      <c r="C22" s="14" t="s">
        <v>27</v>
      </c>
      <c r="D22" s="15">
        <f>846.57-(51.9+0+1.91+0.35)</f>
        <v>792.41</v>
      </c>
      <c r="E22" s="15">
        <f>192.06-(0+0+1.74+0.03)</f>
        <v>190.29</v>
      </c>
      <c r="F22" s="15">
        <f>423.61-(47.35+0+0+0)</f>
        <v>376.26</v>
      </c>
      <c r="G22" s="15">
        <f>24.08-(0.08+0+0.08+0.18)</f>
        <v>23.74</v>
      </c>
      <c r="H22" s="15">
        <f>206.82-(4.48+0+0.08+0.13)</f>
        <v>202.13</v>
      </c>
    </row>
    <row r="23" ht="18.95" customHeight="1" spans="3:8">
      <c r="C23" s="14" t="s">
        <v>28</v>
      </c>
      <c r="D23" s="15">
        <f>121.83-(13.7+0+0.34+0)</f>
        <v>107.79</v>
      </c>
      <c r="E23" s="15">
        <f>36.56-(0+0+0.32+0)</f>
        <v>36.24</v>
      </c>
      <c r="F23" s="15">
        <f>60.56-(11.28+0+0+0)</f>
        <v>49.28</v>
      </c>
      <c r="G23" s="15">
        <f>2.98-(0.04+0+0.01+0)</f>
        <v>2.93</v>
      </c>
      <c r="H23" s="15">
        <f>21.72-(2.38+0+0.02+0)</f>
        <v>19.32</v>
      </c>
    </row>
    <row r="24" ht="18.95" customHeight="1" spans="3:8">
      <c r="C24" s="14" t="s">
        <v>29</v>
      </c>
      <c r="D24" s="15">
        <f>617.39-(0+0+1.37+0)</f>
        <v>616.02</v>
      </c>
      <c r="E24" s="15">
        <f>122.33-(0+0+1.24+0)</f>
        <v>121.09</v>
      </c>
      <c r="F24" s="15">
        <f>372.01-(0+0+0+0)</f>
        <v>372.01</v>
      </c>
      <c r="G24" s="15">
        <f>11.6-(0+0+0.07+0)</f>
        <v>11.53</v>
      </c>
      <c r="H24" s="15">
        <f>111.45-(0+0+0.06+0)</f>
        <v>111.39</v>
      </c>
    </row>
    <row r="25" ht="18.95" customHeight="1" spans="3:8">
      <c r="C25" s="14" t="s">
        <v>30</v>
      </c>
      <c r="D25" s="15">
        <f>451.64-(0+23.28+2.69+0)</f>
        <v>425.67</v>
      </c>
      <c r="E25" s="15">
        <f>90.18-(0+0+2.5+0)</f>
        <v>87.68</v>
      </c>
      <c r="F25" s="15">
        <f>257.74-(0+19.44+0+0)</f>
        <v>238.3</v>
      </c>
      <c r="G25" s="15">
        <f>8.83-(0+0.01+0.03+0)</f>
        <v>8.79</v>
      </c>
      <c r="H25" s="15">
        <f>94.9-(0+3.82+0.15+0)</f>
        <v>90.93</v>
      </c>
    </row>
    <row r="26" ht="18.95" customHeight="1" spans="3:8">
      <c r="C26" s="14" t="s">
        <v>31</v>
      </c>
      <c r="D26" s="15">
        <f>639.62-(11.27+0+0.94+0)</f>
        <v>627.41</v>
      </c>
      <c r="E26" s="15">
        <f>123.14-(0+0+0.89+0)</f>
        <v>122.25</v>
      </c>
      <c r="F26" s="15">
        <f>371.17-(9.71+0+0+0)</f>
        <v>361.46</v>
      </c>
      <c r="G26" s="15">
        <f>9.26-(0.19+0+0.03+0)</f>
        <v>9.04</v>
      </c>
      <c r="H26" s="15">
        <f>136.05-(1.36+0+0.02+0)</f>
        <v>134.67</v>
      </c>
    </row>
    <row r="27" ht="18.95" customHeight="1" spans="3:8">
      <c r="C27" s="14" t="s">
        <v>32</v>
      </c>
      <c r="D27" s="15">
        <f>949.6-(92.5+0+6.58+0)</f>
        <v>850.52</v>
      </c>
      <c r="E27" s="15">
        <f>228.48-(0+0+6.21+0)</f>
        <v>222.27</v>
      </c>
      <c r="F27" s="15">
        <f>525.49-(83.68+0+0+0)</f>
        <v>441.81</v>
      </c>
      <c r="G27" s="15">
        <f>20.62-(0.24+0+0.17+0)</f>
        <v>20.21</v>
      </c>
      <c r="H27" s="15">
        <f>175-(8.57+0+0.2+0)</f>
        <v>166.23</v>
      </c>
    </row>
    <row r="28" ht="18.95" customHeight="1" spans="3:8">
      <c r="C28" s="14" t="s">
        <v>33</v>
      </c>
      <c r="D28" s="15">
        <f>609.58-(37.36+0+1.56+0)</f>
        <v>570.66</v>
      </c>
      <c r="E28" s="15">
        <f>139.09-(0+0+1.28+0)</f>
        <v>137.81</v>
      </c>
      <c r="F28" s="15">
        <f>344.7-(35.43+0+0+0)</f>
        <v>309.27</v>
      </c>
      <c r="G28" s="15">
        <f>12.55-(0.05+0+0.07+0)</f>
        <v>12.43</v>
      </c>
      <c r="H28" s="15">
        <f>113.24-(1.87+0+0.22+0)</f>
        <v>111.15</v>
      </c>
    </row>
    <row r="29" ht="18.95" customHeight="1" spans="3:8">
      <c r="C29" s="14" t="s">
        <v>34</v>
      </c>
      <c r="D29" s="15">
        <f>1614.78-(90.49+47.86+4.33+0)</f>
        <v>1472.1</v>
      </c>
      <c r="E29" s="15">
        <f>292.75-(0+0+3.81+0)</f>
        <v>288.94</v>
      </c>
      <c r="F29" s="15">
        <f>965.85-(82.23+42.25+0+0)</f>
        <v>841.37</v>
      </c>
      <c r="G29" s="15">
        <f>27.15-(0.17+0.02+0.27+0)</f>
        <v>26.69</v>
      </c>
      <c r="H29" s="15">
        <f>329.03-(8.09+5.58+0.25+0)</f>
        <v>315.11</v>
      </c>
    </row>
    <row r="30" ht="18.95" customHeight="1" spans="3:8">
      <c r="C30" s="14" t="s">
        <v>35</v>
      </c>
      <c r="D30" s="15">
        <f>1200.3-(0+0+2+0)</f>
        <v>1198.3</v>
      </c>
      <c r="E30" s="15">
        <f>209.21-(0+0+1.8+0)</f>
        <v>207.41</v>
      </c>
      <c r="F30" s="15">
        <f>738.69-(0+0+0+0)</f>
        <v>738.69</v>
      </c>
      <c r="G30" s="15">
        <f>23.58-(0+0+0.08+0)</f>
        <v>23.5</v>
      </c>
      <c r="H30" s="15">
        <f>228.82-(0+0+0.12+0)</f>
        <v>228.7</v>
      </c>
    </row>
    <row r="31" ht="18.95" customHeight="1" spans="3:8">
      <c r="C31" s="14" t="s">
        <v>36</v>
      </c>
      <c r="D31" s="15">
        <f>986.59-(47.63+0+2.42+0)</f>
        <v>936.54</v>
      </c>
      <c r="E31" s="15">
        <f>202.12-(0+0+1.73+0)</f>
        <v>200.39</v>
      </c>
      <c r="F31" s="15">
        <f>542.6-(40.12+0+0+0)</f>
        <v>502.48</v>
      </c>
      <c r="G31" s="15">
        <f>22.28-(0.11+0+0.44+0)</f>
        <v>21.73</v>
      </c>
      <c r="H31" s="15">
        <f>219.59-(7.41+0+0.25+0)</f>
        <v>211.93</v>
      </c>
    </row>
    <row r="32" ht="18.95" customHeight="1" spans="3:8">
      <c r="C32" s="14" t="s">
        <v>37</v>
      </c>
      <c r="D32" s="15">
        <f>622.01-(0+0+1.84+0)</f>
        <v>620.17</v>
      </c>
      <c r="E32" s="15">
        <f>112.3-(0+0+1.61+0)</f>
        <v>110.69</v>
      </c>
      <c r="F32" s="15">
        <f>362.35-(0+0+0+0)</f>
        <v>362.35</v>
      </c>
      <c r="G32" s="15">
        <f>13.39-(0+0+0.17+0)</f>
        <v>13.22</v>
      </c>
      <c r="H32" s="15">
        <f>133.96-(0+0+0.07+0)</f>
        <v>133.89</v>
      </c>
    </row>
    <row r="33" ht="18.95" customHeight="1" spans="3:8">
      <c r="C33" s="14" t="s">
        <v>38</v>
      </c>
      <c r="D33" s="15">
        <f>1471.82-(65.76+30.98+2.41+0)</f>
        <v>1372.67</v>
      </c>
      <c r="E33" s="15">
        <f>288.09-(0+0+2.09+0)</f>
        <v>286</v>
      </c>
      <c r="F33" s="15">
        <f>888.52-(55.6+26.71+0+0)</f>
        <v>806.21</v>
      </c>
      <c r="G33" s="15">
        <f>31.42-(0.17+0.01+0.11+0)</f>
        <v>31.13</v>
      </c>
      <c r="H33" s="15">
        <f>263.78-(9.98+4.26+0.21+0)</f>
        <v>249.33</v>
      </c>
    </row>
    <row r="34" ht="18.95" customHeight="1" spans="3:8">
      <c r="C34" s="14" t="s">
        <v>39</v>
      </c>
      <c r="D34" s="15">
        <f>297.42-(0+0+1.2+0)</f>
        <v>296.22</v>
      </c>
      <c r="E34" s="15">
        <f>114.09-(0+0+1.03+0)</f>
        <v>113.06</v>
      </c>
      <c r="F34" s="15">
        <f>118.27-(0+0+0+0)</f>
        <v>118.27</v>
      </c>
      <c r="G34" s="15">
        <f>9.66-(0+0+0.08+0)</f>
        <v>9.58</v>
      </c>
      <c r="H34" s="15">
        <f>55.39-(0+0+0.08+0)</f>
        <v>55.31</v>
      </c>
    </row>
    <row r="35" ht="18.95" customHeight="1" spans="3:8">
      <c r="C35" s="14" t="s">
        <v>40</v>
      </c>
      <c r="D35" s="15">
        <f>451.56-(39.17+0+1.52+0)</f>
        <v>410.87</v>
      </c>
      <c r="E35" s="15">
        <f>134.96-(0+0+1.4+0)</f>
        <v>133.56</v>
      </c>
      <c r="F35" s="15">
        <f>199.19-(32.82+0+0+0)</f>
        <v>166.37</v>
      </c>
      <c r="G35" s="15">
        <f>13.95-(0.19+0+0.05+0)</f>
        <v>13.71</v>
      </c>
      <c r="H35" s="15">
        <f>103.45-(6.15+0+0.06+0)</f>
        <v>97.24</v>
      </c>
    </row>
    <row r="36" ht="18.95" customHeight="1" spans="3:8">
      <c r="C36" s="14" t="s">
        <v>41</v>
      </c>
      <c r="D36" s="15">
        <f>24.26-(0+0+0+0)</f>
        <v>24.26</v>
      </c>
      <c r="E36" s="15">
        <f>15.71-(0+0+0+0)</f>
        <v>15.71</v>
      </c>
      <c r="F36" s="15">
        <f>4.02-(0+0+0+0)</f>
        <v>4.02</v>
      </c>
      <c r="G36" s="15">
        <f>1.25-(0+0+0+0)</f>
        <v>1.25</v>
      </c>
      <c r="H36" s="15">
        <f>3.28-(0+0+0+0)</f>
        <v>3.28</v>
      </c>
    </row>
    <row r="37" ht="18.95" customHeight="1" spans="3:8">
      <c r="C37" s="14" t="s">
        <v>42</v>
      </c>
      <c r="D37" s="15">
        <f>710.2-(66.46+0+1.54+0)</f>
        <v>642.2</v>
      </c>
      <c r="E37" s="15">
        <f>133.09-(0+0+1.34+0)</f>
        <v>131.75</v>
      </c>
      <c r="F37" s="15">
        <f>457.95-(60.38+0+0+0)</f>
        <v>397.57</v>
      </c>
      <c r="G37" s="15">
        <f>12.21-(0.19+0+0.14+0)</f>
        <v>11.88</v>
      </c>
      <c r="H37" s="15">
        <f>106.94-(5.89+0+0.06+0)</f>
        <v>100.99</v>
      </c>
    </row>
    <row r="38" ht="18.95" customHeight="1" spans="3:8">
      <c r="C38" s="14" t="s">
        <v>43</v>
      </c>
      <c r="D38" s="15">
        <f>310.89-(0+0+1.24+0)</f>
        <v>309.65</v>
      </c>
      <c r="E38" s="15">
        <f>75.23-(0+0+0.99+0)</f>
        <v>74.24</v>
      </c>
      <c r="F38" s="15">
        <f>177.93-(0+0+0+0)</f>
        <v>177.93</v>
      </c>
      <c r="G38" s="15">
        <f>7.73-(0+0+0.08+0)</f>
        <v>7.65</v>
      </c>
      <c r="H38" s="15">
        <f>50-(0+0+0.17+0)</f>
        <v>49.83</v>
      </c>
    </row>
    <row r="39" ht="18.95" customHeight="1" spans="3:8">
      <c r="C39" s="14" t="s">
        <v>44</v>
      </c>
      <c r="D39" s="15">
        <f>64.5-(0+0+0+0)</f>
        <v>64.5</v>
      </c>
      <c r="E39" s="15">
        <f>22.83-(0+0+0+0)</f>
        <v>22.83</v>
      </c>
      <c r="F39" s="15">
        <f>29.24-(0+0+0+0)</f>
        <v>29.24</v>
      </c>
      <c r="G39" s="15">
        <f>1.79-(0+0+0+0)</f>
        <v>1.79</v>
      </c>
      <c r="H39" s="15">
        <f>10.65-(0+0+0+0)</f>
        <v>10.65</v>
      </c>
    </row>
    <row r="40" ht="18.95" customHeight="1" spans="3:8">
      <c r="C40" s="14" t="s">
        <v>45</v>
      </c>
      <c r="D40" s="15">
        <f>130.78-(0+0+0+0)</f>
        <v>130.78</v>
      </c>
      <c r="E40" s="15">
        <f>35.76-(0+0+0+0)</f>
        <v>35.76</v>
      </c>
      <c r="F40" s="15">
        <f>69.05-(0+0+0+0)</f>
        <v>69.05</v>
      </c>
      <c r="G40" s="15">
        <f>3.64-(0+0+0+0)</f>
        <v>3.64</v>
      </c>
      <c r="H40" s="15">
        <f>22.34-(0+0+0+0)</f>
        <v>22.34</v>
      </c>
    </row>
    <row r="41" ht="18.95" customHeight="1" spans="3:8">
      <c r="C41" s="14" t="s">
        <v>46</v>
      </c>
      <c r="D41" s="15">
        <f>447.5-(0+0+0.79+0)</f>
        <v>446.71</v>
      </c>
      <c r="E41" s="15">
        <f>146.44-(0+0+0.74+0)</f>
        <v>145.7</v>
      </c>
      <c r="F41" s="15">
        <f>210.56-(0+0+0+0)</f>
        <v>210.56</v>
      </c>
      <c r="G41" s="15">
        <f>9.79-(0+0+0.03+0)</f>
        <v>9.76</v>
      </c>
      <c r="H41" s="15">
        <f>80.71-(0+0+0.02+0)</f>
        <v>80.69</v>
      </c>
    </row>
    <row r="42" ht="18.95" customHeight="1" spans="3:8">
      <c r="C42" s="14" t="s">
        <v>47</v>
      </c>
      <c r="D42" s="15">
        <f>454.36-(63.43+0+0+0)</f>
        <v>390.93</v>
      </c>
      <c r="E42" s="15">
        <f>106.45-(0+0+0+0)</f>
        <v>106.45</v>
      </c>
      <c r="F42" s="15">
        <f>253.75-(49.66+0+0+0)</f>
        <v>204.09</v>
      </c>
      <c r="G42" s="15">
        <f>8.3-(0.19+0+0+0)</f>
        <v>8.11</v>
      </c>
      <c r="H42" s="15">
        <f>85.87-(13.58+0+0+0)</f>
        <v>72.29</v>
      </c>
    </row>
    <row r="43" ht="18.95" customHeight="1" spans="3:8">
      <c r="C43" s="14" t="s">
        <v>48</v>
      </c>
      <c r="D43" s="15">
        <f>490.61-(0+0+1.29+0)</f>
        <v>489.32</v>
      </c>
      <c r="E43" s="15">
        <f>125.27-(0+0+1.18+0)</f>
        <v>124.09</v>
      </c>
      <c r="F43" s="15">
        <f>239.01-(0+0+0+0)</f>
        <v>239.01</v>
      </c>
      <c r="G43" s="15">
        <f>12.94-(0+0+0.06+0)</f>
        <v>12.88</v>
      </c>
      <c r="H43" s="15">
        <f>113.39-(0+0+0.04+0)</f>
        <v>113.35</v>
      </c>
    </row>
    <row r="44" ht="15" customHeight="1" spans="3:8">
      <c r="C44" s="16"/>
      <c r="D44" s="17"/>
      <c r="E44" s="17"/>
      <c r="F44" s="17"/>
      <c r="G44" s="17"/>
      <c r="H44" s="17"/>
    </row>
    <row r="45" s="2" customFormat="1" ht="37.15" customHeight="1" spans="3:8">
      <c r="C45" s="8" t="s">
        <v>49</v>
      </c>
      <c r="D45" s="8"/>
      <c r="E45" s="8"/>
      <c r="F45" s="8"/>
      <c r="G45" s="8"/>
      <c r="H45" s="8"/>
    </row>
    <row r="46" s="2" customFormat="1" ht="37.15" customHeight="1" spans="1:8">
      <c r="A46" s="7"/>
      <c r="B46" s="7"/>
      <c r="C46" s="8" t="s">
        <v>50</v>
      </c>
      <c r="D46" s="8"/>
      <c r="E46" s="8"/>
      <c r="F46" s="8"/>
      <c r="G46" s="8"/>
      <c r="H46" s="8"/>
    </row>
    <row r="47" s="2" customFormat="1" ht="37.15" customHeight="1" spans="1:8">
      <c r="A47" s="7"/>
      <c r="B47" s="7"/>
      <c r="C47" s="7" t="s">
        <v>51</v>
      </c>
      <c r="D47" s="7"/>
      <c r="E47" s="7"/>
      <c r="F47" s="7"/>
      <c r="G47" s="7"/>
      <c r="H47" s="7"/>
    </row>
    <row r="48" ht="45.6" customHeight="1" spans="3:8">
      <c r="C48" s="8" t="s">
        <v>52</v>
      </c>
      <c r="D48" s="8"/>
      <c r="E48" s="8"/>
      <c r="F48" s="8"/>
      <c r="G48" s="8"/>
      <c r="H48" s="8"/>
    </row>
    <row r="49" ht="45" customHeight="1" spans="2:8">
      <c r="B49" s="18" t="s">
        <v>53</v>
      </c>
      <c r="C49" s="18"/>
      <c r="D49" s="18"/>
      <c r="E49" s="18"/>
      <c r="F49" s="18"/>
      <c r="G49" s="18"/>
      <c r="H49" s="18"/>
    </row>
  </sheetData>
  <mergeCells count="6">
    <mergeCell ref="C1:H1"/>
    <mergeCell ref="G3:H3"/>
    <mergeCell ref="C45:H45"/>
    <mergeCell ref="C46:H46"/>
    <mergeCell ref="C48:H48"/>
    <mergeCell ref="B49:H49"/>
  </mergeCells>
  <printOptions horizontalCentered="1"/>
  <pageMargins left="0" right="0" top="0.393055555555556" bottom="0" header="0.511805555555556" footer="0.511805555555556"/>
  <pageSetup paperSize="9" scale="8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各地区数据（月度）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银监会</dc:creator>
  <dcterms:created xsi:type="dcterms:W3CDTF">2021-08-05T08:12:38Z</dcterms:created>
  <dcterms:modified xsi:type="dcterms:W3CDTF">2021-08-05T08:12:41Z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2052-9.1.0.5026</vt:lpwstr>
  </property>
</Properties>
</file>