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80" windowHeight="9684"/>
  </bookViews>
  <sheets>
    <sheet name="各地区数据（月度）" sheetId="1" r:id="rId1"/>
  </sheets>
  <definedNames>
    <definedName name="_xlnm.Print_Area" localSheetId="0">'各地区数据（月度）'!$A$1:$H$49</definedName>
  </definedNames>
  <calcPr calcId="144525"/>
</workbook>
</file>

<file path=xl/sharedStrings.xml><?xml version="1.0" encoding="utf-8"?>
<sst xmlns="http://schemas.openxmlformats.org/spreadsheetml/2006/main" count="54">
  <si>
    <t xml:space="preserve"> </t>
  </si>
  <si>
    <t>2021年09月全国各地区原保险保费收入情况表</t>
  </si>
  <si>
    <t/>
  </si>
  <si>
    <t xml:space="preserve">                  </t>
  </si>
  <si>
    <t>单位：亿元</t>
  </si>
  <si>
    <t>地区</t>
  </si>
  <si>
    <t>合计</t>
  </si>
  <si>
    <t>财产保险</t>
  </si>
  <si>
    <t>寿险</t>
  </si>
  <si>
    <t>意外险</t>
  </si>
  <si>
    <t>健康险</t>
  </si>
  <si>
    <t>全国合计</t>
  </si>
  <si>
    <t>集团、总公司本级</t>
  </si>
  <si>
    <t>北   京</t>
  </si>
  <si>
    <t>天   津</t>
  </si>
  <si>
    <t>河   北</t>
  </si>
  <si>
    <t>辽   宁</t>
  </si>
  <si>
    <t>大   连</t>
  </si>
  <si>
    <t>上   海</t>
  </si>
  <si>
    <t>江   苏</t>
  </si>
  <si>
    <t>浙   江</t>
  </si>
  <si>
    <t>宁   波</t>
  </si>
  <si>
    <t>福   建</t>
  </si>
  <si>
    <t>厦   门</t>
  </si>
  <si>
    <t>山   东</t>
  </si>
  <si>
    <t>青   岛</t>
  </si>
  <si>
    <t>广   东</t>
  </si>
  <si>
    <t>深   圳</t>
  </si>
  <si>
    <t>海   南</t>
  </si>
  <si>
    <t>山   西</t>
  </si>
  <si>
    <t>吉   林</t>
  </si>
  <si>
    <t>黑龙江</t>
  </si>
  <si>
    <t>安   徽</t>
  </si>
  <si>
    <t>江   西</t>
  </si>
  <si>
    <t>河   南</t>
  </si>
  <si>
    <t>湖   北</t>
  </si>
  <si>
    <t>湖   南</t>
  </si>
  <si>
    <t>重   庆</t>
  </si>
  <si>
    <t>四   川</t>
  </si>
  <si>
    <t>贵   州</t>
  </si>
  <si>
    <t>云   南</t>
  </si>
  <si>
    <t>西   藏</t>
  </si>
  <si>
    <t>陕   西</t>
  </si>
  <si>
    <t>甘   肃</t>
  </si>
  <si>
    <t>青   海</t>
  </si>
  <si>
    <t>宁   夏</t>
  </si>
  <si>
    <t>新   疆</t>
  </si>
  <si>
    <t>内蒙古</t>
  </si>
  <si>
    <t>广   西</t>
  </si>
  <si>
    <t>注：1、本表数据是保险业执行《关于印发&lt;保险合同相关会计处理规定〉的通知》（财会[2009]15号）后，各保险公司按照相关口径要求报送的数据。</t>
  </si>
  <si>
    <t xml:space="preserve">    2、集团、总公司本级是指集团、总公司开展的业务，不计入任何地区。</t>
  </si>
  <si>
    <t xml:space="preserve">    3、上述数据来源于各公司报送的保险数据，未经审计。</t>
  </si>
  <si>
    <t xml:space="preserve">    4、由于计算的四舍五入及单位换算原因，各地区之和与合计略有差异。</t>
  </si>
  <si>
    <t xml:space="preserve">    5、因部分机构目前处于风险处置阶段，从2021年6月起，各地区汇总数据口径暂不包含这部分机构。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</si>
</sst>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_);[Red]\(0.00\)"/>
  </numFmts>
  <fonts count="25">
    <font>
      <sz val="11"/>
      <color theme="1"/>
      <name val="宋体"/>
      <charset val="134"/>
      <scheme val="minor"/>
    </font>
    <font>
      <sz val="16"/>
      <name val="仿宋_GB2312"/>
      <charset val="134"/>
    </font>
    <font>
      <b/>
      <sz val="16"/>
      <name val="仿宋_GB2312"/>
      <charset val="134"/>
    </font>
    <font>
      <sz val="16"/>
      <color indexed="8"/>
      <name val="仿宋_GB2312"/>
      <charset val="134"/>
    </font>
    <font>
      <sz val="16"/>
      <color theme="1"/>
      <name val="仿宋_GB2312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color indexed="0"/>
      <name val="Arial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horizontal="left"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11" fillId="2" borderId="6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>
      <alignment horizontal="left" vertical="center"/>
    </xf>
    <xf numFmtId="0" fontId="1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>
      <alignment horizontal="left" vertical="center"/>
    </xf>
    <xf numFmtId="0" fontId="21" fillId="0" borderId="0">
      <alignment horizontal="left" vertical="center"/>
    </xf>
  </cellStyleXfs>
  <cellXfs count="18">
    <xf numFmtId="0" fontId="0" fillId="0" borderId="0" xfId="0">
      <alignment vertical="center"/>
    </xf>
    <xf numFmtId="177" fontId="1" fillId="0" borderId="0" xfId="33" applyNumberFormat="1" applyFont="1" applyFill="1" applyAlignment="1">
      <alignment horizontal="center" vertical="center"/>
    </xf>
    <xf numFmtId="177" fontId="1" fillId="0" borderId="0" xfId="33" applyNumberFormat="1" applyFont="1" applyFill="1" applyAlignment="1">
      <alignment horizontal="left" vertical="center"/>
    </xf>
    <xf numFmtId="177" fontId="1" fillId="0" borderId="0" xfId="33" applyNumberFormat="1" applyFont="1" applyFill="1">
      <alignment horizontal="left" vertical="center"/>
    </xf>
    <xf numFmtId="177" fontId="1" fillId="0" borderId="0" xfId="33" applyNumberFormat="1" applyFont="1" applyFill="1" applyAlignment="1">
      <alignment horizontal="right" vertical="center"/>
    </xf>
    <xf numFmtId="177" fontId="2" fillId="0" borderId="0" xfId="0" applyNumberFormat="1" applyFont="1" applyFill="1" applyAlignment="1">
      <alignment horizontal="center" wrapText="1"/>
    </xf>
    <xf numFmtId="177" fontId="2" fillId="0" borderId="0" xfId="0" applyNumberFormat="1" applyFont="1" applyFill="1" applyBorder="1" applyAlignment="1">
      <alignment horizontal="center" wrapText="1"/>
    </xf>
    <xf numFmtId="177" fontId="1" fillId="0" borderId="0" xfId="33" applyNumberFormat="1" applyFont="1" applyFill="1" applyAlignment="1">
      <alignment vertical="center"/>
    </xf>
    <xf numFmtId="177" fontId="1" fillId="0" borderId="0" xfId="33" applyNumberFormat="1" applyFont="1" applyFill="1" applyAlignment="1">
      <alignment vertical="center" wrapText="1"/>
    </xf>
    <xf numFmtId="177" fontId="1" fillId="0" borderId="0" xfId="33" applyNumberFormat="1" applyFont="1" applyFill="1" applyAlignment="1">
      <alignment horizontal="center" vertical="center" wrapText="1"/>
    </xf>
    <xf numFmtId="0" fontId="1" fillId="0" borderId="0" xfId="33" applyNumberFormat="1" applyFont="1" applyFill="1" applyAlignment="1">
      <alignment horizontal="right" vertical="center" wrapText="1"/>
    </xf>
    <xf numFmtId="0" fontId="3" fillId="0" borderId="0" xfId="52" applyNumberFormat="1" applyFont="1" applyFill="1" applyAlignment="1">
      <alignment horizontal="right" vertical="center"/>
    </xf>
    <xf numFmtId="177" fontId="1" fillId="0" borderId="0" xfId="33" applyNumberFormat="1" applyFont="1" applyFill="1" applyAlignment="1">
      <alignment horizontal="right" vertical="center" wrapText="1"/>
    </xf>
    <xf numFmtId="177" fontId="3" fillId="0" borderId="1" xfId="17" applyNumberFormat="1" applyFont="1" applyFill="1" applyBorder="1" applyAlignment="1">
      <alignment horizontal="center" vertical="center" wrapText="1"/>
    </xf>
    <xf numFmtId="0" fontId="3" fillId="0" borderId="1" xfId="51" applyFont="1" applyFill="1" applyBorder="1" applyAlignment="1">
      <alignment horizontal="left" vertical="center" wrapText="1"/>
    </xf>
    <xf numFmtId="176" fontId="4" fillId="0" borderId="2" xfId="52" applyNumberFormat="1" applyFont="1" applyFill="1" applyBorder="1" applyAlignment="1">
      <alignment horizontal="right" vertical="center"/>
    </xf>
    <xf numFmtId="177" fontId="3" fillId="0" borderId="0" xfId="17" applyNumberFormat="1" applyFont="1" applyFill="1" applyBorder="1" applyAlignment="1">
      <alignment horizontal="center" vertical="center" wrapText="1"/>
    </xf>
    <xf numFmtId="177" fontId="3" fillId="0" borderId="0" xfId="17" applyNumberFormat="1" applyFont="1" applyFill="1" applyBorder="1" applyAlignment="1">
      <alignment horizontal="righ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_lvxiaoli_1.1101保监会－以集团本..况表(按业务分）(2007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_lvxiaoli_1.1006保监会－以集团本..况表(按业务分）(2007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 4" xfId="51"/>
    <cellStyle name="常规_lvxiaoli_1.1006保监会－产险.险保费收入情况表（2007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9"/>
  <sheetViews>
    <sheetView showGridLines="0" tabSelected="1" view="pageBreakPreview" zoomScale="55" zoomScaleNormal="100" zoomScaleSheetLayoutView="55" workbookViewId="0">
      <selection activeCell="J16" sqref="J16"/>
    </sheetView>
  </sheetViews>
  <sheetFormatPr defaultColWidth="8" defaultRowHeight="20.4" outlineLevelCol="7"/>
  <cols>
    <col min="1" max="1" width="0.75" style="3" customWidth="1"/>
    <col min="2" max="2" width="2.12962962962963" style="3" customWidth="1"/>
    <col min="3" max="3" width="28.5" style="1" customWidth="1"/>
    <col min="4" max="4" width="17.712962962963" style="4" customWidth="1"/>
    <col min="5" max="5" width="17.037037037037" style="4" customWidth="1"/>
    <col min="6" max="6" width="18.1759259259259" style="4" customWidth="1"/>
    <col min="7" max="7" width="17.4907407407407" style="4" customWidth="1"/>
    <col min="8" max="8" width="17.9537037037037" style="4" customWidth="1"/>
    <col min="9" max="16384" width="8" style="3"/>
  </cols>
  <sheetData>
    <row r="1" ht="24" customHeight="1" spans="1:8">
      <c r="A1" s="3" t="s">
        <v>0</v>
      </c>
      <c r="C1" s="5" t="s">
        <v>1</v>
      </c>
      <c r="D1" s="5"/>
      <c r="E1" s="5"/>
      <c r="F1" s="5"/>
      <c r="G1" s="5"/>
      <c r="H1" s="6"/>
    </row>
    <row r="2" ht="6.95" customHeight="1" spans="2:8">
      <c r="B2" s="7" t="s">
        <v>2</v>
      </c>
      <c r="C2" s="1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</row>
    <row r="3" ht="21.75" customHeight="1" spans="2:8">
      <c r="B3" s="8"/>
      <c r="C3" s="9"/>
      <c r="D3" s="10"/>
      <c r="E3" s="11" t="s">
        <v>3</v>
      </c>
      <c r="F3" s="4" t="s">
        <v>2</v>
      </c>
      <c r="G3" s="12" t="s">
        <v>4</v>
      </c>
      <c r="H3" s="12"/>
    </row>
    <row r="4" ht="1.5" customHeight="1" spans="2:8">
      <c r="B4" s="7" t="s">
        <v>2</v>
      </c>
      <c r="C4" s="1" t="s">
        <v>2</v>
      </c>
      <c r="E4" s="4" t="s">
        <v>2</v>
      </c>
      <c r="F4" s="4" t="s">
        <v>2</v>
      </c>
      <c r="G4" s="4" t="s">
        <v>2</v>
      </c>
      <c r="H4" s="4" t="s">
        <v>2</v>
      </c>
    </row>
    <row r="5" s="1" customFormat="1" ht="18.95" customHeight="1" spans="3:8"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</row>
    <row r="6" ht="18.95" customHeight="1" spans="3:8">
      <c r="C6" s="14" t="s">
        <v>11</v>
      </c>
      <c r="D6" s="15">
        <f>36514.29</f>
        <v>36514.29</v>
      </c>
      <c r="E6" s="15">
        <f>8781.7</f>
        <v>8781.7</v>
      </c>
      <c r="F6" s="15">
        <f>19791.25</f>
        <v>19791.25</v>
      </c>
      <c r="G6" s="15">
        <f>955.39</f>
        <v>955.39</v>
      </c>
      <c r="H6" s="15">
        <f>6985.96</f>
        <v>6985.96</v>
      </c>
    </row>
    <row r="7" ht="18.95" customHeight="1" spans="3:8">
      <c r="C7" s="14" t="s">
        <v>12</v>
      </c>
      <c r="D7" s="15">
        <f>29.91</f>
        <v>29.91</v>
      </c>
      <c r="E7" s="15">
        <f>23.54</f>
        <v>23.54</v>
      </c>
      <c r="F7" s="15">
        <f>0.03</f>
        <v>0.03</v>
      </c>
      <c r="G7" s="15">
        <f>2.51</f>
        <v>2.51</v>
      </c>
      <c r="H7" s="15">
        <f>3.83</f>
        <v>3.83</v>
      </c>
    </row>
    <row r="8" ht="18.95" customHeight="1" spans="3:8">
      <c r="C8" s="14" t="s">
        <v>13</v>
      </c>
      <c r="D8" s="15">
        <f>1968.92</f>
        <v>1968.92</v>
      </c>
      <c r="E8" s="15">
        <f>334.73</f>
        <v>334.73</v>
      </c>
      <c r="F8" s="15">
        <f>1156.44</f>
        <v>1156.44</v>
      </c>
      <c r="G8" s="15">
        <f>52.22</f>
        <v>52.22</v>
      </c>
      <c r="H8" s="15">
        <f>425.53</f>
        <v>425.53</v>
      </c>
    </row>
    <row r="9" ht="18.95" customHeight="1" spans="3:8">
      <c r="C9" s="14" t="s">
        <v>14</v>
      </c>
      <c r="D9" s="15">
        <f>532.31</f>
        <v>532.31</v>
      </c>
      <c r="E9" s="15">
        <f>117.26</f>
        <v>117.26</v>
      </c>
      <c r="F9" s="15">
        <f>306.13</f>
        <v>306.13</v>
      </c>
      <c r="G9" s="15">
        <f>14.27</f>
        <v>14.27</v>
      </c>
      <c r="H9" s="15">
        <f>94.64</f>
        <v>94.64</v>
      </c>
    </row>
    <row r="10" ht="18.95" customHeight="1" spans="3:8">
      <c r="C10" s="14" t="s">
        <v>15</v>
      </c>
      <c r="D10" s="15">
        <f>1642.79</f>
        <v>1642.79</v>
      </c>
      <c r="E10" s="15">
        <f>409.06</f>
        <v>409.06</v>
      </c>
      <c r="F10" s="15">
        <f>891.9</f>
        <v>891.9</v>
      </c>
      <c r="G10" s="15">
        <f>33.69</f>
        <v>33.69</v>
      </c>
      <c r="H10" s="15">
        <f>308.14</f>
        <v>308.14</v>
      </c>
    </row>
    <row r="11" ht="18.95" customHeight="1" spans="3:8">
      <c r="C11" s="14" t="s">
        <v>16</v>
      </c>
      <c r="D11" s="15">
        <f>798.83</f>
        <v>798.83</v>
      </c>
      <c r="E11" s="15">
        <f>218.94</f>
        <v>218.94</v>
      </c>
      <c r="F11" s="15">
        <f>419.31</f>
        <v>419.31</v>
      </c>
      <c r="G11" s="15">
        <f>16.16</f>
        <v>16.16</v>
      </c>
      <c r="H11" s="15">
        <f>144.42</f>
        <v>144.42</v>
      </c>
    </row>
    <row r="12" ht="18.95" customHeight="1" spans="3:8">
      <c r="C12" s="14" t="s">
        <v>17</v>
      </c>
      <c r="D12" s="15">
        <f>302.53</f>
        <v>302.53</v>
      </c>
      <c r="E12" s="15">
        <f>63.48</f>
        <v>63.48</v>
      </c>
      <c r="F12" s="15">
        <f>187.34</f>
        <v>187.34</v>
      </c>
      <c r="G12" s="15">
        <f>5.99</f>
        <v>5.99</v>
      </c>
      <c r="H12" s="15">
        <f>45.72</f>
        <v>45.72</v>
      </c>
    </row>
    <row r="13" ht="18.95" customHeight="1" spans="3:8">
      <c r="C13" s="14" t="s">
        <v>18</v>
      </c>
      <c r="D13" s="15">
        <f>1540</f>
        <v>1540</v>
      </c>
      <c r="E13" s="15">
        <f>400.78</f>
        <v>400.78</v>
      </c>
      <c r="F13" s="15">
        <f>824.38</f>
        <v>824.38</v>
      </c>
      <c r="G13" s="15">
        <f>60.4</f>
        <v>60.4</v>
      </c>
      <c r="H13" s="15">
        <f>254.44</f>
        <v>254.44</v>
      </c>
    </row>
    <row r="14" ht="18.95" customHeight="1" spans="3:8">
      <c r="C14" s="14" t="s">
        <v>19</v>
      </c>
      <c r="D14" s="15">
        <f>3337.14</f>
        <v>3337.14</v>
      </c>
      <c r="E14" s="15">
        <f>748.5</f>
        <v>748.5</v>
      </c>
      <c r="F14" s="15">
        <f>2013.64</f>
        <v>2013.64</v>
      </c>
      <c r="G14" s="15">
        <f>74.62</f>
        <v>74.62</v>
      </c>
      <c r="H14" s="15">
        <f>500.38</f>
        <v>500.38</v>
      </c>
    </row>
    <row r="15" ht="18.95" customHeight="1" spans="3:8">
      <c r="C15" s="14" t="s">
        <v>20</v>
      </c>
      <c r="D15" s="15">
        <f>2004.54</f>
        <v>2004.54</v>
      </c>
      <c r="E15" s="15">
        <f>544.96</f>
        <v>544.96</v>
      </c>
      <c r="F15" s="15">
        <f>1091.45</f>
        <v>1091.45</v>
      </c>
      <c r="G15" s="15">
        <f>49.52</f>
        <v>49.52</v>
      </c>
      <c r="H15" s="15">
        <f>318.61</f>
        <v>318.61</v>
      </c>
    </row>
    <row r="16" ht="18.95" customHeight="1" spans="3:8">
      <c r="C16" s="14" t="s">
        <v>21</v>
      </c>
      <c r="D16" s="15">
        <f>299.78</f>
        <v>299.78</v>
      </c>
      <c r="E16" s="15">
        <f>132.02</f>
        <v>132.02</v>
      </c>
      <c r="F16" s="15">
        <f>125.56</f>
        <v>125.56</v>
      </c>
      <c r="G16" s="15">
        <f>8.76</f>
        <v>8.76</v>
      </c>
      <c r="H16" s="15">
        <f>33.43</f>
        <v>33.43</v>
      </c>
    </row>
    <row r="17" ht="18.95" customHeight="1" spans="3:8">
      <c r="C17" s="14" t="s">
        <v>22</v>
      </c>
      <c r="D17" s="15">
        <f>854.49</f>
        <v>854.49</v>
      </c>
      <c r="E17" s="15">
        <f>189.15</f>
        <v>189.15</v>
      </c>
      <c r="F17" s="15">
        <f>458.15</f>
        <v>458.15</v>
      </c>
      <c r="G17" s="15">
        <f>23.7</f>
        <v>23.7</v>
      </c>
      <c r="H17" s="15">
        <f>183.49</f>
        <v>183.49</v>
      </c>
    </row>
    <row r="18" ht="18.95" customHeight="1" spans="3:8">
      <c r="C18" s="14" t="s">
        <v>23</v>
      </c>
      <c r="D18" s="15">
        <f>196.09</f>
        <v>196.09</v>
      </c>
      <c r="E18" s="15">
        <f>52.63</f>
        <v>52.63</v>
      </c>
      <c r="F18" s="15">
        <f>101.87</f>
        <v>101.87</v>
      </c>
      <c r="G18" s="15">
        <f>5.49</f>
        <v>5.49</v>
      </c>
      <c r="H18" s="15">
        <f>36.09</f>
        <v>36.09</v>
      </c>
    </row>
    <row r="19" ht="18.95" customHeight="1" spans="3:8">
      <c r="C19" s="14" t="s">
        <v>24</v>
      </c>
      <c r="D19" s="15">
        <f>2305.39</f>
        <v>2305.39</v>
      </c>
      <c r="E19" s="15">
        <f>507.16</f>
        <v>507.16</v>
      </c>
      <c r="F19" s="15">
        <f>1237.84</f>
        <v>1237.84</v>
      </c>
      <c r="G19" s="15">
        <f>54.31</f>
        <v>54.31</v>
      </c>
      <c r="H19" s="15">
        <f>506.07</f>
        <v>506.07</v>
      </c>
    </row>
    <row r="20" ht="18.95" customHeight="1" spans="3:8">
      <c r="C20" s="14" t="s">
        <v>25</v>
      </c>
      <c r="D20" s="15">
        <f>370.97</f>
        <v>370.97</v>
      </c>
      <c r="E20" s="15">
        <f>108.72</f>
        <v>108.72</v>
      </c>
      <c r="F20" s="15">
        <f>172.57</f>
        <v>172.57</v>
      </c>
      <c r="G20" s="15">
        <f>8.75</f>
        <v>8.75</v>
      </c>
      <c r="H20" s="15">
        <f>80.94</f>
        <v>80.94</v>
      </c>
    </row>
    <row r="21" ht="18.95" customHeight="1" spans="3:8">
      <c r="C21" s="14" t="s">
        <v>26</v>
      </c>
      <c r="D21" s="15">
        <f>3337.71</f>
        <v>3337.71</v>
      </c>
      <c r="E21" s="15">
        <f>743.61</f>
        <v>743.61</v>
      </c>
      <c r="F21" s="15">
        <f>1903.65</f>
        <v>1903.65</v>
      </c>
      <c r="G21" s="15">
        <f>108.54</f>
        <v>108.54</v>
      </c>
      <c r="H21" s="15">
        <f>581.92</f>
        <v>581.92</v>
      </c>
    </row>
    <row r="22" ht="18.95" customHeight="1" spans="3:8">
      <c r="C22" s="14" t="s">
        <v>27</v>
      </c>
      <c r="D22" s="15">
        <f>1110.12</f>
        <v>1110.12</v>
      </c>
      <c r="E22" s="15">
        <f>279.51</f>
        <v>279.51</v>
      </c>
      <c r="F22" s="15">
        <f>508.62</f>
        <v>508.62</v>
      </c>
      <c r="G22" s="15">
        <f>35.23</f>
        <v>35.23</v>
      </c>
      <c r="H22" s="15">
        <f>286.76</f>
        <v>286.76</v>
      </c>
    </row>
    <row r="23" ht="18.95" customHeight="1" spans="3:8">
      <c r="C23" s="14" t="s">
        <v>28</v>
      </c>
      <c r="D23" s="15">
        <f>152.64</f>
        <v>152.64</v>
      </c>
      <c r="E23" s="15">
        <f>55.9</f>
        <v>55.9</v>
      </c>
      <c r="F23" s="15">
        <f>65.91</f>
        <v>65.91</v>
      </c>
      <c r="G23" s="15">
        <f>4.66</f>
        <v>4.66</v>
      </c>
      <c r="H23" s="15">
        <f>26.16</f>
        <v>26.16</v>
      </c>
    </row>
    <row r="24" ht="18.95" customHeight="1" spans="3:8">
      <c r="C24" s="14" t="s">
        <v>29</v>
      </c>
      <c r="D24" s="15">
        <f>819.93</f>
        <v>819.93</v>
      </c>
      <c r="E24" s="15">
        <f>173.6</f>
        <v>173.6</v>
      </c>
      <c r="F24" s="15">
        <f>487.54</f>
        <v>487.54</v>
      </c>
      <c r="G24" s="15">
        <f>17.24</f>
        <v>17.24</v>
      </c>
      <c r="H24" s="15">
        <f>141.55</f>
        <v>141.55</v>
      </c>
    </row>
    <row r="25" ht="18.95" customHeight="1" spans="3:8">
      <c r="C25" s="14" t="s">
        <v>30</v>
      </c>
      <c r="D25" s="15">
        <f>570.86</f>
        <v>570.86</v>
      </c>
      <c r="E25" s="15">
        <f>135.46</f>
        <v>135.46</v>
      </c>
      <c r="F25" s="15">
        <f>300.13</f>
        <v>300.13</v>
      </c>
      <c r="G25" s="15">
        <f>12.6</f>
        <v>12.6</v>
      </c>
      <c r="H25" s="15">
        <f>122.67</f>
        <v>122.67</v>
      </c>
    </row>
    <row r="26" ht="18.95" customHeight="1" spans="3:8">
      <c r="C26" s="14" t="s">
        <v>31</v>
      </c>
      <c r="D26" s="15">
        <f>824.26</f>
        <v>824.26</v>
      </c>
      <c r="E26" s="15">
        <f>163.65</f>
        <v>163.65</v>
      </c>
      <c r="F26" s="15">
        <f>460.96</f>
        <v>460.96</v>
      </c>
      <c r="G26" s="15">
        <f>13.56</f>
        <v>13.56</v>
      </c>
      <c r="H26" s="15">
        <f>186.09</f>
        <v>186.09</v>
      </c>
    </row>
    <row r="27" ht="18.95" customHeight="1" spans="3:8">
      <c r="C27" s="14" t="s">
        <v>32</v>
      </c>
      <c r="D27" s="15">
        <f>1124.57</f>
        <v>1124.57</v>
      </c>
      <c r="E27" s="15">
        <f>329.7</f>
        <v>329.7</v>
      </c>
      <c r="F27" s="15">
        <f>554.56</f>
        <v>554.56</v>
      </c>
      <c r="G27" s="15">
        <f>29.67</f>
        <v>29.67</v>
      </c>
      <c r="H27" s="15">
        <f>210.64</f>
        <v>210.64</v>
      </c>
    </row>
    <row r="28" ht="18.95" customHeight="1" spans="3:8">
      <c r="C28" s="14" t="s">
        <v>33</v>
      </c>
      <c r="D28" s="15">
        <f>753.88</f>
        <v>753.88</v>
      </c>
      <c r="E28" s="15">
        <f>197.52</f>
        <v>197.52</v>
      </c>
      <c r="F28" s="15">
        <f>383.71</f>
        <v>383.71</v>
      </c>
      <c r="G28" s="15">
        <f>19.98</f>
        <v>19.98</v>
      </c>
      <c r="H28" s="15">
        <f>152.67</f>
        <v>152.67</v>
      </c>
    </row>
    <row r="29" ht="18.95" customHeight="1" spans="3:8">
      <c r="C29" s="14" t="s">
        <v>34</v>
      </c>
      <c r="D29" s="15">
        <f>1949.96</f>
        <v>1949.96</v>
      </c>
      <c r="E29" s="15">
        <f>410.39</f>
        <v>410.39</v>
      </c>
      <c r="F29" s="15">
        <f>1083.33</f>
        <v>1083.33</v>
      </c>
      <c r="G29" s="15">
        <f>40.36</f>
        <v>40.36</v>
      </c>
      <c r="H29" s="15">
        <f>415.88</f>
        <v>415.88</v>
      </c>
    </row>
    <row r="30" ht="18.95" customHeight="1" spans="3:8">
      <c r="C30" s="14" t="s">
        <v>35</v>
      </c>
      <c r="D30" s="15">
        <f>1555.49</f>
        <v>1555.49</v>
      </c>
      <c r="E30" s="15">
        <f>291.97</f>
        <v>291.97</v>
      </c>
      <c r="F30" s="15">
        <f>918.57</f>
        <v>918.57</v>
      </c>
      <c r="G30" s="15">
        <f>34.62</f>
        <v>34.62</v>
      </c>
      <c r="H30" s="15">
        <f>310.33</f>
        <v>310.33</v>
      </c>
    </row>
    <row r="31" ht="18.95" customHeight="1" spans="3:8">
      <c r="C31" s="14" t="s">
        <v>36</v>
      </c>
      <c r="D31" s="15">
        <f>1241.76</f>
        <v>1241.76</v>
      </c>
      <c r="E31" s="15">
        <f>291.54</f>
        <v>291.54</v>
      </c>
      <c r="F31" s="15">
        <f>638.21</f>
        <v>638.21</v>
      </c>
      <c r="G31" s="15">
        <f>32.48</f>
        <v>32.48</v>
      </c>
      <c r="H31" s="15">
        <f>279.53</f>
        <v>279.53</v>
      </c>
    </row>
    <row r="32" ht="18.95" customHeight="1" spans="3:8">
      <c r="C32" s="14" t="s">
        <v>37</v>
      </c>
      <c r="D32" s="15">
        <f>804.65</f>
        <v>804.65</v>
      </c>
      <c r="E32" s="15">
        <f>160.49</f>
        <v>160.49</v>
      </c>
      <c r="F32" s="15">
        <f>450.78</f>
        <v>450.78</v>
      </c>
      <c r="G32" s="15">
        <f>20.71</f>
        <v>20.71</v>
      </c>
      <c r="H32" s="15">
        <f>172.67</f>
        <v>172.67</v>
      </c>
    </row>
    <row r="33" ht="18.95" customHeight="1" spans="3:8">
      <c r="C33" s="14" t="s">
        <v>38</v>
      </c>
      <c r="D33" s="15">
        <f>1822.74</f>
        <v>1822.74</v>
      </c>
      <c r="E33" s="15">
        <f>414.98</f>
        <v>414.98</v>
      </c>
      <c r="F33" s="15">
        <f>1013.15</f>
        <v>1013.15</v>
      </c>
      <c r="G33" s="15">
        <f>46.93</f>
        <v>46.93</v>
      </c>
      <c r="H33" s="15">
        <f>347.69</f>
        <v>347.69</v>
      </c>
    </row>
    <row r="34" ht="18.95" customHeight="1" spans="3:8">
      <c r="C34" s="14" t="s">
        <v>39</v>
      </c>
      <c r="D34" s="15">
        <f>402.36</f>
        <v>402.36</v>
      </c>
      <c r="E34" s="15">
        <f>162.5</f>
        <v>162.5</v>
      </c>
      <c r="F34" s="15">
        <f>152.82</f>
        <v>152.82</v>
      </c>
      <c r="G34" s="15">
        <f>16.1</f>
        <v>16.1</v>
      </c>
      <c r="H34" s="15">
        <f>70.95</f>
        <v>70.95</v>
      </c>
    </row>
    <row r="35" ht="18.95" customHeight="1" spans="3:8">
      <c r="C35" s="14" t="s">
        <v>40</v>
      </c>
      <c r="D35" s="15">
        <f>557.54</f>
        <v>557.54</v>
      </c>
      <c r="E35" s="15">
        <f>195.14</f>
        <v>195.14</v>
      </c>
      <c r="F35" s="15">
        <f>213.84</f>
        <v>213.84</v>
      </c>
      <c r="G35" s="15">
        <f>22.12</f>
        <v>22.12</v>
      </c>
      <c r="H35" s="15">
        <f>126.44</f>
        <v>126.44</v>
      </c>
    </row>
    <row r="36" ht="18.95" customHeight="1" spans="3:8">
      <c r="C36" s="14" t="s">
        <v>41</v>
      </c>
      <c r="D36" s="15">
        <f>32.66</f>
        <v>32.66</v>
      </c>
      <c r="E36" s="15">
        <f>22.18</f>
        <v>22.18</v>
      </c>
      <c r="F36" s="15">
        <f>4.95</f>
        <v>4.95</v>
      </c>
      <c r="G36" s="15">
        <f>1.97</f>
        <v>1.97</v>
      </c>
      <c r="H36" s="15">
        <f>3.55</f>
        <v>3.55</v>
      </c>
    </row>
    <row r="37" ht="18.95" customHeight="1" spans="3:8">
      <c r="C37" s="14" t="s">
        <v>42</v>
      </c>
      <c r="D37" s="15">
        <f>854.63</f>
        <v>854.63</v>
      </c>
      <c r="E37" s="15">
        <f>191.32</f>
        <v>191.32</v>
      </c>
      <c r="F37" s="15">
        <f>505.56</f>
        <v>505.56</v>
      </c>
      <c r="G37" s="15">
        <f>19.04</f>
        <v>19.04</v>
      </c>
      <c r="H37" s="15">
        <f>138.71</f>
        <v>138.71</v>
      </c>
    </row>
    <row r="38" ht="18.95" customHeight="1" spans="3:8">
      <c r="C38" s="14" t="s">
        <v>43</v>
      </c>
      <c r="D38" s="15">
        <f>401.97</f>
        <v>401.97</v>
      </c>
      <c r="E38" s="15">
        <f>102.39</f>
        <v>102.39</v>
      </c>
      <c r="F38" s="15">
        <f>213.69</f>
        <v>213.69</v>
      </c>
      <c r="G38" s="15">
        <f>11.43</f>
        <v>11.43</v>
      </c>
      <c r="H38" s="15">
        <f>74.46</f>
        <v>74.46</v>
      </c>
    </row>
    <row r="39" ht="18.95" customHeight="1" spans="3:8">
      <c r="C39" s="14" t="s">
        <v>44</v>
      </c>
      <c r="D39" s="15">
        <f>86.85</f>
        <v>86.85</v>
      </c>
      <c r="E39" s="15">
        <f>33.48</f>
        <v>33.48</v>
      </c>
      <c r="F39" s="15">
        <f>36.27</f>
        <v>36.27</v>
      </c>
      <c r="G39" s="15">
        <f>2.72</f>
        <v>2.72</v>
      </c>
      <c r="H39" s="15">
        <f>14.39</f>
        <v>14.39</v>
      </c>
    </row>
    <row r="40" ht="18.95" customHeight="1" spans="3:8">
      <c r="C40" s="14" t="s">
        <v>45</v>
      </c>
      <c r="D40" s="15">
        <f>174.28</f>
        <v>174.28</v>
      </c>
      <c r="E40" s="15">
        <f>50.54</f>
        <v>50.54</v>
      </c>
      <c r="F40" s="15">
        <f>86.97</f>
        <v>86.97</v>
      </c>
      <c r="G40" s="15">
        <f>5.65</f>
        <v>5.65</v>
      </c>
      <c r="H40" s="15">
        <f>31.12</f>
        <v>31.12</v>
      </c>
    </row>
    <row r="41" ht="18.95" customHeight="1" spans="3:8">
      <c r="C41" s="14" t="s">
        <v>46</v>
      </c>
      <c r="D41" s="15">
        <f>572.72</f>
        <v>572.72</v>
      </c>
      <c r="E41" s="15">
        <f>186.97</f>
        <v>186.97</v>
      </c>
      <c r="F41" s="15">
        <f>261.52</f>
        <v>261.52</v>
      </c>
      <c r="G41" s="15">
        <f>14.22</f>
        <v>14.22</v>
      </c>
      <c r="H41" s="15">
        <f>110</f>
        <v>110</v>
      </c>
    </row>
    <row r="42" ht="18.95" customHeight="1" spans="3:8">
      <c r="C42" s="14" t="s">
        <v>47</v>
      </c>
      <c r="D42" s="15">
        <f>530.66</f>
        <v>530.66</v>
      </c>
      <c r="E42" s="15">
        <f>159.82</f>
        <v>159.82</v>
      </c>
      <c r="F42" s="15">
        <f>258.55</f>
        <v>258.55</v>
      </c>
      <c r="G42" s="15">
        <f>12.38</f>
        <v>12.38</v>
      </c>
      <c r="H42" s="15">
        <f>99.91</f>
        <v>99.91</v>
      </c>
    </row>
    <row r="43" ht="18.95" customHeight="1" spans="3:8">
      <c r="C43" s="14" t="s">
        <v>48</v>
      </c>
      <c r="D43" s="15">
        <f>648.35</f>
        <v>648.35</v>
      </c>
      <c r="E43" s="15">
        <f>178.09</f>
        <v>178.09</v>
      </c>
      <c r="F43" s="15">
        <f>301.35</f>
        <v>301.35</v>
      </c>
      <c r="G43" s="15">
        <f>22.78</f>
        <v>22.78</v>
      </c>
      <c r="H43" s="15">
        <f>146.13</f>
        <v>146.13</v>
      </c>
    </row>
    <row r="44" ht="15" customHeight="1" spans="3:8">
      <c r="C44" s="16"/>
      <c r="D44" s="17"/>
      <c r="E44" s="17"/>
      <c r="F44" s="17"/>
      <c r="G44" s="17"/>
      <c r="H44" s="17"/>
    </row>
    <row r="45" s="2" customFormat="1" ht="62" customHeight="1" spans="3:8">
      <c r="C45" s="8" t="s">
        <v>49</v>
      </c>
      <c r="D45" s="8"/>
      <c r="E45" s="8"/>
      <c r="F45" s="8"/>
      <c r="G45" s="8"/>
      <c r="H45" s="8"/>
    </row>
    <row r="46" s="2" customFormat="1" ht="37.15" customHeight="1" spans="1:8">
      <c r="A46" s="7"/>
      <c r="B46" s="7"/>
      <c r="C46" s="8" t="s">
        <v>50</v>
      </c>
      <c r="D46" s="8"/>
      <c r="E46" s="8"/>
      <c r="F46" s="8"/>
      <c r="G46" s="8"/>
      <c r="H46" s="8"/>
    </row>
    <row r="47" s="2" customFormat="1" ht="37.15" customHeight="1" spans="1:8">
      <c r="A47" s="7"/>
      <c r="B47" s="7"/>
      <c r="C47" s="7" t="s">
        <v>51</v>
      </c>
      <c r="D47" s="7"/>
      <c r="E47" s="7"/>
      <c r="F47" s="7"/>
      <c r="G47" s="7"/>
      <c r="H47" s="7"/>
    </row>
    <row r="48" ht="45.6" customHeight="1" spans="3:8">
      <c r="C48" s="8" t="s">
        <v>52</v>
      </c>
      <c r="D48" s="8"/>
      <c r="E48" s="8"/>
      <c r="F48" s="8"/>
      <c r="G48" s="8"/>
      <c r="H48" s="8"/>
    </row>
    <row r="49" ht="45" customHeight="1" spans="3:8">
      <c r="C49" s="8" t="s">
        <v>53</v>
      </c>
      <c r="D49" s="8"/>
      <c r="E49" s="8"/>
      <c r="F49" s="8"/>
      <c r="G49" s="8"/>
      <c r="H49" s="8"/>
    </row>
  </sheetData>
  <mergeCells count="6">
    <mergeCell ref="C1:H1"/>
    <mergeCell ref="G3:H3"/>
    <mergeCell ref="C45:H45"/>
    <mergeCell ref="C46:H46"/>
    <mergeCell ref="C48:H48"/>
    <mergeCell ref="C49:H49"/>
  </mergeCells>
  <printOptions horizontalCentered="1"/>
  <pageMargins left="0" right="0" top="0.393055555555556" bottom="0" header="0.511805555555556" footer="0.511805555555556"/>
  <pageSetup paperSize="9" scale="7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各地区数据（月度）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连京晋</dc:creator>
  <dcterms:created xsi:type="dcterms:W3CDTF">2021-10-25T08:35:56Z</dcterms:created>
  <dcterms:modified xsi:type="dcterms:W3CDTF">2021-10-25T08:36:00Z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